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DR219Q01EC" sheetId="2" r:id="rId2"/>
    <s:sheet name="DR219Q01C" sheetId="3" r:id="rId3"/>
    <s:sheet name="DR219Q02C" sheetId="4" r:id="rId4"/>
    <s:sheet name="CR067Q01S" sheetId="5" r:id="rId5"/>
    <s:sheet name="DR067Q04C" sheetId="6" r:id="rId6"/>
    <s:sheet name="DR067Q05C" sheetId="7" r:id="rId7"/>
    <s:sheet name="DR102Q04C" sheetId="8" r:id="rId8"/>
    <s:sheet name="DR102Q05C" sheetId="9" r:id="rId9"/>
    <s:sheet name="CR102Q07S" sheetId="10" r:id="rId10"/>
    <s:sheet name="CR220Q01S" sheetId="11" r:id="rId11"/>
    <s:sheet name="CR220Q02S" sheetId="12" r:id="rId12"/>
    <s:sheet name="CR220Q04S" sheetId="13" r:id="rId13"/>
    <s:sheet name="CR220Q05S" sheetId="14" r:id="rId14"/>
    <s:sheet name="CR220Q06S" sheetId="15" r:id="rId15"/>
    <s:sheet name="CR227Q01S" sheetId="16" r:id="rId16"/>
    <s:sheet name="CR227Q02S" sheetId="17" r:id="rId17"/>
    <s:sheet name="DR227Q03C" sheetId="18" r:id="rId18"/>
    <s:sheet name="DR227Q06C" sheetId="19" r:id="rId19"/>
    <s:sheet name="CR111Q01S" sheetId="20" r:id="rId20"/>
    <s:sheet name="DR111Q02BC" sheetId="21" r:id="rId21"/>
    <s:sheet name="DR111Q06C" sheetId="22" r:id="rId22"/>
    <s:sheet name="CR055Q01S" sheetId="23" r:id="rId23"/>
    <s:sheet name="DR055Q02C" sheetId="24" r:id="rId24"/>
    <s:sheet name="DR055Q03C" sheetId="25" r:id="rId25"/>
    <s:sheet name="DR055Q05C" sheetId="26" r:id="rId26"/>
    <s:sheet name="CR104Q01S" sheetId="27" r:id="rId27"/>
    <s:sheet name="CR104Q02S" sheetId="28" r:id="rId28"/>
    <s:sheet name="CR104Q05S" sheetId="29" r:id="rId29"/>
    <s:sheet name="DR420Q02C" sheetId="30" r:id="rId30"/>
    <s:sheet name="DR420Q10C" sheetId="31" r:id="rId31"/>
    <s:sheet name="DR420Q06C" sheetId="32" r:id="rId32"/>
    <s:sheet name="DR420Q09C" sheetId="33" r:id="rId33"/>
    <s:sheet name="CR453Q01S" sheetId="34" r:id="rId34"/>
    <s:sheet name="DR453Q04C" sheetId="35" r:id="rId35"/>
    <s:sheet name="CR453Q05S" sheetId="36" r:id="rId36"/>
    <s:sheet name="DR453Q06C" sheetId="37" r:id="rId37"/>
    <s:sheet name="CR412Q01S" sheetId="38" r:id="rId38"/>
    <s:sheet name="CR412Q05S" sheetId="39" r:id="rId39"/>
    <s:sheet name="DR412Q08C" sheetId="40" r:id="rId40"/>
    <s:sheet name="CR412Q06S" sheetId="41" r:id="rId41"/>
    <s:sheet name="CR437Q01S" sheetId="42" r:id="rId42"/>
    <s:sheet name="DR437Q07C" sheetId="43" r:id="rId43"/>
    <s:sheet name="CR437Q06S" sheetId="44" r:id="rId44"/>
    <s:sheet name="CR456Q01S" sheetId="45" r:id="rId45"/>
    <s:sheet name="DR456Q02C" sheetId="46" r:id="rId46"/>
    <s:sheet name="DR456Q06C" sheetId="47" r:id="rId47"/>
    <s:sheet name="DR466Q02C" sheetId="48" r:id="rId48"/>
    <s:sheet name="CR466Q03S" sheetId="49" r:id="rId49"/>
    <s:sheet name="CR466Q06S" sheetId="50" r:id="rId50"/>
    <s:sheet name="CR446Q03S" sheetId="51" r:id="rId51"/>
    <s:sheet name="DR446Q06C" sheetId="52" r:id="rId52"/>
    <s:sheet name="DR432Q01C" sheetId="53" r:id="rId53"/>
    <s:sheet name="DR432Q05C" sheetId="54" r:id="rId54"/>
    <s:sheet name="CR432Q06S" sheetId="55" r:id="rId55"/>
    <s:sheet name="DR460Q01C" sheetId="56" r:id="rId56"/>
    <s:sheet name="CR460Q05S" sheetId="57" r:id="rId57"/>
    <s:sheet name="CR460Q06S" sheetId="58" r:id="rId58"/>
    <s:sheet name="CR424Q02S" sheetId="59" r:id="rId59"/>
    <s:sheet name="CR424Q03S" sheetId="60" r:id="rId60"/>
    <s:sheet name="CR424Q07S" sheetId="61" r:id="rId61"/>
    <s:sheet name="CR404Q03S" sheetId="62" r:id="rId62"/>
    <s:sheet name="CR404Q06S" sheetId="63" r:id="rId63"/>
    <s:sheet name="CR404Q07S" sheetId="64" r:id="rId64"/>
    <s:sheet name="DR404Q10AC" sheetId="65" r:id="rId65"/>
    <s:sheet name="DR404Q10BC" sheetId="66" r:id="rId66"/>
    <s:sheet name="DR406Q01C" sheetId="67" r:id="rId67"/>
    <s:sheet name="DR406Q05C" sheetId="68" r:id="rId68"/>
    <s:sheet name="DR406Q02C" sheetId="69" r:id="rId69"/>
    <s:sheet name="DR455Q02C" sheetId="70" r:id="rId70"/>
    <s:sheet name="DR455Q03C" sheetId="71" r:id="rId71"/>
    <s:sheet name="CR455Q04S" sheetId="72" r:id="rId72"/>
    <s:sheet name="CR455Q05S" sheetId="73" r:id="rId73"/>
    <s:sheet name="CR083Q01S" sheetId="74" r:id="rId74"/>
    <s:sheet name="CR083Q02S" sheetId="75" r:id="rId75"/>
    <s:sheet name="CR083Q03S" sheetId="76" r:id="rId76"/>
    <s:sheet name="CR083Q04S" sheetId="77" r:id="rId77"/>
    <s:sheet name="DR442Q02C" sheetId="78" r:id="rId78"/>
    <s:sheet name="DR442Q03C" sheetId="79" r:id="rId79"/>
    <s:sheet name="DR442Q05C" sheetId="80" r:id="rId80"/>
    <s:sheet name="DR442Q06C" sheetId="81" r:id="rId81"/>
    <s:sheet name="CR442Q07S" sheetId="82" r:id="rId82"/>
    <s:sheet name="CR245Q01S" sheetId="83" r:id="rId83"/>
    <s:sheet name="CR245Q02S" sheetId="84" r:id="rId84"/>
    <s:sheet name="CR101Q01S" sheetId="85" r:id="rId85"/>
    <s:sheet name="CR101Q02S" sheetId="86" r:id="rId86"/>
    <s:sheet name="CR101Q03S" sheetId="87" r:id="rId87"/>
    <s:sheet name="CR101Q04S" sheetId="88" r:id="rId88"/>
    <s:sheet name="CR101Q05S" sheetId="89" r:id="rId89"/>
    <s:sheet name="CR445Q03S" sheetId="90" r:id="rId90"/>
    <s:sheet name="DR445Q01C" sheetId="91" r:id="rId91"/>
    <s:sheet name="CR445Q04S" sheetId="92" r:id="rId92"/>
    <s:sheet name="CR445Q06S" sheetId="93" r:id="rId93"/>
    <s:sheet name="DR462Q02C" sheetId="94" r:id="rId94"/>
    <s:sheet name="DR462Q05C" sheetId="95" r:id="rId95"/>
    <s:sheet name="CR462Q04S" sheetId="96" r:id="rId96"/>
    <s:sheet name="CR435Q02S" sheetId="97" r:id="rId97"/>
    <s:sheet name="CR435Q01S" sheetId="98" r:id="rId98"/>
    <s:sheet name="DR435Q05C" sheetId="99" r:id="rId99"/>
    <s:sheet name="CR435Q08S" sheetId="100" r:id="rId100"/>
    <s:sheet name="DR465Q01C" sheetId="101" r:id="rId101"/>
    <s:sheet name="DR465Q02C" sheetId="102" r:id="rId102"/>
    <s:sheet name="DR465Q06C" sheetId="103" r:id="rId103"/>
    <s:sheet name="DR465Q05C" sheetId="104" r:id="rId104"/>
    <s:sheet name="R219Q01E" sheetId="105" r:id="rId105"/>
    <s:sheet name="PR219Q01S" sheetId="106" r:id="rId106"/>
    <s:sheet name="R219Q02" sheetId="107" r:id="rId107"/>
    <s:sheet name="PR067Q01S" sheetId="108" r:id="rId108"/>
    <s:sheet name="R067Q04" sheetId="109" r:id="rId109"/>
    <s:sheet name="R067Q05" sheetId="110" r:id="rId110"/>
    <s:sheet name="R102Q04A" sheetId="111" r:id="rId111"/>
    <s:sheet name="R102Q05" sheetId="112" r:id="rId112"/>
    <s:sheet name="PR102Q07S" sheetId="113" r:id="rId113"/>
    <s:sheet name="R220Q01" sheetId="114" r:id="rId114"/>
    <s:sheet name="PR220Q02BS" sheetId="115" r:id="rId115"/>
    <s:sheet name="PR220Q04S" sheetId="116" r:id="rId116"/>
    <s:sheet name="PR220Q05S" sheetId="117" r:id="rId117"/>
    <s:sheet name="PR220Q06S" sheetId="118" r:id="rId118"/>
    <s:sheet name="PR227Q01S" sheetId="119" r:id="rId119"/>
    <s:sheet name="PR227Q02S" sheetId="120" r:id="rId120"/>
    <s:sheet name="R227Q03" sheetId="121" r:id="rId121"/>
    <s:sheet name="R227Q06" sheetId="122" r:id="rId122"/>
    <s:sheet name="PR111Q01S" sheetId="123" r:id="rId123"/>
    <s:sheet name="R111Q02B" sheetId="124" r:id="rId124"/>
    <s:sheet name="R111Q06B" sheetId="125" r:id="rId125"/>
    <s:sheet name="PR055Q01S" sheetId="126" r:id="rId126"/>
    <s:sheet name="R055Q02" sheetId="127" r:id="rId127"/>
    <s:sheet name="R055Q03" sheetId="128" r:id="rId128"/>
    <s:sheet name="R055Q05" sheetId="129" r:id="rId129"/>
    <s:sheet name="R104Q01" sheetId="130" r:id="rId130"/>
    <s:sheet name="R104Q02" sheetId="131" r:id="rId131"/>
    <s:sheet name="R104Q05" sheetId="132" r:id="rId132"/>
    <s:sheet name="PR420Q02" sheetId="133" r:id="rId133"/>
    <s:sheet name="PR420Q10" sheetId="134" r:id="rId134"/>
    <s:sheet name="PR420Q06" sheetId="135" r:id="rId135"/>
    <s:sheet name="PR420Q09" sheetId="136" r:id="rId136"/>
    <s:sheet name="PR453Q01S" sheetId="137" r:id="rId137"/>
    <s:sheet name="PR453Q04" sheetId="138" r:id="rId138"/>
    <s:sheet name="PR453Q05S" sheetId="139" r:id="rId139"/>
    <s:sheet name="PR453Q06" sheetId="140" r:id="rId140"/>
    <s:sheet name="PR412Q01S" sheetId="141" r:id="rId141"/>
    <s:sheet name="PR412Q05S" sheetId="142" r:id="rId142"/>
    <s:sheet name="PR412Q08" sheetId="143" r:id="rId143"/>
    <s:sheet name="PR412Q06S" sheetId="144" r:id="rId144"/>
    <s:sheet name="PR437Q01S" sheetId="145" r:id="rId145"/>
    <s:sheet name="PR437Q07" sheetId="146" r:id="rId146"/>
    <s:sheet name="PR437Q06S" sheetId="147" r:id="rId147"/>
    <s:sheet name="PR456Q01S" sheetId="148" r:id="rId148"/>
    <s:sheet name="PR456Q02" sheetId="149" r:id="rId149"/>
    <s:sheet name="PR456Q06" sheetId="150" r:id="rId150"/>
    <s:sheet name="PR466Q02" sheetId="151" r:id="rId151"/>
    <s:sheet name="PR466Q03S" sheetId="152" r:id="rId152"/>
    <s:sheet name="PR466Q06" sheetId="153" r:id="rId153"/>
    <s:sheet name="PR446Q03" sheetId="154" r:id="rId154"/>
    <s:sheet name="PR446Q06" sheetId="155" r:id="rId155"/>
    <s:sheet name="PR432Q01" sheetId="156" r:id="rId156"/>
    <s:sheet name="PR432Q05" sheetId="157" r:id="rId157"/>
    <s:sheet name="PR432Q06S" sheetId="158" r:id="rId158"/>
    <s:sheet name="R460Q01" sheetId="159" r:id="rId159"/>
    <s:sheet name="PR460Q05S" sheetId="160" r:id="rId160"/>
    <s:sheet name="PR460Q06S" sheetId="161" r:id="rId161"/>
    <s:sheet name="PR424Q02S" sheetId="162" r:id="rId162"/>
    <s:sheet name="PR424Q03S" sheetId="163" r:id="rId163"/>
    <s:sheet name="PR424Q07S" sheetId="164" r:id="rId164"/>
    <s:sheet name="PR404Q03S" sheetId="165" r:id="rId165"/>
    <s:sheet name="PR404Q06S" sheetId="166" r:id="rId166"/>
    <s:sheet name="PR404Q07S" sheetId="167" r:id="rId167"/>
    <s:sheet name="PR404Q10A" sheetId="168" r:id="rId168"/>
    <s:sheet name="PR404Q10B" sheetId="169" r:id="rId169"/>
    <s:sheet name="PR406Q01" sheetId="170" r:id="rId170"/>
    <s:sheet name="PR406Q05" sheetId="171" r:id="rId171"/>
    <s:sheet name="PR406Q02" sheetId="172" r:id="rId172"/>
    <s:sheet name="PR455Q02" sheetId="173" r:id="rId173"/>
    <s:sheet name="PR455Q03" sheetId="174" r:id="rId174"/>
    <s:sheet name="PR455Q04S" sheetId="175" r:id="rId175"/>
    <s:sheet name="PR455Q05S" sheetId="176" r:id="rId176"/>
    <s:sheet name="PR083Q01S" sheetId="177" r:id="rId177"/>
    <s:sheet name="R083Q02" sheetId="178" r:id="rId178"/>
    <s:sheet name="R083Q03" sheetId="179" r:id="rId179"/>
    <s:sheet name="PR083Q04S" sheetId="180" r:id="rId180"/>
    <s:sheet name="R442Q02" sheetId="181" r:id="rId181"/>
    <s:sheet name="R442Q03" sheetId="182" r:id="rId182"/>
    <s:sheet name="R442Q05" sheetId="183" r:id="rId183"/>
    <s:sheet name="R442Q06" sheetId="184" r:id="rId184"/>
    <s:sheet name="PR442Q07S" sheetId="185" r:id="rId185"/>
    <s:sheet name="R245Q01" sheetId="186" r:id="rId186"/>
    <s:sheet name="R245Q02" sheetId="187" r:id="rId187"/>
    <s:sheet name="PR101Q01S" sheetId="188" r:id="rId188"/>
    <s:sheet name="PR101Q02S" sheetId="189" r:id="rId189"/>
    <s:sheet name="PR101Q03S" sheetId="190" r:id="rId190"/>
    <s:sheet name="PR101Q04S" sheetId="191" r:id="rId191"/>
    <s:sheet name="PR101Q05S" sheetId="192" r:id="rId192"/>
    <s:sheet name="PR445Q03S" sheetId="193" r:id="rId193"/>
    <s:sheet name="R445Q01" sheetId="194" r:id="rId194"/>
    <s:sheet name="PR445Q04S" sheetId="195" r:id="rId195"/>
    <s:sheet name="PR445Q06S" sheetId="196" r:id="rId196"/>
    <s:sheet name="R462Q02" sheetId="197" r:id="rId197"/>
    <s:sheet name="R462Q05" sheetId="198" r:id="rId198"/>
    <s:sheet name="PR462Q04S" sheetId="199" r:id="rId199"/>
    <s:sheet name="R435Q02" sheetId="200" r:id="rId200"/>
    <s:sheet name="PR435Q01S" sheetId="201" r:id="rId201"/>
    <s:sheet name="R435Q05" sheetId="202" r:id="rId202"/>
    <s:sheet name="PR435Q08S" sheetId="203" r:id="rId203"/>
    <s:sheet name="R465Q01" sheetId="204" r:id="rId204"/>
    <s:sheet name="R465Q02" sheetId="205" r:id="rId205"/>
    <s:sheet name="R465Q06" sheetId="206" r:id="rId206"/>
    <s:sheet name="R465Q05" sheetId="207" r:id="rId207"/>
  </s:sheets>
  <s:definedNames/>
  <s:calcPr calcId="124519" fullCalcOnLoad="1"/>
</s:workbook>
</file>

<file path=xl/sharedStrings.xml><?xml version="1.0" encoding="utf-8"?>
<sst xmlns="http://schemas.openxmlformats.org/spreadsheetml/2006/main" uniqueCount="731">
  <si>
    <t>Table of Contents</t>
  </si>
  <si>
    <t>DR219Q01EC</t>
  </si>
  <si>
    <t>Employment - Q01E (Coded Response)</t>
  </si>
  <si>
    <t>DR219Q01C</t>
  </si>
  <si>
    <t>Employment - Q01 (Coded Response)</t>
  </si>
  <si>
    <t>DR219Q02C</t>
  </si>
  <si>
    <t>Employment - Q02 (Coded Response)</t>
  </si>
  <si>
    <t>CR067Q01S</t>
  </si>
  <si>
    <t>Aesop - Q01 (Scored Response)</t>
  </si>
  <si>
    <t>DR067Q04C</t>
  </si>
  <si>
    <t>Aesop - Q04 (Coded Response)</t>
  </si>
  <si>
    <t>DR067Q05C</t>
  </si>
  <si>
    <t>Aesop - Q05 (Coded Response)</t>
  </si>
  <si>
    <t>DR102Q04C</t>
  </si>
  <si>
    <t>Shirts - Q04 (Coded Response)</t>
  </si>
  <si>
    <t>DR102Q05C</t>
  </si>
  <si>
    <t>Shirts - Q05 (Coded Response)</t>
  </si>
  <si>
    <t>CR102Q07S</t>
  </si>
  <si>
    <t>Shirts - Q07 (Scored Response)</t>
  </si>
  <si>
    <t>CR220Q01S</t>
  </si>
  <si>
    <t>South Pole - Q01 (Scored Response)</t>
  </si>
  <si>
    <t>CR220Q02S</t>
  </si>
  <si>
    <t>South Pole - Q02 (Scored Response)</t>
  </si>
  <si>
    <t>CR220Q04S</t>
  </si>
  <si>
    <t>South Pole - Q04 (Scored Response)</t>
  </si>
  <si>
    <t>CR220Q05S</t>
  </si>
  <si>
    <t>South Pole - Q05 (Scored Response)</t>
  </si>
  <si>
    <t>CR220Q06S</t>
  </si>
  <si>
    <t>South Pole - Q06 (Scored Response)</t>
  </si>
  <si>
    <t>CR227Q01S</t>
  </si>
  <si>
    <t>Optician - Q01 (Scored Response)</t>
  </si>
  <si>
    <t>CR227Q02S</t>
  </si>
  <si>
    <t>Optician - Q02 (Scored Response)</t>
  </si>
  <si>
    <t>DR227Q03C</t>
  </si>
  <si>
    <t>Optician - Q03 (Coded Response)</t>
  </si>
  <si>
    <t>DR227Q06C</t>
  </si>
  <si>
    <t>Optician - Q06 (Coded Response)</t>
  </si>
  <si>
    <t>CR111Q01S</t>
  </si>
  <si>
    <t>Exchange - Q01 (Scored Response)</t>
  </si>
  <si>
    <t>DR111Q02BC</t>
  </si>
  <si>
    <t>Exchange - Q02B (Coded Response)</t>
  </si>
  <si>
    <t>DR111Q06C</t>
  </si>
  <si>
    <t>Exchange - Q06 (Coded Response)</t>
  </si>
  <si>
    <t>CR055Q01S</t>
  </si>
  <si>
    <t>Drugged Spiders - Q01 (Scored Response)</t>
  </si>
  <si>
    <t>DR055Q02C</t>
  </si>
  <si>
    <t>Drugged Spiders - Q02 (Coded Response)</t>
  </si>
  <si>
    <t>DR055Q03C</t>
  </si>
  <si>
    <t>Drugged Spiders - Q03 (Coded Response)</t>
  </si>
  <si>
    <t>DR055Q05C</t>
  </si>
  <si>
    <t>Drugged Spiders - Q05 (Coded Response)</t>
  </si>
  <si>
    <t>CR104Q01S</t>
  </si>
  <si>
    <t>Telephone - Q01 (Scored Response)</t>
  </si>
  <si>
    <t>CR104Q02S</t>
  </si>
  <si>
    <t>Telephone - Q02 (Scored Response)</t>
  </si>
  <si>
    <t>CR104Q05S</t>
  </si>
  <si>
    <t>Telephone - Q05 (Scored Response)</t>
  </si>
  <si>
    <t>DR420Q02C</t>
  </si>
  <si>
    <t>Children's Futures - Q02 (Coded Response)</t>
  </si>
  <si>
    <t>DR420Q10C</t>
  </si>
  <si>
    <t>Children's Futures - Q10 (Coded Response)</t>
  </si>
  <si>
    <t>DR420Q06C</t>
  </si>
  <si>
    <t>Children's Futures - Q06 (Coded Response)</t>
  </si>
  <si>
    <t>DR420Q09C</t>
  </si>
  <si>
    <t>Children's Futures - Q09 (Coded Response)</t>
  </si>
  <si>
    <t>CR453Q01S</t>
  </si>
  <si>
    <t>Summer Job - Q01 (Scored Response)</t>
  </si>
  <si>
    <t>DR453Q04C</t>
  </si>
  <si>
    <t>Summer Job - Q04 (Coded Response)</t>
  </si>
  <si>
    <t>CR453Q05S</t>
  </si>
  <si>
    <t>Summer Job - Q05 (Scored Response)</t>
  </si>
  <si>
    <t>DR453Q06C</t>
  </si>
  <si>
    <t>Summer Job - Q06 (Coded Response)</t>
  </si>
  <si>
    <t>CR412Q01S</t>
  </si>
  <si>
    <t>World Languages - Q01 (Scored Response)</t>
  </si>
  <si>
    <t>CR412Q05S</t>
  </si>
  <si>
    <t>World Languages - Q05 (Scored Response)</t>
  </si>
  <si>
    <t>DR412Q08C</t>
  </si>
  <si>
    <t>World Languages - Q08 (Coded Response)</t>
  </si>
  <si>
    <t>CR412Q06S</t>
  </si>
  <si>
    <t>World Languages - Q06 (Scored Response)</t>
  </si>
  <si>
    <t>CR437Q01S</t>
  </si>
  <si>
    <t>Narcissus - Q01 (Scored Response)</t>
  </si>
  <si>
    <t>DR437Q07C</t>
  </si>
  <si>
    <t>Narcissus - Q07 (Coded Response)</t>
  </si>
  <si>
    <t>CR437Q06S</t>
  </si>
  <si>
    <t>Narcissus - Q06 (Scored Response)</t>
  </si>
  <si>
    <t>CR456Q01S</t>
  </si>
  <si>
    <t>Biscuits - Q01 (Scored Response)</t>
  </si>
  <si>
    <t>DR456Q02C</t>
  </si>
  <si>
    <t>Biscuits - Q02 (Coded Response)</t>
  </si>
  <si>
    <t>DR456Q06C</t>
  </si>
  <si>
    <t>Biscuits - Q06 (Coded Response)</t>
  </si>
  <si>
    <t>DR466Q02C</t>
  </si>
  <si>
    <t>Work Right - Q02 (Coded Response)</t>
  </si>
  <si>
    <t>CR466Q03S</t>
  </si>
  <si>
    <t>Work Right - Q03 (Scored Response)</t>
  </si>
  <si>
    <t>CR466Q06S</t>
  </si>
  <si>
    <t>Work Right - Q06 (Scored Response)</t>
  </si>
  <si>
    <t>CR446Q03S</t>
  </si>
  <si>
    <t>Job Vacancy - Q03 (Scored Response)</t>
  </si>
  <si>
    <t>DR446Q06C</t>
  </si>
  <si>
    <t>Job Vacancy - Q06 (Coded Response)</t>
  </si>
  <si>
    <t>DR432Q01C</t>
  </si>
  <si>
    <t>About a book - Q01 (Coded Response)</t>
  </si>
  <si>
    <t>DR432Q05C</t>
  </si>
  <si>
    <t>About a book - Q05 (Coded Response)</t>
  </si>
  <si>
    <t>CR432Q06S</t>
  </si>
  <si>
    <t>About a book - Q06 (Scored Response)</t>
  </si>
  <si>
    <t>DR460Q01C</t>
  </si>
  <si>
    <t>Gulf of Mexico - Q01 (Coded Response)</t>
  </si>
  <si>
    <t>CR460Q05S</t>
  </si>
  <si>
    <t>Gulf of Mexico - Q05 (Scored Response)</t>
  </si>
  <si>
    <t>CR460Q06S</t>
  </si>
  <si>
    <t>Gulf of Mexico - Q06 (Scored Response)</t>
  </si>
  <si>
    <t>CR424Q02S</t>
  </si>
  <si>
    <t>Fair Trade - Q02 (Scored Response)</t>
  </si>
  <si>
    <t>CR424Q03S</t>
  </si>
  <si>
    <t>Fair Trade - Q03 (Scored Response)</t>
  </si>
  <si>
    <t>CR424Q07S</t>
  </si>
  <si>
    <t>Fair Trade - Q07 (Scored Response)</t>
  </si>
  <si>
    <t>CR404Q03S</t>
  </si>
  <si>
    <t>Sleep - Q03 (Scored Response)</t>
  </si>
  <si>
    <t>CR404Q06S</t>
  </si>
  <si>
    <t>Sleep - Q06 (Scored Response)</t>
  </si>
  <si>
    <t>CR404Q07S</t>
  </si>
  <si>
    <t>Sleep - Q07 (Scored Response)</t>
  </si>
  <si>
    <t>DR404Q10AC</t>
  </si>
  <si>
    <t>Sleep - Q10A (Coded Response)</t>
  </si>
  <si>
    <t>DR404Q10BC</t>
  </si>
  <si>
    <t>Sleep - Q10B (Coded Response)</t>
  </si>
  <si>
    <t>DR406Q01C</t>
  </si>
  <si>
    <t>Kokeshi Dolls - Q01 (Coded Response)</t>
  </si>
  <si>
    <t>DR406Q05C</t>
  </si>
  <si>
    <t>Kokeshi Dolls - Q05 (Coded Response)</t>
  </si>
  <si>
    <t>DR406Q02C</t>
  </si>
  <si>
    <t>Kokeshi Dolls - Q02 (Coded Response)</t>
  </si>
  <si>
    <t>DR455Q02C</t>
  </si>
  <si>
    <t>Chocolate and Health - Q02 (Coded Response)</t>
  </si>
  <si>
    <t>DR455Q03C</t>
  </si>
  <si>
    <t>Chocolate and Health - Q03 (Coded Response)</t>
  </si>
  <si>
    <t>CR455Q04S</t>
  </si>
  <si>
    <t>Chocolate and Health - Q04 (Scored Response)</t>
  </si>
  <si>
    <t>CR455Q05S</t>
  </si>
  <si>
    <t>Chocolate and Health - Q05 (Scored Response)</t>
  </si>
  <si>
    <t>CR083Q01S</t>
  </si>
  <si>
    <t>Household Work - Q01 (Scored Response)</t>
  </si>
  <si>
    <t>CR083Q02S</t>
  </si>
  <si>
    <t>Household Work - Q02 (Scored Response)</t>
  </si>
  <si>
    <t>CR083Q03S</t>
  </si>
  <si>
    <t>Household Work - Q03 (Scored Response)</t>
  </si>
  <si>
    <t>CR083Q04S</t>
  </si>
  <si>
    <t>Household Work - Q04 (Scored Response)</t>
  </si>
  <si>
    <t>DR442Q02C</t>
  </si>
  <si>
    <t>Galileo - Q02 (Coded Response)</t>
  </si>
  <si>
    <t>DR442Q03C</t>
  </si>
  <si>
    <t>Galileo - Q03 (Coded Response)</t>
  </si>
  <si>
    <t>DR442Q05C</t>
  </si>
  <si>
    <t>Galileo - Q05 (Coded Response)</t>
  </si>
  <si>
    <t>DR442Q06C</t>
  </si>
  <si>
    <t>Galileo - Q06 (Coded Response)</t>
  </si>
  <si>
    <t>CR442Q07S</t>
  </si>
  <si>
    <t>Galileo - Q07 (Scored Response)</t>
  </si>
  <si>
    <t>CR245Q01S</t>
  </si>
  <si>
    <t>Movie Reviews - Q01 (Scored Response)</t>
  </si>
  <si>
    <t>CR245Q02S</t>
  </si>
  <si>
    <t>Movie Reviews - Q02 (Scored Response)</t>
  </si>
  <si>
    <t>CR101Q01S</t>
  </si>
  <si>
    <t>Rhino - Q01 (Scored Response)</t>
  </si>
  <si>
    <t>CR101Q02S</t>
  </si>
  <si>
    <t>Rhino - Q02 (Scored Response)</t>
  </si>
  <si>
    <t>CR101Q03S</t>
  </si>
  <si>
    <t>Rhino - Q03 (Scored Response)</t>
  </si>
  <si>
    <t>CR101Q04S</t>
  </si>
  <si>
    <t>Rhino - Q04 (Scored Response)</t>
  </si>
  <si>
    <t>CR101Q05S</t>
  </si>
  <si>
    <t>Rhino - Q05 (Scored Response)</t>
  </si>
  <si>
    <t>CR445Q03S</t>
  </si>
  <si>
    <t>Road - Q03 (Scored Response)</t>
  </si>
  <si>
    <t>DR445Q01C</t>
  </si>
  <si>
    <t>Road - Q01 (Coded Response)</t>
  </si>
  <si>
    <t>CR445Q04S</t>
  </si>
  <si>
    <t>Road - Q04 (Scored Response)</t>
  </si>
  <si>
    <t>CR445Q06S</t>
  </si>
  <si>
    <t>Road - Q06 (Scored Response)</t>
  </si>
  <si>
    <t>DR462Q02C</t>
  </si>
  <si>
    <t>Parcel Post - Q02 (Coded Response)</t>
  </si>
  <si>
    <t>DR462Q05C</t>
  </si>
  <si>
    <t>Parcel Post - Q05 (Coded Response)</t>
  </si>
  <si>
    <t>CR462Q04S</t>
  </si>
  <si>
    <t>Parcel Post - Q04 (Scored Response)</t>
  </si>
  <si>
    <t>CR435Q02S</t>
  </si>
  <si>
    <t>Dust Mites - Q02 (Scored Response)</t>
  </si>
  <si>
    <t>CR435Q01S</t>
  </si>
  <si>
    <t>Dust Mites - Q01 (Scored Response)</t>
  </si>
  <si>
    <t>DR435Q05C</t>
  </si>
  <si>
    <t>Dust Mites - Q05 (Coded Response)</t>
  </si>
  <si>
    <t>CR435Q08S</t>
  </si>
  <si>
    <t>Dust Mites - Q08 (Scored Response)</t>
  </si>
  <si>
    <t>DR465Q01C</t>
  </si>
  <si>
    <t>How to survive at work - Q01 (Coded Response)</t>
  </si>
  <si>
    <t>DR465Q02C</t>
  </si>
  <si>
    <t>How to survive at work - Q02 (Coded Response)</t>
  </si>
  <si>
    <t>DR465Q06C</t>
  </si>
  <si>
    <t>How to survive at work - Q06 (Coded Response)</t>
  </si>
  <si>
    <t>DR465Q05C</t>
  </si>
  <si>
    <t>How to survive at work - Q05 (Coded Response)</t>
  </si>
  <si>
    <t>R219Q01E</t>
  </si>
  <si>
    <t>Employment - Q01E (Coded Paper Response)</t>
  </si>
  <si>
    <t>PR219Q01S</t>
  </si>
  <si>
    <t>Employment - Q01 (Paper Scored Response)</t>
  </si>
  <si>
    <t>R219Q02</t>
  </si>
  <si>
    <t>Employment - Q02 (Coded Paper Response)</t>
  </si>
  <si>
    <t>PR067Q01S</t>
  </si>
  <si>
    <t>Aesop - Q01 (Paper Scored Response)</t>
  </si>
  <si>
    <t>R067Q04</t>
  </si>
  <si>
    <t>Aesop - Q04 (Coded Paper Response)</t>
  </si>
  <si>
    <t>R067Q05</t>
  </si>
  <si>
    <t>Aesop - Q05 (Coded Paper Response)</t>
  </si>
  <si>
    <t>R102Q04A</t>
  </si>
  <si>
    <t>Shirts - Q04A (Coded Paper Response)</t>
  </si>
  <si>
    <t>R102Q05</t>
  </si>
  <si>
    <t>Shirts - Q05 (Coded Paper Response)</t>
  </si>
  <si>
    <t>PR102Q07S</t>
  </si>
  <si>
    <t>Shirts - Q07 (Paper Scored Response)</t>
  </si>
  <si>
    <t>R220Q01</t>
  </si>
  <si>
    <t>South Pole - Q01 (Coded Paper Response)</t>
  </si>
  <si>
    <t>PR220Q02BS</t>
  </si>
  <si>
    <t>South Pole - Q02 (Paper Scored Response)</t>
  </si>
  <si>
    <t>PR220Q04S</t>
  </si>
  <si>
    <t>South Pole - Q04 (Paper Scored Response)</t>
  </si>
  <si>
    <t>PR220Q05S</t>
  </si>
  <si>
    <t>South Pole - Q05 (Paper Scored Response)</t>
  </si>
  <si>
    <t>PR220Q06S</t>
  </si>
  <si>
    <t>South Pole - Q06 (Paper Scored Response)</t>
  </si>
  <si>
    <t>PR227Q01S</t>
  </si>
  <si>
    <t>Optician - Q01 (Paper Scored Response)</t>
  </si>
  <si>
    <t>PR227Q02S</t>
  </si>
  <si>
    <t>Optician - Q02 (Paper Scored Response)</t>
  </si>
  <si>
    <t>R227Q03</t>
  </si>
  <si>
    <t>Optician - Q03 (Coded Paper Response)</t>
  </si>
  <si>
    <t>R227Q06</t>
  </si>
  <si>
    <t>Optician - Q06 (Coded Paper Response)</t>
  </si>
  <si>
    <t>PR111Q01S</t>
  </si>
  <si>
    <t>Exchange - Q01 (Paper Scored Response)</t>
  </si>
  <si>
    <t>R111Q02B</t>
  </si>
  <si>
    <t>Exchange - Q02B (Coded Paper Response)</t>
  </si>
  <si>
    <t>R111Q06B</t>
  </si>
  <si>
    <t>Exchange - Q06B (Coded Paper Response)</t>
  </si>
  <si>
    <t>PR055Q01S</t>
  </si>
  <si>
    <t>Drugged Spiders - Q01 (Paper Scored Response)</t>
  </si>
  <si>
    <t>R055Q02</t>
  </si>
  <si>
    <t>Drugged Spiders - Q02 (Coded Paper Response)</t>
  </si>
  <si>
    <t>R055Q03</t>
  </si>
  <si>
    <t>Drugged Spiders - Q03 (Coded Paper Response)</t>
  </si>
  <si>
    <t>R055Q05</t>
  </si>
  <si>
    <t>Drugged Spiders - Q05 (Coded Paper Response)</t>
  </si>
  <si>
    <t>R104Q01</t>
  </si>
  <si>
    <t>Telephone - Q01 (Coded Paper Response)</t>
  </si>
  <si>
    <t>R104Q02</t>
  </si>
  <si>
    <t>Telephone - Q02 (Coded Paper Response)</t>
  </si>
  <si>
    <t>R104Q05</t>
  </si>
  <si>
    <t>Telephone - Q05 (Coded Paper Response)</t>
  </si>
  <si>
    <t>PR420Q02</t>
  </si>
  <si>
    <t>Children's Futures - Q02 (Coded Paper Response)</t>
  </si>
  <si>
    <t>PR420Q10</t>
  </si>
  <si>
    <t>Children's Futures - Q10 (Coded Paper Response)</t>
  </si>
  <si>
    <t>PR420Q06</t>
  </si>
  <si>
    <t>Children's Futures - Q06 (Coded Paper Response)</t>
  </si>
  <si>
    <t>PR420Q09</t>
  </si>
  <si>
    <t>Children's Futures - Q09 (Coded Paper Response)</t>
  </si>
  <si>
    <t>PR453Q01S</t>
  </si>
  <si>
    <t>Summer Job - Q01 (Paper Scored Response)</t>
  </si>
  <si>
    <t>PR453Q04</t>
  </si>
  <si>
    <t>Summer Job - Q04 (Coded Paper Response)</t>
  </si>
  <si>
    <t>PR453Q05S</t>
  </si>
  <si>
    <t>Summer Job - Q05 (Paper Scored Response)</t>
  </si>
  <si>
    <t>PR453Q06</t>
  </si>
  <si>
    <t>Summer Job - Q06 (Coded Paper Response)</t>
  </si>
  <si>
    <t>PR412Q01S</t>
  </si>
  <si>
    <t>World Languages - Q01 (Paper Scored Response)</t>
  </si>
  <si>
    <t>PR412Q05S</t>
  </si>
  <si>
    <t>World Languages - Q05 (Paper Scored Response)</t>
  </si>
  <si>
    <t>PR412Q08</t>
  </si>
  <si>
    <t>World Languages - Q08 (Coded Paper Response)</t>
  </si>
  <si>
    <t>PR412Q06S</t>
  </si>
  <si>
    <t>World Languages - Q06 (Paper Scored Response)</t>
  </si>
  <si>
    <t>PR437Q01S</t>
  </si>
  <si>
    <t>Narcissus - Q01 (Paper Scored Response)</t>
  </si>
  <si>
    <t>PR437Q07</t>
  </si>
  <si>
    <t>Narcissus - Q07 (Coded Paper Response)</t>
  </si>
  <si>
    <t>PR437Q06S</t>
  </si>
  <si>
    <t>Narcissus - Q06 (Paper Scored Response)</t>
  </si>
  <si>
    <t>PR456Q01S</t>
  </si>
  <si>
    <t>Biscuits - Q01 (Paper Scored Response)</t>
  </si>
  <si>
    <t>PR456Q02</t>
  </si>
  <si>
    <t>Biscuits - Q02 (Coded Paper Response)</t>
  </si>
  <si>
    <t>PR456Q06</t>
  </si>
  <si>
    <t>Biscuits - Q06 (Coded Paper Response)</t>
  </si>
  <si>
    <t>PR466Q02</t>
  </si>
  <si>
    <t>Work Right - Q02 (Coded Paper Response)</t>
  </si>
  <si>
    <t>PR466Q03S</t>
  </si>
  <si>
    <t>Work Right - Q03 (Paper Scored Response)</t>
  </si>
  <si>
    <t>PR466Q06</t>
  </si>
  <si>
    <t>Work Right - Q06 (Coded Paper Response)</t>
  </si>
  <si>
    <t>PR446Q03</t>
  </si>
  <si>
    <t>Job Vacancy - Q03 (Coded Paper Response)</t>
  </si>
  <si>
    <t>PR446Q06</t>
  </si>
  <si>
    <t>Job Vacancy - Q06 (Coded Paper Response)</t>
  </si>
  <si>
    <t>PR432Q01</t>
  </si>
  <si>
    <t>About a book - Q01 (Coded Paper Response)</t>
  </si>
  <si>
    <t>PR432Q05</t>
  </si>
  <si>
    <t>About a book - Q05 (Coded Paper Response)</t>
  </si>
  <si>
    <t>PR432Q06S</t>
  </si>
  <si>
    <t>About a book - Q06 (Paper Scored Response)</t>
  </si>
  <si>
    <t>R460Q01</t>
  </si>
  <si>
    <t>Gulf of Mexico - Q01 (Coded Paper Response)</t>
  </si>
  <si>
    <t>PR460Q05S</t>
  </si>
  <si>
    <t>Gulf of Mexico - Q05 (Paper Scored Response)</t>
  </si>
  <si>
    <t>PR460Q06S</t>
  </si>
  <si>
    <t>Gulf of Mexico - Q06 (Paper Scored Response)</t>
  </si>
  <si>
    <t>PR424Q02S</t>
  </si>
  <si>
    <t>Fair Trade - Q02 (Paper Scored Response)</t>
  </si>
  <si>
    <t>PR424Q03S</t>
  </si>
  <si>
    <t>Fair Trade - Q03 (Paper Scored Response)</t>
  </si>
  <si>
    <t>PR424Q07S</t>
  </si>
  <si>
    <t>Fair Trade - Q07 (Paper Scored Response)</t>
  </si>
  <si>
    <t>PR404Q03S</t>
  </si>
  <si>
    <t>Sleep - Q03 (Paper Scored Response)</t>
  </si>
  <si>
    <t>PR404Q06S</t>
  </si>
  <si>
    <t>Sleep - Q06 (Paper Scored Response)</t>
  </si>
  <si>
    <t>PR404Q07S</t>
  </si>
  <si>
    <t>Sleep - Q07 (Paper Scored Response)</t>
  </si>
  <si>
    <t>PR404Q10A</t>
  </si>
  <si>
    <t>Sleep - Q10A (Coded Paper Response)</t>
  </si>
  <si>
    <t>PR404Q10B</t>
  </si>
  <si>
    <t>Sleep - Q10B (Coded Paper Response)</t>
  </si>
  <si>
    <t>PR406Q01</t>
  </si>
  <si>
    <t>Kokeshi Dolls - Q01 (Coded Paper Response)</t>
  </si>
  <si>
    <t>PR406Q05</t>
  </si>
  <si>
    <t>Kokeshi Dolls - Q05 (Coded Paper Response)</t>
  </si>
  <si>
    <t>PR406Q02</t>
  </si>
  <si>
    <t>Kokeshi Dolls - Q02 (Coded Paper Response)</t>
  </si>
  <si>
    <t>PR455Q02</t>
  </si>
  <si>
    <t>Chocolate and Health - Q02 (Coded Paper Response)</t>
  </si>
  <si>
    <t>PR455Q03</t>
  </si>
  <si>
    <t>Chocolate and Health - Q03 (Coded Paper Response)</t>
  </si>
  <si>
    <t>PR455Q04S</t>
  </si>
  <si>
    <t>Chocolate and Health - Q04 (Paper Scored Response)</t>
  </si>
  <si>
    <t>PR455Q05S</t>
  </si>
  <si>
    <t>Chocolate and Health - Q05 (Paper Scored Response)</t>
  </si>
  <si>
    <t>PR083Q01S</t>
  </si>
  <si>
    <t>Household Work - Q01 (Paper Scored Response)</t>
  </si>
  <si>
    <t>R083Q02</t>
  </si>
  <si>
    <t>Household Work - Q02 (Coded Paper Response)</t>
  </si>
  <si>
    <t>R083Q03</t>
  </si>
  <si>
    <t>Household Work - Q03 (Coded Paper Response)</t>
  </si>
  <si>
    <t>PR083Q04S</t>
  </si>
  <si>
    <t>Household Work - Q04 (Paper Scored Response)</t>
  </si>
  <si>
    <t>R442Q02</t>
  </si>
  <si>
    <t>Galileo - Q02 (Coded Paper Response)</t>
  </si>
  <si>
    <t>R442Q03</t>
  </si>
  <si>
    <t>Galileo - Q03 (Coded Paper Response)</t>
  </si>
  <si>
    <t>R442Q05</t>
  </si>
  <si>
    <t>Galileo - Q05 (Coded Paper Response)</t>
  </si>
  <si>
    <t>R442Q06</t>
  </si>
  <si>
    <t>Galileo - Q06 (Coded Paper Response)</t>
  </si>
  <si>
    <t>PR442Q07S</t>
  </si>
  <si>
    <t>Galileo - Q07 (Paper Scored Response)</t>
  </si>
  <si>
    <t>R245Q01</t>
  </si>
  <si>
    <t>Movie Reviews - Q01 (Coded Paper Response)</t>
  </si>
  <si>
    <t>R245Q02</t>
  </si>
  <si>
    <t>Movie Reviews - Q02 (Coded Paper Response)</t>
  </si>
  <si>
    <t>PR101Q01S</t>
  </si>
  <si>
    <t>Rhino - Q01 (Paper Scored Response)</t>
  </si>
  <si>
    <t>PR101Q02S</t>
  </si>
  <si>
    <t>Rhino - Q02 (Paper Scored Response)</t>
  </si>
  <si>
    <t>PR101Q03S</t>
  </si>
  <si>
    <t>Rhino - Q03 (Paper Scored Response)</t>
  </si>
  <si>
    <t>PR101Q04S</t>
  </si>
  <si>
    <t>Rhino - Q04 (Paper Scored Response)</t>
  </si>
  <si>
    <t>PR101Q05S</t>
  </si>
  <si>
    <t>Rhino - Q05 (Paper Scored Response)</t>
  </si>
  <si>
    <t>PR445Q03S</t>
  </si>
  <si>
    <t>Road - Q03 (Paper Scored Response)</t>
  </si>
  <si>
    <t>R445Q01</t>
  </si>
  <si>
    <t>Road - Q01 (Coded Paper Response)</t>
  </si>
  <si>
    <t>PR445Q04S</t>
  </si>
  <si>
    <t>Road - Q04 (Paper Scored Response)</t>
  </si>
  <si>
    <t>PR445Q06S</t>
  </si>
  <si>
    <t>Road - Q06 (Paper Scored Response)</t>
  </si>
  <si>
    <t>R462Q02</t>
  </si>
  <si>
    <t>Parcel Post - Q02 (Coded Paper Response)</t>
  </si>
  <si>
    <t>R462Q05</t>
  </si>
  <si>
    <t>Parcel Post - Q05 (Coded Paper Response)</t>
  </si>
  <si>
    <t>PR462Q04S</t>
  </si>
  <si>
    <t>Parcel Post - Q04 (Paper Scored Response)</t>
  </si>
  <si>
    <t>R435Q02</t>
  </si>
  <si>
    <t>Dust Mites - Q02 (Coded Paper Response)</t>
  </si>
  <si>
    <t>PR435Q01S</t>
  </si>
  <si>
    <t>Dust Mites - Q01 (Paper Scored Response)</t>
  </si>
  <si>
    <t>R435Q05</t>
  </si>
  <si>
    <t>Dust Mites - Q05 (Coded Paper Response)</t>
  </si>
  <si>
    <t>PR435Q08S</t>
  </si>
  <si>
    <t>Dust Mites - Q08 (Paper Scored Response)</t>
  </si>
  <si>
    <t>R465Q01</t>
  </si>
  <si>
    <t>How to survive at work - Q01 (Coded Paper Response)</t>
  </si>
  <si>
    <t>R465Q02</t>
  </si>
  <si>
    <t>How to survive at work - Q02 (Coded Paper Response)</t>
  </si>
  <si>
    <t>R465Q06</t>
  </si>
  <si>
    <t>How to survive at work - Q06 (Coded Paper Response)</t>
  </si>
  <si>
    <t>R465Q05</t>
  </si>
  <si>
    <t>How to survive at work - Q05 (Coded Paper Response)</t>
  </si>
  <si>
    <t>Cognitive items: Reading results for male students</t>
  </si>
  <si>
    <t>DR219Q01EC: Employment - Q01E (Coded Response)</t>
  </si>
  <si>
    <t>N</t>
  </si>
  <si>
    <t>System</t>
  </si>
  <si>
    <t>0 - No credit</t>
  </si>
  <si>
    <t>1 - Full credit</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</si>
  <si>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</si>
  <si>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</si>
  <si>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</si>
  <si>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</si>
  <si>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</si>
  <si>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</si>
  <si>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</si>
  <si>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</si>
  <si>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</si>
  <si>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</si>
  <si>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</si>
  <si>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</si>
  <si>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</si>
  <si>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</si>
  <si>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</si>
  <si>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</si>
  <si>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</si>
  <si>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</si>
  <si>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</si>
  <si>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</si>
  <si>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</si>
  <si>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</si>
  <si>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</si>
  <si>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</si>
  <si>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</si>
  <si>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</si>
  <si>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</si>
  <si>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</si>
  <si>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</si>
  <si>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</si>
  <si>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</si>
  <si>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</si>
  <si>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</si>
  <si>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</si>
  <si>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</si>
  <si>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</si>
  <si>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</si>
  <si>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</si>
  <si>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</si>
  <si>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</si>
  <si>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</si>
  <si>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</si>
  <si>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</si>
  <si>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</si>
  <si>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</si>
  <si>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</si>
  <si>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</si>
  <si>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</si>
  <si>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</si>
  <si>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</si>
  <si>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</si>
  <si>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</si>
  <si>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</si>
  <si>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</si>
  <si>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</si>
  <si>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</si>
  <si>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</si>
  <si>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</si>
  <si>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</si>
  <si>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</si>
  <si>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</si>
  <si>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</si>
  <si>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</si>
  <si>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</si>
  <si>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</si>
  <si>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</si>
  <si>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</si>
  <si>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</si>
  <si>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</si>
  <si>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</si>
  <si>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</si>
  <si>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</si>
  <si>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</si>
  <si>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</si>
  <si>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</si>
  <si>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</si>
  <si>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</si>
  <si>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</si>
  <si>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</si>
  <si>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</si>
  <si>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</si>
  <si>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</si>
  <si>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</si>
  <si>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</si>
  <si>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</si>
  <si>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</si>
  <si>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</si>
  <si>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</si>
  <si>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</si>
  <si>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</si>
  <si>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</si>
  <si>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cognitive questions refers to the percentage of data missing because a respondent did not see a question. This may have occurred when the student did not receive a particular set of questions (cluster) by design, exited the assessment early, ran out of time,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</si>
  <si>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</si>
  <si>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</si>
  <si>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</si>
  <si>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</si>
  <si>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</si>
  <si>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</si>
  <si>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</si>
  <si>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</si>
  <si>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</si>
  <si>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DR219Q01C: Employment - Q01 (Coded Response)</t>
  </si>
  <si>
    <t>DR219Q02C: Employment - Q02 (Coded Response)</t>
  </si>
  <si>
    <t>CR067Q01S: Aesop - Q01 (Scored Response)</t>
  </si>
  <si>
    <t>No credit</t>
  </si>
  <si>
    <t>Full credit</t>
  </si>
  <si>
    <t>DR067Q04C: Aesop - Q04 (Coded Response)</t>
  </si>
  <si>
    <t>1 - Partial credit</t>
  </si>
  <si>
    <t>2 - Full credit</t>
  </si>
  <si>
    <t>DR067Q05C: Aesop - Q05 (Coded Response)</t>
  </si>
  <si>
    <t>DR102Q04C: Shirts - Q04 (Coded Response)</t>
  </si>
  <si>
    <t>DR102Q05C: Shirts - Q05 (Coded Response)</t>
  </si>
  <si>
    <t>CR102Q07S: Shirts - Q07 (Scored Response)</t>
  </si>
  <si>
    <t>CR220Q01S: South Pole - Q01 (Scored Response)</t>
  </si>
  <si>
    <t>CR220Q02S: South Pole - Q02 (Scored Response)</t>
  </si>
  <si>
    <t>CR220Q04S: South Pole - Q04 (Scored Response)</t>
  </si>
  <si>
    <t>CR220Q05S: South Pole - Q05 (Scored Response)</t>
  </si>
  <si>
    <t>CR220Q06S: South Pole - Q06 (Scored Response)</t>
  </si>
  <si>
    <t>CR227Q01S: Optician - Q01 (Scored Response)</t>
  </si>
  <si>
    <t>CR227Q02S: Optician - Q02 (Scored Response)</t>
  </si>
  <si>
    <t>Partial credit</t>
  </si>
  <si>
    <t>DR227Q03C: Optician - Q03 (Coded Response)</t>
  </si>
  <si>
    <t>DR227Q06C: Optician - Q06 (Coded Response)</t>
  </si>
  <si>
    <t>CR111Q01S: Exchange - Q01 (Scored Response)</t>
  </si>
  <si>
    <t>DR111Q02BC: Exchange - Q02B (Coded Response)</t>
  </si>
  <si>
    <t>DR111Q06C: Exchange - Q06 (Coded Response)</t>
  </si>
  <si>
    <t>CR055Q01S: Drugged Spiders - Q01 (Scored Response)</t>
  </si>
  <si>
    <t>DR055Q02C: Drugged Spiders - Q02 (Coded Response)</t>
  </si>
  <si>
    <t>DR055Q03C: Drugged Spiders - Q03 (Coded Response)</t>
  </si>
  <si>
    <t>1 - No credit</t>
  </si>
  <si>
    <t>DR055Q05C: Drugged Spiders - Q05 (Coded Response)</t>
  </si>
  <si>
    <t>CR104Q01S: Telephone - Q01 (Scored Response)</t>
  </si>
  <si>
    <t>CR104Q02S: Telephone - Q02 (Scored Response)</t>
  </si>
  <si>
    <t>CR104Q05S: Telephone - Q05 (Scored Response)</t>
  </si>
  <si>
    <t>DR420Q02C: Children's Futures - Q02 (Coded Response)</t>
  </si>
  <si>
    <t>DR420Q10C: Children's Futures - Q10 (Coded Response)</t>
  </si>
  <si>
    <t>DR420Q06C: Children's Futures - Q06 (Coded Response)</t>
  </si>
  <si>
    <t>DR420Q09C: Children's Futures - Q09 (Coded Response)</t>
  </si>
  <si>
    <t>CR453Q01S: Summer Job - Q01 (Scored Response)</t>
  </si>
  <si>
    <t>DR453Q04C: Summer Job - Q04 (Coded Response)</t>
  </si>
  <si>
    <t>CR453Q05S: Summer Job - Q05 (Scored Response)</t>
  </si>
  <si>
    <t>DR453Q06C: Summer Job - Q06 (Coded Response)</t>
  </si>
  <si>
    <t>CR412Q01S: World Languages - Q01 (Scored Response)</t>
  </si>
  <si>
    <t>CR412Q05S: World Languages - Q05 (Scored Response)</t>
  </si>
  <si>
    <t>DR412Q08C: World Languages - Q08 (Coded Response)</t>
  </si>
  <si>
    <t>CR412Q06S: World Languages - Q06 (Scored Response)</t>
  </si>
  <si>
    <t>CR437Q01S: Narcissus - Q01 (Scored Response)</t>
  </si>
  <si>
    <t>DR437Q07C: Narcissus - Q07 (Coded Response)</t>
  </si>
  <si>
    <t>CR437Q06S: Narcissus - Q06 (Scored Response)</t>
  </si>
  <si>
    <t>CR456Q01S: Biscuits - Q01 (Scored Response)</t>
  </si>
  <si>
    <t>DR456Q02C: Biscuits - Q02 (Coded Response)</t>
  </si>
  <si>
    <t>DR456Q06C: Biscuits - Q06 (Coded Response)</t>
  </si>
  <si>
    <t>DR466Q02C: Work Right - Q02 (Coded Response)</t>
  </si>
  <si>
    <t>CR466Q03S: Work Right - Q03 (Scored Response)</t>
  </si>
  <si>
    <t>CR466Q06S: Work Right - Q06 (Scored Response)</t>
  </si>
  <si>
    <t>CR446Q03S: Job Vacancy - Q03 (Scored Response)</t>
  </si>
  <si>
    <t>DR446Q06C: Job Vacancy - Q06 (Coded Response)</t>
  </si>
  <si>
    <t>DR432Q01C: About a book - Q01 (Coded Response)</t>
  </si>
  <si>
    <t>DR432Q05C: About a book - Q05 (Coded Response)</t>
  </si>
  <si>
    <t>CR432Q06S: About a book - Q06 (Scored Response)</t>
  </si>
  <si>
    <t>DR460Q01C: Gulf of Mexico - Q01 (Coded Response)</t>
  </si>
  <si>
    <t>CR460Q05S: Gulf of Mexico - Q05 (Scored Response)</t>
  </si>
  <si>
    <t>CR460Q06S: Gulf of Mexico - Q06 (Scored Response)</t>
  </si>
  <si>
    <t>CR424Q02S: Fair Trade - Q02 (Scored Response)</t>
  </si>
  <si>
    <t>CR424Q03S: Fair Trade - Q03 (Scored Response)</t>
  </si>
  <si>
    <t>CR424Q07S: Fair Trade - Q07 (Scored Response)</t>
  </si>
  <si>
    <t>CR404Q03S: Sleep - Q03 (Scored Response)</t>
  </si>
  <si>
    <t>CR404Q06S: Sleep - Q06 (Scored Response)</t>
  </si>
  <si>
    <t>CR404Q07S: Sleep - Q07 (Scored Response)</t>
  </si>
  <si>
    <t>DR404Q10AC: Sleep - Q10A (Coded Response)</t>
  </si>
  <si>
    <t>DR404Q10BC: Sleep - Q10B (Coded Response)</t>
  </si>
  <si>
    <t>DR406Q01C: Kokeshi Dolls - Q01 (Coded Response)</t>
  </si>
  <si>
    <t>DR406Q05C: Kokeshi Dolls - Q05 (Coded Response)</t>
  </si>
  <si>
    <t>DR406Q02C: Kokeshi Dolls - Q02 (Coded Response)</t>
  </si>
  <si>
    <t>DR455Q02C: Chocolate and Health - Q02 (Coded Response)</t>
  </si>
  <si>
    <t>DR455Q03C: Chocolate and Health - Q03 (Coded Response)</t>
  </si>
  <si>
    <t>CR455Q04S: Chocolate and Health - Q04 (Scored Response)</t>
  </si>
  <si>
    <t>CR455Q05S: Chocolate and Health - Q05 (Scored Response)</t>
  </si>
  <si>
    <t>CR083Q01S: Household Work - Q01 (Scored Response)</t>
  </si>
  <si>
    <t>CR083Q02S: Household Work - Q02 (Scored Response)</t>
  </si>
  <si>
    <t>CR083Q03S: Household Work - Q03 (Scored Response)</t>
  </si>
  <si>
    <t>CR083Q04S: Household Work - Q04 (Scored Response)</t>
  </si>
  <si>
    <t>DR442Q02C: Galileo - Q02 (Coded Response)</t>
  </si>
  <si>
    <t>DR442Q03C: Galileo - Q03 (Coded Response)</t>
  </si>
  <si>
    <t>DR442Q05C: Galileo - Q05 (Coded Response)</t>
  </si>
  <si>
    <t>DR442Q06C: Galileo - Q06 (Coded Response)</t>
  </si>
  <si>
    <t>CR442Q07S: Galileo - Q07 (Scored Response)</t>
  </si>
  <si>
    <t>CR245Q01S: Movie Reviews - Q01 (Scored Response)</t>
  </si>
  <si>
    <t>CR245Q02S: Movie Reviews - Q02 (Scored Response)</t>
  </si>
  <si>
    <t>CR101Q01S: Rhino - Q01 (Scored Response)</t>
  </si>
  <si>
    <t>CR101Q02S: Rhino - Q02 (Scored Response)</t>
  </si>
  <si>
    <t>CR101Q03S: Rhino - Q03 (Scored Response)</t>
  </si>
  <si>
    <t>CR101Q04S: Rhino - Q04 (Scored Response)</t>
  </si>
  <si>
    <t>CR101Q05S: Rhino - Q05 (Scored Response)</t>
  </si>
  <si>
    <t>CR445Q03S: Road - Q03 (Scored Response)</t>
  </si>
  <si>
    <t>DR445Q01C: Road - Q01 (Coded Response)</t>
  </si>
  <si>
    <t>CR445Q04S: Road - Q04 (Scored Response)</t>
  </si>
  <si>
    <t>CR445Q06S: Road - Q06 (Scored Response)</t>
  </si>
  <si>
    <t>DR462Q02C: Parcel Post - Q02 (Coded Response)</t>
  </si>
  <si>
    <t>DR462Q05C: Parcel Post - Q05 (Coded Response)</t>
  </si>
  <si>
    <t>CR462Q04S: Parcel Post - Q04 (Scored Response)</t>
  </si>
  <si>
    <t>CR435Q02S: Dust Mites - Q02 (Scored Response)</t>
  </si>
  <si>
    <t>CR435Q01S: Dust Mites - Q01 (Scored Response)</t>
  </si>
  <si>
    <t>DR435Q05C: Dust Mites - Q05 (Coded Response)</t>
  </si>
  <si>
    <t>CR435Q08S: Dust Mites - Q08 (Scored Response)</t>
  </si>
  <si>
    <t>DR465Q01C: How to survive at work - Q01 (Coded Response)</t>
  </si>
  <si>
    <t>DR465Q02C: How to survive at work - Q02 (Coded Response)</t>
  </si>
  <si>
    <t>DR465Q06C: How to survive at work - Q06 (Coded Response)</t>
  </si>
  <si>
    <t>DR465Q05C: How to survive at work - Q05 (Coded Response)</t>
  </si>
  <si>
    <t>R219Q01E: Employment - Q01E (Coded Paper Response)</t>
  </si>
  <si>
    <t>PR219Q01S: Employment - Q01 (Paper Scored Response)</t>
  </si>
  <si>
    <t>R219Q02: Employment - Q02 (Coded Paper Response)</t>
  </si>
  <si>
    <t>PR067Q01S: Aesop - Q01 (Paper Scored Response)</t>
  </si>
  <si>
    <t>R067Q04: Aesop - Q04 (Coded Paper Response)</t>
  </si>
  <si>
    <t>R067Q05: Aesop - Q05 (Coded Paper Response)</t>
  </si>
  <si>
    <t>R102Q04A: Shirts - Q04A (Coded Paper Response)</t>
  </si>
  <si>
    <t>R102Q05: Shirts - Q05 (Coded Paper Response)</t>
  </si>
  <si>
    <t>PR102Q07S: Shirts - Q07 (Paper Scored Response)</t>
  </si>
  <si>
    <t>R220Q01: South Pole - Q01 (Coded Paper Response)</t>
  </si>
  <si>
    <t>PR220Q02BS: South Pole - Q02 (Paper Scored Response)</t>
  </si>
  <si>
    <t>PR220Q04S: South Pole - Q04 (Paper Scored Response)</t>
  </si>
  <si>
    <t>PR220Q05S: South Pole - Q05 (Paper Scored Response)</t>
  </si>
  <si>
    <t>PR220Q06S: South Pole - Q06 (Paper Scored Response)</t>
  </si>
  <si>
    <t>PR227Q01S: Optician - Q01 (Paper Scored Response)</t>
  </si>
  <si>
    <t>PR227Q02S: Optician - Q02 (Paper Scored Response)</t>
  </si>
  <si>
    <t>R227Q03: Optician - Q03 (Coded Paper Response)</t>
  </si>
  <si>
    <t>R227Q06: Optician - Q06 (Coded Paper Response)</t>
  </si>
  <si>
    <t>PR111Q01S: Exchange - Q01 (Paper Scored Response)</t>
  </si>
  <si>
    <t>R111Q02B: Exchange - Q02B (Coded Paper Response)</t>
  </si>
  <si>
    <t>R111Q06B: Exchange - Q06B (Coded Paper Response)</t>
  </si>
  <si>
    <t>PR055Q01S: Drugged Spiders - Q01 (Paper Scored Response)</t>
  </si>
  <si>
    <t>R055Q02: Drugged Spiders - Q02 (Coded Paper Response)</t>
  </si>
  <si>
    <t>R055Q03: Drugged Spiders - Q03 (Coded Paper Response)</t>
  </si>
  <si>
    <t>R055Q05: Drugged Spiders - Q05 (Coded Paper Response)</t>
  </si>
  <si>
    <t>R104Q01: Telephone - Q01 (Coded Paper Response)</t>
  </si>
  <si>
    <t>R104Q02: Telephone - Q02 (Coded Paper Response)</t>
  </si>
  <si>
    <t>R104Q05: Telephone - Q05 (Coded Paper Response)</t>
  </si>
  <si>
    <t>PR420Q02: Children's Futures - Q02 (Coded Paper Response)</t>
  </si>
  <si>
    <t>PR420Q10: Children's Futures - Q10 (Coded Paper Response)</t>
  </si>
  <si>
    <t>PR420Q06: Children's Futures - Q06 (Coded Paper Response)</t>
  </si>
  <si>
    <t>PR420Q09: Children's Futures - Q09 (Coded Paper Response)</t>
  </si>
  <si>
    <t>PR453Q01S: Summer Job - Q01 (Paper Scored Response)</t>
  </si>
  <si>
    <t>PR453Q04: Summer Job - Q04 (Coded Paper Response)</t>
  </si>
  <si>
    <t>PR453Q05S: Summer Job - Q05 (Paper Scored Response)</t>
  </si>
  <si>
    <t>PR453Q06: Summer Job - Q06 (Coded Paper Response)</t>
  </si>
  <si>
    <t>PR412Q01S: World Languages - Q01 (Paper Scored Response)</t>
  </si>
  <si>
    <t>PR412Q05S: World Languages - Q05 (Paper Scored Response)</t>
  </si>
  <si>
    <t>PR412Q08: World Languages - Q08 (Coded Paper Response)</t>
  </si>
  <si>
    <t>PR412Q06S: World Languages - Q06 (Paper Scored Response)</t>
  </si>
  <si>
    <t>PR437Q01S: Narcissus - Q01 (Paper Scored Response)</t>
  </si>
  <si>
    <t>PR437Q07: Narcissus - Q07 (Coded Paper Response)</t>
  </si>
  <si>
    <t>PR437Q06S: Narcissus - Q06 (Paper Scored Response)</t>
  </si>
  <si>
    <t>PR456Q01S: Biscuits - Q01 (Paper Scored Response)</t>
  </si>
  <si>
    <t>PR456Q02: Biscuits - Q02 (Coded Paper Response)</t>
  </si>
  <si>
    <t>PR456Q06: Biscuits - Q06 (Coded Paper Response)</t>
  </si>
  <si>
    <t>PR466Q02: Work Right - Q02 (Coded Paper Response)</t>
  </si>
  <si>
    <t>PR466Q03S: Work Right - Q03 (Paper Scored Response)</t>
  </si>
  <si>
    <t>PR466Q06: Work Right - Q06 (Coded Paper Response)</t>
  </si>
  <si>
    <t>PR446Q03: Job Vacancy - Q03 (Coded Paper Response)</t>
  </si>
  <si>
    <t>PR446Q06: Job Vacancy - Q06 (Coded Paper Response)</t>
  </si>
  <si>
    <t>PR432Q01: About a book - Q01 (Coded Paper Response)</t>
  </si>
  <si>
    <t>PR432Q05: About a book - Q05 (Coded Paper Response)</t>
  </si>
  <si>
    <t>PR432Q06S: About a book - Q06 (Paper Scored Response)</t>
  </si>
  <si>
    <t>R460Q01: Gulf of Mexico - Q01 (Coded Paper Response)</t>
  </si>
  <si>
    <t>PR460Q05S: Gulf of Mexico - Q05 (Paper Scored Response)</t>
  </si>
  <si>
    <t>PR460Q06S: Gulf of Mexico - Q06 (Paper Scored Response)</t>
  </si>
  <si>
    <t>PR424Q02S: Fair Trade - Q02 (Paper Scored Response)</t>
  </si>
  <si>
    <t>PR424Q03S: Fair Trade - Q03 (Paper Scored Response)</t>
  </si>
  <si>
    <t>PR424Q07S: Fair Trade - Q07 (Paper Scored Response)</t>
  </si>
  <si>
    <t>PR404Q03S: Sleep - Q03 (Paper Scored Response)</t>
  </si>
  <si>
    <t>PR404Q06S: Sleep - Q06 (Paper Scored Response)</t>
  </si>
  <si>
    <t>PR404Q07S: Sleep - Q07 (Paper Scored Response)</t>
  </si>
  <si>
    <t>PR404Q10A: Sleep - Q10A (Coded Paper Response)</t>
  </si>
  <si>
    <t>PR404Q10B: Sleep - Q10B (Coded Paper Response)</t>
  </si>
  <si>
    <t>PR406Q01: Kokeshi Dolls - Q01 (Coded Paper Response)</t>
  </si>
  <si>
    <t>PR406Q05: Kokeshi Dolls - Q05 (Coded Paper Response)</t>
  </si>
  <si>
    <t>PR406Q02: Kokeshi Dolls - Q02 (Coded Paper Response)</t>
  </si>
  <si>
    <t>PR455Q02: Chocolate and Health - Q02 (Coded Paper Response)</t>
  </si>
  <si>
    <t>PR455Q03: Chocolate and Health - Q03 (Coded Paper Response)</t>
  </si>
  <si>
    <t>PR455Q04S: Chocolate and Health - Q04 (Paper Scored Response)</t>
  </si>
  <si>
    <t>PR455Q05S: Chocolate and Health - Q05 (Paper Scored Response)</t>
  </si>
  <si>
    <t>PR083Q01S: Household Work - Q01 (Paper Scored Response)</t>
  </si>
  <si>
    <t>R083Q02: Household Work - Q02 (Coded Paper Response)</t>
  </si>
  <si>
    <t>R083Q03: Household Work - Q03 (Coded Paper Response)</t>
  </si>
  <si>
    <t>PR083Q04S: Household Work - Q04 (Paper Scored Response)</t>
  </si>
  <si>
    <t>R442Q02: Galileo - Q02 (Coded Paper Response)</t>
  </si>
  <si>
    <t>R442Q03: Galileo - Q03 (Coded Paper Response)</t>
  </si>
  <si>
    <t>R442Q05: Galileo - Q05 (Coded Paper Response)</t>
  </si>
  <si>
    <t>R442Q06: Galileo - Q06 (Coded Paper Response)</t>
  </si>
  <si>
    <t>PR442Q07S: Galileo - Q07 (Paper Scored Response)</t>
  </si>
  <si>
    <t>R245Q01: Movie Reviews - Q01 (Coded Paper Response)</t>
  </si>
  <si>
    <t>R245Q02: Movie Reviews - Q02 (Coded Paper Response)</t>
  </si>
  <si>
    <t>PR101Q01S: Rhino - Q01 (Paper Scored Response)</t>
  </si>
  <si>
    <t>PR101Q02S: Rhino - Q02 (Paper Scored Response)</t>
  </si>
  <si>
    <t>PR101Q03S: Rhino - Q03 (Paper Scored Response)</t>
  </si>
  <si>
    <t>PR101Q04S: Rhino - Q04 (Paper Scored Response)</t>
  </si>
  <si>
    <t>PR101Q05S: Rhino - Q05 (Paper Scored Response)</t>
  </si>
  <si>
    <t>PR445Q03S: Road - Q03 (Paper Scored Response)</t>
  </si>
  <si>
    <t>R445Q01: Road - Q01 (Coded Paper Response)</t>
  </si>
  <si>
    <t>PR445Q04S: Road - Q04 (Paper Scored Response)</t>
  </si>
  <si>
    <t>PR445Q06S: Road - Q06 (Paper Scored Response)</t>
  </si>
  <si>
    <t>R462Q02: Parcel Post - Q02 (Coded Paper Response)</t>
  </si>
  <si>
    <t>R462Q05: Parcel Post - Q05 (Coded Paper Response)</t>
  </si>
  <si>
    <t>PR462Q04S: Parcel Post - Q04 (Paper Scored Response)</t>
  </si>
  <si>
    <t>R435Q02: Dust Mites - Q02 (Coded Paper Response)</t>
  </si>
  <si>
    <t>PR435Q01S: Dust Mites - Q01 (Paper Scored Response)</t>
  </si>
  <si>
    <t>R435Q05: Dust Mites - Q05 (Coded Paper Response)</t>
  </si>
  <si>
    <t>PR435Q08S: Dust Mites - Q08 (Paper Scored Response)</t>
  </si>
  <si>
    <t>R465Q01: How to survive at work - Q01 (Coded Paper Response)</t>
  </si>
  <si>
    <t>R465Q02: How to survive at work - Q02 (Coded Paper Response)</t>
  </si>
  <si>
    <t>R465Q06: How to survive at work - Q06 (Coded Paper Response)</t>
  </si>
  <si>
    <t>R465Q05: How to survive at work - Q05 (Coded Paper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</si>
</sst>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sharedStrings.xml" Type="http://schemas.openxmlformats.org/officeDocument/2006/relationships/sharedStrings"/><Relationship Id="rId209" Target="styles.xml" Type="http://schemas.openxmlformats.org/officeDocument/2006/relationships/styles"/><Relationship Id="rId210"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DR219Q01EC'!A6" TargetMode="External" Type="http://schemas.openxmlformats.org/officeDocument/2006/relationships/hyperlink"/><Relationship Id="rId2" Target="#'DR219Q01C'!A6" TargetMode="External" Type="http://schemas.openxmlformats.org/officeDocument/2006/relationships/hyperlink"/><Relationship Id="rId3" Target="#'DR219Q02C'!A6" TargetMode="External" Type="http://schemas.openxmlformats.org/officeDocument/2006/relationships/hyperlink"/><Relationship Id="rId4" Target="#'CR067Q01S'!A6" TargetMode="External" Type="http://schemas.openxmlformats.org/officeDocument/2006/relationships/hyperlink"/><Relationship Id="rId5" Target="#'DR067Q04C'!A6" TargetMode="External" Type="http://schemas.openxmlformats.org/officeDocument/2006/relationships/hyperlink"/><Relationship Id="rId6" Target="#'DR067Q05C'!A6" TargetMode="External" Type="http://schemas.openxmlformats.org/officeDocument/2006/relationships/hyperlink"/><Relationship Id="rId7" Target="#'DR102Q04C'!A6" TargetMode="External" Type="http://schemas.openxmlformats.org/officeDocument/2006/relationships/hyperlink"/><Relationship Id="rId8" Target="#'DR102Q05C'!A6" TargetMode="External" Type="http://schemas.openxmlformats.org/officeDocument/2006/relationships/hyperlink"/><Relationship Id="rId9" Target="#'CR102Q07S'!A6" TargetMode="External" Type="http://schemas.openxmlformats.org/officeDocument/2006/relationships/hyperlink"/><Relationship Id="rId10" Target="#'CR220Q01S'!A6" TargetMode="External" Type="http://schemas.openxmlformats.org/officeDocument/2006/relationships/hyperlink"/><Relationship Id="rId11" Target="#'CR220Q02S'!A6" TargetMode="External" Type="http://schemas.openxmlformats.org/officeDocument/2006/relationships/hyperlink"/><Relationship Id="rId12" Target="#'CR220Q04S'!A6" TargetMode="External" Type="http://schemas.openxmlformats.org/officeDocument/2006/relationships/hyperlink"/><Relationship Id="rId13" Target="#'CR220Q05S'!A6" TargetMode="External" Type="http://schemas.openxmlformats.org/officeDocument/2006/relationships/hyperlink"/><Relationship Id="rId14" Target="#'CR220Q06S'!A6" TargetMode="External" Type="http://schemas.openxmlformats.org/officeDocument/2006/relationships/hyperlink"/><Relationship Id="rId15" Target="#'CR227Q01S'!A6" TargetMode="External" Type="http://schemas.openxmlformats.org/officeDocument/2006/relationships/hyperlink"/><Relationship Id="rId16" Target="#'CR227Q02S'!A6" TargetMode="External" Type="http://schemas.openxmlformats.org/officeDocument/2006/relationships/hyperlink"/><Relationship Id="rId17" Target="#'DR227Q03C'!A6" TargetMode="External" Type="http://schemas.openxmlformats.org/officeDocument/2006/relationships/hyperlink"/><Relationship Id="rId18" Target="#'DR227Q06C'!A6" TargetMode="External" Type="http://schemas.openxmlformats.org/officeDocument/2006/relationships/hyperlink"/><Relationship Id="rId19" Target="#'CR111Q01S'!A6" TargetMode="External" Type="http://schemas.openxmlformats.org/officeDocument/2006/relationships/hyperlink"/><Relationship Id="rId20" Target="#'DR111Q02BC'!A6" TargetMode="External" Type="http://schemas.openxmlformats.org/officeDocument/2006/relationships/hyperlink"/><Relationship Id="rId21" Target="#'DR111Q06C'!A6" TargetMode="External" Type="http://schemas.openxmlformats.org/officeDocument/2006/relationships/hyperlink"/><Relationship Id="rId22" Target="#'CR055Q01S'!A6" TargetMode="External" Type="http://schemas.openxmlformats.org/officeDocument/2006/relationships/hyperlink"/><Relationship Id="rId23" Target="#'DR055Q02C'!A6" TargetMode="External" Type="http://schemas.openxmlformats.org/officeDocument/2006/relationships/hyperlink"/><Relationship Id="rId24" Target="#'DR055Q03C'!A6" TargetMode="External" Type="http://schemas.openxmlformats.org/officeDocument/2006/relationships/hyperlink"/><Relationship Id="rId25" Target="#'DR055Q05C'!A6" TargetMode="External" Type="http://schemas.openxmlformats.org/officeDocument/2006/relationships/hyperlink"/><Relationship Id="rId26" Target="#'CR104Q01S'!A6" TargetMode="External" Type="http://schemas.openxmlformats.org/officeDocument/2006/relationships/hyperlink"/><Relationship Id="rId27" Target="#'CR104Q02S'!A6" TargetMode="External" Type="http://schemas.openxmlformats.org/officeDocument/2006/relationships/hyperlink"/><Relationship Id="rId28" Target="#'CR104Q05S'!A6" TargetMode="External" Type="http://schemas.openxmlformats.org/officeDocument/2006/relationships/hyperlink"/><Relationship Id="rId29" Target="#'DR420Q02C'!A6" TargetMode="External" Type="http://schemas.openxmlformats.org/officeDocument/2006/relationships/hyperlink"/><Relationship Id="rId30" Target="#'DR420Q10C'!A6" TargetMode="External" Type="http://schemas.openxmlformats.org/officeDocument/2006/relationships/hyperlink"/><Relationship Id="rId31" Target="#'DR420Q06C'!A6" TargetMode="External" Type="http://schemas.openxmlformats.org/officeDocument/2006/relationships/hyperlink"/><Relationship Id="rId32" Target="#'DR420Q09C'!A6" TargetMode="External" Type="http://schemas.openxmlformats.org/officeDocument/2006/relationships/hyperlink"/><Relationship Id="rId33" Target="#'CR453Q01S'!A6" TargetMode="External" Type="http://schemas.openxmlformats.org/officeDocument/2006/relationships/hyperlink"/><Relationship Id="rId34" Target="#'DR453Q04C'!A6" TargetMode="External" Type="http://schemas.openxmlformats.org/officeDocument/2006/relationships/hyperlink"/><Relationship Id="rId35" Target="#'CR453Q05S'!A6" TargetMode="External" Type="http://schemas.openxmlformats.org/officeDocument/2006/relationships/hyperlink"/><Relationship Id="rId36" Target="#'DR453Q06C'!A6" TargetMode="External" Type="http://schemas.openxmlformats.org/officeDocument/2006/relationships/hyperlink"/><Relationship Id="rId37" Target="#'CR412Q01S'!A6" TargetMode="External" Type="http://schemas.openxmlformats.org/officeDocument/2006/relationships/hyperlink"/><Relationship Id="rId38" Target="#'CR412Q05S'!A6" TargetMode="External" Type="http://schemas.openxmlformats.org/officeDocument/2006/relationships/hyperlink"/><Relationship Id="rId39" Target="#'DR412Q08C'!A6" TargetMode="External" Type="http://schemas.openxmlformats.org/officeDocument/2006/relationships/hyperlink"/><Relationship Id="rId40" Target="#'CR412Q06S'!A6" TargetMode="External" Type="http://schemas.openxmlformats.org/officeDocument/2006/relationships/hyperlink"/><Relationship Id="rId41" Target="#'CR437Q01S'!A6" TargetMode="External" Type="http://schemas.openxmlformats.org/officeDocument/2006/relationships/hyperlink"/><Relationship Id="rId42" Target="#'DR437Q07C'!A6" TargetMode="External" Type="http://schemas.openxmlformats.org/officeDocument/2006/relationships/hyperlink"/><Relationship Id="rId43" Target="#'CR437Q06S'!A6" TargetMode="External" Type="http://schemas.openxmlformats.org/officeDocument/2006/relationships/hyperlink"/><Relationship Id="rId44" Target="#'CR456Q01S'!A6" TargetMode="External" Type="http://schemas.openxmlformats.org/officeDocument/2006/relationships/hyperlink"/><Relationship Id="rId45" Target="#'DR456Q02C'!A6" TargetMode="External" Type="http://schemas.openxmlformats.org/officeDocument/2006/relationships/hyperlink"/><Relationship Id="rId46" Target="#'DR456Q06C'!A6" TargetMode="External" Type="http://schemas.openxmlformats.org/officeDocument/2006/relationships/hyperlink"/><Relationship Id="rId47" Target="#'DR466Q02C'!A6" TargetMode="External" Type="http://schemas.openxmlformats.org/officeDocument/2006/relationships/hyperlink"/><Relationship Id="rId48" Target="#'CR466Q03S'!A6" TargetMode="External" Type="http://schemas.openxmlformats.org/officeDocument/2006/relationships/hyperlink"/><Relationship Id="rId49" Target="#'CR466Q06S'!A6" TargetMode="External" Type="http://schemas.openxmlformats.org/officeDocument/2006/relationships/hyperlink"/><Relationship Id="rId50" Target="#'CR446Q03S'!A6" TargetMode="External" Type="http://schemas.openxmlformats.org/officeDocument/2006/relationships/hyperlink"/><Relationship Id="rId51" Target="#'DR446Q06C'!A6" TargetMode="External" Type="http://schemas.openxmlformats.org/officeDocument/2006/relationships/hyperlink"/><Relationship Id="rId52" Target="#'DR432Q01C'!A6" TargetMode="External" Type="http://schemas.openxmlformats.org/officeDocument/2006/relationships/hyperlink"/><Relationship Id="rId53" Target="#'DR432Q05C'!A6" TargetMode="External" Type="http://schemas.openxmlformats.org/officeDocument/2006/relationships/hyperlink"/><Relationship Id="rId54" Target="#'CR432Q06S'!A6" TargetMode="External" Type="http://schemas.openxmlformats.org/officeDocument/2006/relationships/hyperlink"/><Relationship Id="rId55" Target="#'DR460Q01C'!A6" TargetMode="External" Type="http://schemas.openxmlformats.org/officeDocument/2006/relationships/hyperlink"/><Relationship Id="rId56" Target="#'CR460Q05S'!A6" TargetMode="External" Type="http://schemas.openxmlformats.org/officeDocument/2006/relationships/hyperlink"/><Relationship Id="rId57" Target="#'CR460Q06S'!A6" TargetMode="External" Type="http://schemas.openxmlformats.org/officeDocument/2006/relationships/hyperlink"/><Relationship Id="rId58" Target="#'CR424Q02S'!A6" TargetMode="External" Type="http://schemas.openxmlformats.org/officeDocument/2006/relationships/hyperlink"/><Relationship Id="rId59" Target="#'CR424Q03S'!A6" TargetMode="External" Type="http://schemas.openxmlformats.org/officeDocument/2006/relationships/hyperlink"/><Relationship Id="rId60" Target="#'CR424Q07S'!A6" TargetMode="External" Type="http://schemas.openxmlformats.org/officeDocument/2006/relationships/hyperlink"/><Relationship Id="rId61" Target="#'CR404Q03S'!A6" TargetMode="External" Type="http://schemas.openxmlformats.org/officeDocument/2006/relationships/hyperlink"/><Relationship Id="rId62" Target="#'CR404Q06S'!A6" TargetMode="External" Type="http://schemas.openxmlformats.org/officeDocument/2006/relationships/hyperlink"/><Relationship Id="rId63" Target="#'CR404Q07S'!A6" TargetMode="External" Type="http://schemas.openxmlformats.org/officeDocument/2006/relationships/hyperlink"/><Relationship Id="rId64" Target="#'DR404Q10AC'!A6" TargetMode="External" Type="http://schemas.openxmlformats.org/officeDocument/2006/relationships/hyperlink"/><Relationship Id="rId65" Target="#'DR404Q10BC'!A6" TargetMode="External" Type="http://schemas.openxmlformats.org/officeDocument/2006/relationships/hyperlink"/><Relationship Id="rId66" Target="#'DR406Q01C'!A6" TargetMode="External" Type="http://schemas.openxmlformats.org/officeDocument/2006/relationships/hyperlink"/><Relationship Id="rId67" Target="#'DR406Q05C'!A6" TargetMode="External" Type="http://schemas.openxmlformats.org/officeDocument/2006/relationships/hyperlink"/><Relationship Id="rId68" Target="#'DR406Q02C'!A6" TargetMode="External" Type="http://schemas.openxmlformats.org/officeDocument/2006/relationships/hyperlink"/><Relationship Id="rId69" Target="#'DR455Q02C'!A6" TargetMode="External" Type="http://schemas.openxmlformats.org/officeDocument/2006/relationships/hyperlink"/><Relationship Id="rId70" Target="#'DR455Q03C'!A6" TargetMode="External" Type="http://schemas.openxmlformats.org/officeDocument/2006/relationships/hyperlink"/><Relationship Id="rId71" Target="#'CR455Q04S'!A6" TargetMode="External" Type="http://schemas.openxmlformats.org/officeDocument/2006/relationships/hyperlink"/><Relationship Id="rId72" Target="#'CR455Q05S'!A6" TargetMode="External" Type="http://schemas.openxmlformats.org/officeDocument/2006/relationships/hyperlink"/><Relationship Id="rId73" Target="#'CR083Q01S'!A6" TargetMode="External" Type="http://schemas.openxmlformats.org/officeDocument/2006/relationships/hyperlink"/><Relationship Id="rId74" Target="#'CR083Q02S'!A6" TargetMode="External" Type="http://schemas.openxmlformats.org/officeDocument/2006/relationships/hyperlink"/><Relationship Id="rId75" Target="#'CR083Q03S'!A6" TargetMode="External" Type="http://schemas.openxmlformats.org/officeDocument/2006/relationships/hyperlink"/><Relationship Id="rId76" Target="#'CR083Q04S'!A6" TargetMode="External" Type="http://schemas.openxmlformats.org/officeDocument/2006/relationships/hyperlink"/><Relationship Id="rId77" Target="#'DR442Q02C'!A6" TargetMode="External" Type="http://schemas.openxmlformats.org/officeDocument/2006/relationships/hyperlink"/><Relationship Id="rId78" Target="#'DR442Q03C'!A6" TargetMode="External" Type="http://schemas.openxmlformats.org/officeDocument/2006/relationships/hyperlink"/><Relationship Id="rId79" Target="#'DR442Q05C'!A6" TargetMode="External" Type="http://schemas.openxmlformats.org/officeDocument/2006/relationships/hyperlink"/><Relationship Id="rId80" Target="#'DR442Q06C'!A6" TargetMode="External" Type="http://schemas.openxmlformats.org/officeDocument/2006/relationships/hyperlink"/><Relationship Id="rId81" Target="#'CR442Q07S'!A6" TargetMode="External" Type="http://schemas.openxmlformats.org/officeDocument/2006/relationships/hyperlink"/><Relationship Id="rId82" Target="#'CR245Q01S'!A6" TargetMode="External" Type="http://schemas.openxmlformats.org/officeDocument/2006/relationships/hyperlink"/><Relationship Id="rId83" Target="#'CR245Q02S'!A6" TargetMode="External" Type="http://schemas.openxmlformats.org/officeDocument/2006/relationships/hyperlink"/><Relationship Id="rId84" Target="#'CR101Q01S'!A6" TargetMode="External" Type="http://schemas.openxmlformats.org/officeDocument/2006/relationships/hyperlink"/><Relationship Id="rId85" Target="#'CR101Q02S'!A6" TargetMode="External" Type="http://schemas.openxmlformats.org/officeDocument/2006/relationships/hyperlink"/><Relationship Id="rId86" Target="#'CR101Q03S'!A6" TargetMode="External" Type="http://schemas.openxmlformats.org/officeDocument/2006/relationships/hyperlink"/><Relationship Id="rId87" Target="#'CR101Q04S'!A6" TargetMode="External" Type="http://schemas.openxmlformats.org/officeDocument/2006/relationships/hyperlink"/><Relationship Id="rId88" Target="#'CR101Q05S'!A6" TargetMode="External" Type="http://schemas.openxmlformats.org/officeDocument/2006/relationships/hyperlink"/><Relationship Id="rId89" Target="#'CR445Q03S'!A6" TargetMode="External" Type="http://schemas.openxmlformats.org/officeDocument/2006/relationships/hyperlink"/><Relationship Id="rId90" Target="#'DR445Q01C'!A6" TargetMode="External" Type="http://schemas.openxmlformats.org/officeDocument/2006/relationships/hyperlink"/><Relationship Id="rId91" Target="#'CR445Q04S'!A6" TargetMode="External" Type="http://schemas.openxmlformats.org/officeDocument/2006/relationships/hyperlink"/><Relationship Id="rId92" Target="#'CR445Q06S'!A6" TargetMode="External" Type="http://schemas.openxmlformats.org/officeDocument/2006/relationships/hyperlink"/><Relationship Id="rId93" Target="#'DR462Q02C'!A6" TargetMode="External" Type="http://schemas.openxmlformats.org/officeDocument/2006/relationships/hyperlink"/><Relationship Id="rId94" Target="#'DR462Q05C'!A6" TargetMode="External" Type="http://schemas.openxmlformats.org/officeDocument/2006/relationships/hyperlink"/><Relationship Id="rId95" Target="#'CR462Q04S'!A6" TargetMode="External" Type="http://schemas.openxmlformats.org/officeDocument/2006/relationships/hyperlink"/><Relationship Id="rId96" Target="#'CR435Q02S'!A6" TargetMode="External" Type="http://schemas.openxmlformats.org/officeDocument/2006/relationships/hyperlink"/><Relationship Id="rId97" Target="#'CR435Q01S'!A6" TargetMode="External" Type="http://schemas.openxmlformats.org/officeDocument/2006/relationships/hyperlink"/><Relationship Id="rId98" Target="#'DR435Q05C'!A6" TargetMode="External" Type="http://schemas.openxmlformats.org/officeDocument/2006/relationships/hyperlink"/><Relationship Id="rId99" Target="#'CR435Q08S'!A6" TargetMode="External" Type="http://schemas.openxmlformats.org/officeDocument/2006/relationships/hyperlink"/><Relationship Id="rId100" Target="#'DR465Q01C'!A6" TargetMode="External" Type="http://schemas.openxmlformats.org/officeDocument/2006/relationships/hyperlink"/><Relationship Id="rId101" Target="#'DR465Q02C'!A6" TargetMode="External" Type="http://schemas.openxmlformats.org/officeDocument/2006/relationships/hyperlink"/><Relationship Id="rId102" Target="#'DR465Q06C'!A6" TargetMode="External" Type="http://schemas.openxmlformats.org/officeDocument/2006/relationships/hyperlink"/><Relationship Id="rId103" Target="#'DR465Q05C'!A6" TargetMode="External" Type="http://schemas.openxmlformats.org/officeDocument/2006/relationships/hyperlink"/><Relationship Id="rId104" Target="#'R219Q01E'!A6" TargetMode="External" Type="http://schemas.openxmlformats.org/officeDocument/2006/relationships/hyperlink"/><Relationship Id="rId105" Target="#'PR219Q01S'!A6" TargetMode="External" Type="http://schemas.openxmlformats.org/officeDocument/2006/relationships/hyperlink"/><Relationship Id="rId106" Target="#'R219Q02'!A6" TargetMode="External" Type="http://schemas.openxmlformats.org/officeDocument/2006/relationships/hyperlink"/><Relationship Id="rId107" Target="#'PR067Q01S'!A6" TargetMode="External" Type="http://schemas.openxmlformats.org/officeDocument/2006/relationships/hyperlink"/><Relationship Id="rId108" Target="#'R067Q04'!A6" TargetMode="External" Type="http://schemas.openxmlformats.org/officeDocument/2006/relationships/hyperlink"/><Relationship Id="rId109" Target="#'R067Q05'!A6" TargetMode="External" Type="http://schemas.openxmlformats.org/officeDocument/2006/relationships/hyperlink"/><Relationship Id="rId110" Target="#'R102Q04A'!A6" TargetMode="External" Type="http://schemas.openxmlformats.org/officeDocument/2006/relationships/hyperlink"/><Relationship Id="rId111" Target="#'R102Q05'!A6" TargetMode="External" Type="http://schemas.openxmlformats.org/officeDocument/2006/relationships/hyperlink"/><Relationship Id="rId112" Target="#'PR102Q07S'!A6" TargetMode="External" Type="http://schemas.openxmlformats.org/officeDocument/2006/relationships/hyperlink"/><Relationship Id="rId113" Target="#'R220Q01'!A6" TargetMode="External" Type="http://schemas.openxmlformats.org/officeDocument/2006/relationships/hyperlink"/><Relationship Id="rId114" Target="#'PR220Q02BS'!A6" TargetMode="External" Type="http://schemas.openxmlformats.org/officeDocument/2006/relationships/hyperlink"/><Relationship Id="rId115" Target="#'PR220Q04S'!A6" TargetMode="External" Type="http://schemas.openxmlformats.org/officeDocument/2006/relationships/hyperlink"/><Relationship Id="rId116" Target="#'PR220Q05S'!A6" TargetMode="External" Type="http://schemas.openxmlformats.org/officeDocument/2006/relationships/hyperlink"/><Relationship Id="rId117" Target="#'PR220Q06S'!A6" TargetMode="External" Type="http://schemas.openxmlformats.org/officeDocument/2006/relationships/hyperlink"/><Relationship Id="rId118" Target="#'PR227Q01S'!A6" TargetMode="External" Type="http://schemas.openxmlformats.org/officeDocument/2006/relationships/hyperlink"/><Relationship Id="rId119" Target="#'PR227Q02S'!A6" TargetMode="External" Type="http://schemas.openxmlformats.org/officeDocument/2006/relationships/hyperlink"/><Relationship Id="rId120" Target="#'R227Q03'!A6" TargetMode="External" Type="http://schemas.openxmlformats.org/officeDocument/2006/relationships/hyperlink"/><Relationship Id="rId121" Target="#'R227Q06'!A6" TargetMode="External" Type="http://schemas.openxmlformats.org/officeDocument/2006/relationships/hyperlink"/><Relationship Id="rId122" Target="#'PR111Q01S'!A6" TargetMode="External" Type="http://schemas.openxmlformats.org/officeDocument/2006/relationships/hyperlink"/><Relationship Id="rId123" Target="#'R111Q02B'!A6" TargetMode="External" Type="http://schemas.openxmlformats.org/officeDocument/2006/relationships/hyperlink"/><Relationship Id="rId124" Target="#'R111Q06B'!A6" TargetMode="External" Type="http://schemas.openxmlformats.org/officeDocument/2006/relationships/hyperlink"/><Relationship Id="rId125" Target="#'PR055Q01S'!A6" TargetMode="External" Type="http://schemas.openxmlformats.org/officeDocument/2006/relationships/hyperlink"/><Relationship Id="rId126" Target="#'R055Q02'!A6" TargetMode="External" Type="http://schemas.openxmlformats.org/officeDocument/2006/relationships/hyperlink"/><Relationship Id="rId127" Target="#'R055Q03'!A6" TargetMode="External" Type="http://schemas.openxmlformats.org/officeDocument/2006/relationships/hyperlink"/><Relationship Id="rId128" Target="#'R055Q05'!A6" TargetMode="External" Type="http://schemas.openxmlformats.org/officeDocument/2006/relationships/hyperlink"/><Relationship Id="rId129" Target="#'R104Q01'!A6" TargetMode="External" Type="http://schemas.openxmlformats.org/officeDocument/2006/relationships/hyperlink"/><Relationship Id="rId130" Target="#'R104Q02'!A6" TargetMode="External" Type="http://schemas.openxmlformats.org/officeDocument/2006/relationships/hyperlink"/><Relationship Id="rId131" Target="#'R104Q05'!A6" TargetMode="External" Type="http://schemas.openxmlformats.org/officeDocument/2006/relationships/hyperlink"/><Relationship Id="rId132" Target="#'PR420Q02'!A6" TargetMode="External" Type="http://schemas.openxmlformats.org/officeDocument/2006/relationships/hyperlink"/><Relationship Id="rId133" Target="#'PR420Q10'!A6" TargetMode="External" Type="http://schemas.openxmlformats.org/officeDocument/2006/relationships/hyperlink"/><Relationship Id="rId134" Target="#'PR420Q06'!A6" TargetMode="External" Type="http://schemas.openxmlformats.org/officeDocument/2006/relationships/hyperlink"/><Relationship Id="rId135" Target="#'PR420Q09'!A6" TargetMode="External" Type="http://schemas.openxmlformats.org/officeDocument/2006/relationships/hyperlink"/><Relationship Id="rId136" Target="#'PR453Q01S'!A6" TargetMode="External" Type="http://schemas.openxmlformats.org/officeDocument/2006/relationships/hyperlink"/><Relationship Id="rId137" Target="#'PR453Q04'!A6" TargetMode="External" Type="http://schemas.openxmlformats.org/officeDocument/2006/relationships/hyperlink"/><Relationship Id="rId138" Target="#'PR453Q05S'!A6" TargetMode="External" Type="http://schemas.openxmlformats.org/officeDocument/2006/relationships/hyperlink"/><Relationship Id="rId139" Target="#'PR453Q06'!A6" TargetMode="External" Type="http://schemas.openxmlformats.org/officeDocument/2006/relationships/hyperlink"/><Relationship Id="rId140" Target="#'PR412Q01S'!A6" TargetMode="External" Type="http://schemas.openxmlformats.org/officeDocument/2006/relationships/hyperlink"/><Relationship Id="rId141" Target="#'PR412Q05S'!A6" TargetMode="External" Type="http://schemas.openxmlformats.org/officeDocument/2006/relationships/hyperlink"/><Relationship Id="rId142" Target="#'PR412Q08'!A6" TargetMode="External" Type="http://schemas.openxmlformats.org/officeDocument/2006/relationships/hyperlink"/><Relationship Id="rId143" Target="#'PR412Q06S'!A6" TargetMode="External" Type="http://schemas.openxmlformats.org/officeDocument/2006/relationships/hyperlink"/><Relationship Id="rId144" Target="#'PR437Q01S'!A6" TargetMode="External" Type="http://schemas.openxmlformats.org/officeDocument/2006/relationships/hyperlink"/><Relationship Id="rId145" Target="#'PR437Q07'!A6" TargetMode="External" Type="http://schemas.openxmlformats.org/officeDocument/2006/relationships/hyperlink"/><Relationship Id="rId146" Target="#'PR437Q06S'!A6" TargetMode="External" Type="http://schemas.openxmlformats.org/officeDocument/2006/relationships/hyperlink"/><Relationship Id="rId147" Target="#'PR456Q01S'!A6" TargetMode="External" Type="http://schemas.openxmlformats.org/officeDocument/2006/relationships/hyperlink"/><Relationship Id="rId148" Target="#'PR456Q02'!A6" TargetMode="External" Type="http://schemas.openxmlformats.org/officeDocument/2006/relationships/hyperlink"/><Relationship Id="rId149" Target="#'PR456Q06'!A6" TargetMode="External" Type="http://schemas.openxmlformats.org/officeDocument/2006/relationships/hyperlink"/><Relationship Id="rId150" Target="#'PR466Q02'!A6" TargetMode="External" Type="http://schemas.openxmlformats.org/officeDocument/2006/relationships/hyperlink"/><Relationship Id="rId151" Target="#'PR466Q03S'!A6" TargetMode="External" Type="http://schemas.openxmlformats.org/officeDocument/2006/relationships/hyperlink"/><Relationship Id="rId152" Target="#'PR466Q06'!A6" TargetMode="External" Type="http://schemas.openxmlformats.org/officeDocument/2006/relationships/hyperlink"/><Relationship Id="rId153" Target="#'PR446Q03'!A6" TargetMode="External" Type="http://schemas.openxmlformats.org/officeDocument/2006/relationships/hyperlink"/><Relationship Id="rId154" Target="#'PR446Q06'!A6" TargetMode="External" Type="http://schemas.openxmlformats.org/officeDocument/2006/relationships/hyperlink"/><Relationship Id="rId155" Target="#'PR432Q01'!A6" TargetMode="External" Type="http://schemas.openxmlformats.org/officeDocument/2006/relationships/hyperlink"/><Relationship Id="rId156" Target="#'PR432Q05'!A6" TargetMode="External" Type="http://schemas.openxmlformats.org/officeDocument/2006/relationships/hyperlink"/><Relationship Id="rId157" Target="#'PR432Q06S'!A6" TargetMode="External" Type="http://schemas.openxmlformats.org/officeDocument/2006/relationships/hyperlink"/><Relationship Id="rId158" Target="#'R460Q01'!A6" TargetMode="External" Type="http://schemas.openxmlformats.org/officeDocument/2006/relationships/hyperlink"/><Relationship Id="rId159" Target="#'PR460Q05S'!A6" TargetMode="External" Type="http://schemas.openxmlformats.org/officeDocument/2006/relationships/hyperlink"/><Relationship Id="rId160" Target="#'PR460Q06S'!A6" TargetMode="External" Type="http://schemas.openxmlformats.org/officeDocument/2006/relationships/hyperlink"/><Relationship Id="rId161" Target="#'PR424Q02S'!A6" TargetMode="External" Type="http://schemas.openxmlformats.org/officeDocument/2006/relationships/hyperlink"/><Relationship Id="rId162" Target="#'PR424Q03S'!A6" TargetMode="External" Type="http://schemas.openxmlformats.org/officeDocument/2006/relationships/hyperlink"/><Relationship Id="rId163" Target="#'PR424Q07S'!A6" TargetMode="External" Type="http://schemas.openxmlformats.org/officeDocument/2006/relationships/hyperlink"/><Relationship Id="rId164" Target="#'PR404Q03S'!A6" TargetMode="External" Type="http://schemas.openxmlformats.org/officeDocument/2006/relationships/hyperlink"/><Relationship Id="rId165" Target="#'PR404Q06S'!A6" TargetMode="External" Type="http://schemas.openxmlformats.org/officeDocument/2006/relationships/hyperlink"/><Relationship Id="rId166" Target="#'PR404Q07S'!A6" TargetMode="External" Type="http://schemas.openxmlformats.org/officeDocument/2006/relationships/hyperlink"/><Relationship Id="rId167" Target="#'PR404Q10A'!A6" TargetMode="External" Type="http://schemas.openxmlformats.org/officeDocument/2006/relationships/hyperlink"/><Relationship Id="rId168" Target="#'PR404Q10B'!A6" TargetMode="External" Type="http://schemas.openxmlformats.org/officeDocument/2006/relationships/hyperlink"/><Relationship Id="rId169" Target="#'PR406Q01'!A6" TargetMode="External" Type="http://schemas.openxmlformats.org/officeDocument/2006/relationships/hyperlink"/><Relationship Id="rId170" Target="#'PR406Q05'!A6" TargetMode="External" Type="http://schemas.openxmlformats.org/officeDocument/2006/relationships/hyperlink"/><Relationship Id="rId171" Target="#'PR406Q02'!A6" TargetMode="External" Type="http://schemas.openxmlformats.org/officeDocument/2006/relationships/hyperlink"/><Relationship Id="rId172" Target="#'PR455Q02'!A6" TargetMode="External" Type="http://schemas.openxmlformats.org/officeDocument/2006/relationships/hyperlink"/><Relationship Id="rId173" Target="#'PR455Q03'!A6" TargetMode="External" Type="http://schemas.openxmlformats.org/officeDocument/2006/relationships/hyperlink"/><Relationship Id="rId174" Target="#'PR455Q04S'!A6" TargetMode="External" Type="http://schemas.openxmlformats.org/officeDocument/2006/relationships/hyperlink"/><Relationship Id="rId175" Target="#'PR455Q05S'!A6" TargetMode="External" Type="http://schemas.openxmlformats.org/officeDocument/2006/relationships/hyperlink"/><Relationship Id="rId176" Target="#'PR083Q01S'!A6" TargetMode="External" Type="http://schemas.openxmlformats.org/officeDocument/2006/relationships/hyperlink"/><Relationship Id="rId177" Target="#'R083Q02'!A6" TargetMode="External" Type="http://schemas.openxmlformats.org/officeDocument/2006/relationships/hyperlink"/><Relationship Id="rId178" Target="#'R083Q03'!A6" TargetMode="External" Type="http://schemas.openxmlformats.org/officeDocument/2006/relationships/hyperlink"/><Relationship Id="rId179" Target="#'PR083Q04S'!A6" TargetMode="External" Type="http://schemas.openxmlformats.org/officeDocument/2006/relationships/hyperlink"/><Relationship Id="rId180" Target="#'R442Q02'!A6" TargetMode="External" Type="http://schemas.openxmlformats.org/officeDocument/2006/relationships/hyperlink"/><Relationship Id="rId181" Target="#'R442Q03'!A6" TargetMode="External" Type="http://schemas.openxmlformats.org/officeDocument/2006/relationships/hyperlink"/><Relationship Id="rId182" Target="#'R442Q05'!A6" TargetMode="External" Type="http://schemas.openxmlformats.org/officeDocument/2006/relationships/hyperlink"/><Relationship Id="rId183" Target="#'R442Q06'!A6" TargetMode="External" Type="http://schemas.openxmlformats.org/officeDocument/2006/relationships/hyperlink"/><Relationship Id="rId184" Target="#'PR442Q07S'!A6" TargetMode="External" Type="http://schemas.openxmlformats.org/officeDocument/2006/relationships/hyperlink"/><Relationship Id="rId185" Target="#'R245Q01'!A6" TargetMode="External" Type="http://schemas.openxmlformats.org/officeDocument/2006/relationships/hyperlink"/><Relationship Id="rId186" Target="#'R245Q02'!A6" TargetMode="External" Type="http://schemas.openxmlformats.org/officeDocument/2006/relationships/hyperlink"/><Relationship Id="rId187" Target="#'PR101Q01S'!A6" TargetMode="External" Type="http://schemas.openxmlformats.org/officeDocument/2006/relationships/hyperlink"/><Relationship Id="rId188" Target="#'PR101Q02S'!A6" TargetMode="External" Type="http://schemas.openxmlformats.org/officeDocument/2006/relationships/hyperlink"/><Relationship Id="rId189" Target="#'PR101Q03S'!A6" TargetMode="External" Type="http://schemas.openxmlformats.org/officeDocument/2006/relationships/hyperlink"/><Relationship Id="rId190" Target="#'PR101Q04S'!A6" TargetMode="External" Type="http://schemas.openxmlformats.org/officeDocument/2006/relationships/hyperlink"/><Relationship Id="rId191" Target="#'PR101Q05S'!A6" TargetMode="External" Type="http://schemas.openxmlformats.org/officeDocument/2006/relationships/hyperlink"/><Relationship Id="rId192" Target="#'PR445Q03S'!A6" TargetMode="External" Type="http://schemas.openxmlformats.org/officeDocument/2006/relationships/hyperlink"/><Relationship Id="rId193" Target="#'R445Q01'!A6" TargetMode="External" Type="http://schemas.openxmlformats.org/officeDocument/2006/relationships/hyperlink"/><Relationship Id="rId194" Target="#'PR445Q04S'!A6" TargetMode="External" Type="http://schemas.openxmlformats.org/officeDocument/2006/relationships/hyperlink"/><Relationship Id="rId195" Target="#'PR445Q06S'!A6" TargetMode="External" Type="http://schemas.openxmlformats.org/officeDocument/2006/relationships/hyperlink"/><Relationship Id="rId196" Target="#'R462Q02'!A6" TargetMode="External" Type="http://schemas.openxmlformats.org/officeDocument/2006/relationships/hyperlink"/><Relationship Id="rId197" Target="#'R462Q05'!A6" TargetMode="External" Type="http://schemas.openxmlformats.org/officeDocument/2006/relationships/hyperlink"/><Relationship Id="rId198" Target="#'PR462Q04S'!A6" TargetMode="External" Type="http://schemas.openxmlformats.org/officeDocument/2006/relationships/hyperlink"/><Relationship Id="rId199" Target="#'R435Q02'!A6" TargetMode="External" Type="http://schemas.openxmlformats.org/officeDocument/2006/relationships/hyperlink"/><Relationship Id="rId200" Target="#'PR435Q01S'!A6" TargetMode="External" Type="http://schemas.openxmlformats.org/officeDocument/2006/relationships/hyperlink"/><Relationship Id="rId201" Target="#'R435Q05'!A6" TargetMode="External" Type="http://schemas.openxmlformats.org/officeDocument/2006/relationships/hyperlink"/><Relationship Id="rId202" Target="#'PR435Q08S'!A6" TargetMode="External" Type="http://schemas.openxmlformats.org/officeDocument/2006/relationships/hyperlink"/><Relationship Id="rId203" Target="#'R465Q01'!A6" TargetMode="External" Type="http://schemas.openxmlformats.org/officeDocument/2006/relationships/hyperlink"/><Relationship Id="rId204" Target="#'R465Q02'!A6" TargetMode="External" Type="http://schemas.openxmlformats.org/officeDocument/2006/relationships/hyperlink"/><Relationship Id="rId205" Target="#'R465Q06'!A6" TargetMode="External" Type="http://schemas.openxmlformats.org/officeDocument/2006/relationships/hyperlink"/><Relationship Id="rId206" Target="#'R465Q05'!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07"/>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414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(6461.0/B7*100)</f>
        <v/>
      </c>
      <c r="D7" s="19" t="n">
        <v>906</v>
      </c>
      <c r="E7" s="18" t="n">
        <v>16.86386357</v>
      </c>
      <c r="F7" s="20" t="n">
        <v>1.4644066</v>
      </c>
      <c r="G7" s="18" t="n">
        <v>73.23566884</v>
      </c>
      <c r="H7" s="20" t="n">
        <v>1.68870162</v>
      </c>
      <c r="I7" s="18" t="s">
        <v>431</v>
      </c>
      <c r="J7" s="20" t="s">
        <v>431</v>
      </c>
      <c r="K7" s="18" t="n">
        <v>0.20444098</v>
      </c>
      <c r="L7" s="20" t="n">
        <v>0.20010949</v>
      </c>
      <c r="M7" s="18" t="n">
        <v>0</v>
      </c>
      <c r="N7" s="20" t="n">
        <v>0</v>
      </c>
      <c r="O7" s="18" t="n">
        <v>0</v>
      </c>
      <c r="P7" s="20" t="n">
        <v>0</v>
      </c>
      <c r="Q7" s="18" t="n">
        <v>9.6960266</v>
      </c>
      <c r="R7" s="20" t="n">
        <v>1.00497497</v>
      </c>
    </row>
    <row r="8" spans="1:18">
      <c r="A8" s="15" t="s">
        <v>432</v>
      </c>
      <c r="B8" s="17" t="n">
        <v>3564</v>
      </c>
      <c r="C8" s="18">
        <f>(3139.0/B8*100)</f>
        <v/>
      </c>
      <c r="D8" s="19" t="n">
        <v>425</v>
      </c>
      <c r="E8" s="18" t="n">
        <v>12.5059075</v>
      </c>
      <c r="F8" s="20" t="n">
        <v>1.61325102</v>
      </c>
      <c r="G8" s="18" t="n">
        <v>75.60256132000001</v>
      </c>
      <c r="H8" s="20" t="n">
        <v>2.09351664</v>
      </c>
      <c r="I8" s="18" t="s">
        <v>431</v>
      </c>
      <c r="J8" s="20" t="s">
        <v>431</v>
      </c>
      <c r="K8" s="18" t="n">
        <v>0</v>
      </c>
      <c r="L8" s="20" t="n">
        <v>0</v>
      </c>
      <c r="M8" s="18" t="n">
        <v>0</v>
      </c>
      <c r="N8" s="20" t="n">
        <v>0</v>
      </c>
      <c r="O8" s="18" t="n">
        <v>0</v>
      </c>
      <c r="P8" s="20" t="n">
        <v>0</v>
      </c>
      <c r="Q8" s="18" t="n">
        <v>11.89153118</v>
      </c>
      <c r="R8" s="20" t="n">
        <v>1.43618118</v>
      </c>
    </row>
    <row r="9" spans="1:18">
      <c r="A9" s="15" t="s">
        <v>433</v>
      </c>
      <c r="B9" s="17" t="n">
        <v>4899</v>
      </c>
      <c r="C9" s="18">
        <f>(4328.0/B9*100)</f>
        <v/>
      </c>
      <c r="D9" s="19" t="n">
        <v>571</v>
      </c>
      <c r="E9" s="18" t="n">
        <v>16.56877838</v>
      </c>
      <c r="F9" s="20" t="n">
        <v>1.7756252</v>
      </c>
      <c r="G9" s="18" t="n">
        <v>74.79639407000001</v>
      </c>
      <c r="H9" s="20" t="n">
        <v>1.90952242</v>
      </c>
      <c r="I9" s="18" t="s">
        <v>431</v>
      </c>
      <c r="J9" s="20" t="s">
        <v>431</v>
      </c>
      <c r="K9" s="18" t="n">
        <v>0.15595692</v>
      </c>
      <c r="L9" s="20" t="n">
        <v>0.15130496</v>
      </c>
      <c r="M9" s="18" t="n">
        <v>0</v>
      </c>
      <c r="N9" s="20" t="n">
        <v>0</v>
      </c>
      <c r="O9" s="18" t="n">
        <v>0</v>
      </c>
      <c r="P9" s="20" t="n">
        <v>0</v>
      </c>
      <c r="Q9" s="18" t="n">
        <v>8.478870629999999</v>
      </c>
      <c r="R9" s="20" t="n">
        <v>1.27580749</v>
      </c>
    </row>
    <row r="10" spans="1:18">
      <c r="A10" s="15" t="s">
        <v>434</v>
      </c>
      <c r="B10" s="17" t="n">
        <v>10036</v>
      </c>
      <c r="C10" s="18">
        <f>(8832.0/B10*100)</f>
        <v/>
      </c>
      <c r="D10" s="19" t="n">
        <v>1204</v>
      </c>
      <c r="E10" s="18" t="n">
        <v>21.23716838</v>
      </c>
      <c r="F10" s="20" t="n">
        <v>1.95430982</v>
      </c>
      <c r="G10" s="18" t="n">
        <v>70.74566906</v>
      </c>
      <c r="H10" s="20" t="n">
        <v>1.91706066</v>
      </c>
      <c r="I10" s="18" t="s">
        <v>431</v>
      </c>
      <c r="J10" s="20" t="s">
        <v>431</v>
      </c>
      <c r="K10" s="18" t="n">
        <v>0</v>
      </c>
      <c r="L10" s="20" t="n">
        <v>0</v>
      </c>
      <c r="M10" s="18" t="n">
        <v>0</v>
      </c>
      <c r="N10" s="20" t="n">
        <v>0</v>
      </c>
      <c r="O10" s="18" t="n">
        <v>0</v>
      </c>
      <c r="P10" s="20" t="n">
        <v>0</v>
      </c>
      <c r="Q10" s="18" t="n">
        <v>8.017162559999999</v>
      </c>
      <c r="R10" s="20" t="n">
        <v>1.01671911</v>
      </c>
    </row>
    <row r="11" spans="1:18">
      <c r="A11" s="15" t="s">
        <v>435</v>
      </c>
      <c r="B11" s="17" t="n">
        <v>3553</v>
      </c>
      <c r="C11" s="18">
        <f>(3120.0/B11*100)</f>
        <v/>
      </c>
      <c r="D11" s="19" t="n">
        <v>433</v>
      </c>
      <c r="E11" s="18" t="n">
        <v>33.68617833</v>
      </c>
      <c r="F11" s="20" t="n">
        <v>2.88497116</v>
      </c>
      <c r="G11" s="18" t="n">
        <v>35.45476815</v>
      </c>
      <c r="H11" s="20" t="n">
        <v>2.68698009</v>
      </c>
      <c r="I11" s="18" t="s">
        <v>431</v>
      </c>
      <c r="J11" s="20" t="s">
        <v>431</v>
      </c>
      <c r="K11" s="18" t="n">
        <v>0</v>
      </c>
      <c r="L11" s="20" t="n">
        <v>0</v>
      </c>
      <c r="M11" s="18" t="n">
        <v>0</v>
      </c>
      <c r="N11" s="20" t="n">
        <v>0</v>
      </c>
      <c r="O11" s="18" t="n">
        <v>0</v>
      </c>
      <c r="P11" s="20" t="n">
        <v>0</v>
      </c>
      <c r="Q11" s="18" t="n">
        <v>30.85905353</v>
      </c>
      <c r="R11" s="20" t="n">
        <v>3.08099125</v>
      </c>
    </row>
    <row r="12" spans="1:18">
      <c r="A12" s="15" t="s">
        <v>436</v>
      </c>
      <c r="B12" s="17" t="n">
        <v>3472</v>
      </c>
      <c r="C12" s="18">
        <f>(3050.0/B12*100)</f>
        <v/>
      </c>
      <c r="D12" s="19" t="n">
        <v>422</v>
      </c>
      <c r="E12" s="18" t="n">
        <v>21.71778872</v>
      </c>
      <c r="F12" s="20" t="n">
        <v>2.39561093</v>
      </c>
      <c r="G12" s="18" t="n">
        <v>69.11637265</v>
      </c>
      <c r="H12" s="20" t="n">
        <v>2.77028562</v>
      </c>
      <c r="I12" s="18" t="s">
        <v>431</v>
      </c>
      <c r="J12" s="20" t="s">
        <v>431</v>
      </c>
      <c r="K12" s="18" t="n">
        <v>0</v>
      </c>
      <c r="L12" s="20" t="n">
        <v>0</v>
      </c>
      <c r="M12" s="18" t="n">
        <v>0</v>
      </c>
      <c r="N12" s="20" t="n">
        <v>0</v>
      </c>
      <c r="O12" s="18" t="n">
        <v>0</v>
      </c>
      <c r="P12" s="20" t="n">
        <v>0</v>
      </c>
      <c r="Q12" s="18" t="n">
        <v>9.16583863</v>
      </c>
      <c r="R12" s="20" t="n">
        <v>1.72824129</v>
      </c>
    </row>
    <row r="13" spans="1:18">
      <c r="A13" s="15" t="s">
        <v>437</v>
      </c>
      <c r="B13" s="17" t="n">
        <v>3559</v>
      </c>
      <c r="C13" s="18">
        <f>(3155.0/B13*100)</f>
        <v/>
      </c>
      <c r="D13" s="19" t="n">
        <v>404</v>
      </c>
      <c r="E13" s="18" t="n">
        <v>18.75814892</v>
      </c>
      <c r="F13" s="20" t="n">
        <v>2.21226661</v>
      </c>
      <c r="G13" s="18" t="n">
        <v>73.06939542000001</v>
      </c>
      <c r="H13" s="20" t="n">
        <v>2.46956648</v>
      </c>
      <c r="I13" s="18" t="s">
        <v>431</v>
      </c>
      <c r="J13" s="20" t="s">
        <v>431</v>
      </c>
      <c r="K13" s="18" t="n">
        <v>0.47032531</v>
      </c>
      <c r="L13" s="20" t="n">
        <v>0.24358336</v>
      </c>
      <c r="M13" s="18" t="n">
        <v>0</v>
      </c>
      <c r="N13" s="20" t="n">
        <v>0</v>
      </c>
      <c r="O13" s="18" t="n">
        <v>0</v>
      </c>
      <c r="P13" s="20" t="n">
        <v>0</v>
      </c>
      <c r="Q13" s="18" t="n">
        <v>7.70213035</v>
      </c>
      <c r="R13" s="20" t="n">
        <v>1.67285871</v>
      </c>
    </row>
    <row r="14" spans="1:18">
      <c r="A14" s="15" t="s">
        <v>438</v>
      </c>
      <c r="B14" s="17" t="n">
        <v>2799</v>
      </c>
      <c r="C14" s="18">
        <f>(2448.0/B14*100)</f>
        <v/>
      </c>
      <c r="D14" s="19" t="n">
        <v>351</v>
      </c>
      <c r="E14" s="18" t="n">
        <v>22.8452505</v>
      </c>
      <c r="F14" s="20" t="n">
        <v>2.45487821</v>
      </c>
      <c r="G14" s="18" t="n">
        <v>72.82301563999999</v>
      </c>
      <c r="H14" s="20" t="n">
        <v>2.99667951</v>
      </c>
      <c r="I14" s="18" t="s">
        <v>431</v>
      </c>
      <c r="J14" s="20" t="s">
        <v>431</v>
      </c>
      <c r="K14" s="18" t="n">
        <v>0</v>
      </c>
      <c r="L14" s="20" t="n">
        <v>0</v>
      </c>
      <c r="M14" s="18" t="n">
        <v>0</v>
      </c>
      <c r="N14" s="20" t="n">
        <v>0</v>
      </c>
      <c r="O14" s="18" t="n">
        <v>0</v>
      </c>
      <c r="P14" s="20" t="n">
        <v>0</v>
      </c>
      <c r="Q14" s="18" t="n">
        <v>4.33173385</v>
      </c>
      <c r="R14" s="20" t="n">
        <v>1.30190698</v>
      </c>
    </row>
    <row r="15" spans="1:18">
      <c r="A15" s="15" t="s">
        <v>439</v>
      </c>
      <c r="B15" s="17" t="n">
        <v>3019</v>
      </c>
      <c r="C15" s="18">
        <f>(2669.0/B15*100)</f>
        <v/>
      </c>
      <c r="D15" s="19" t="n">
        <v>350</v>
      </c>
      <c r="E15" s="18" t="n">
        <v>21.66812808</v>
      </c>
      <c r="F15" s="20" t="n">
        <v>2.22851264</v>
      </c>
      <c r="G15" s="18" t="n">
        <v>70.97876698</v>
      </c>
      <c r="H15" s="20" t="n">
        <v>2.72181554</v>
      </c>
      <c r="I15" s="18" t="s">
        <v>431</v>
      </c>
      <c r="J15" s="20" t="s">
        <v>431</v>
      </c>
      <c r="K15" s="18" t="n">
        <v>0</v>
      </c>
      <c r="L15" s="20" t="n">
        <v>0</v>
      </c>
      <c r="M15" s="18" t="n">
        <v>0</v>
      </c>
      <c r="N15" s="20" t="n">
        <v>0</v>
      </c>
      <c r="O15" s="18" t="n">
        <v>0</v>
      </c>
      <c r="P15" s="20" t="n">
        <v>0</v>
      </c>
      <c r="Q15" s="18" t="n">
        <v>7.35310494</v>
      </c>
      <c r="R15" s="20" t="n">
        <v>1.43322675</v>
      </c>
    </row>
    <row r="16" spans="1:18">
      <c r="A16" s="15" t="s">
        <v>440</v>
      </c>
      <c r="B16" s="17" t="n">
        <v>2997</v>
      </c>
      <c r="C16" s="18">
        <f>(2620.0/B16*100)</f>
        <v/>
      </c>
      <c r="D16" s="19" t="n">
        <v>377</v>
      </c>
      <c r="E16" s="18" t="n">
        <v>20.21177269</v>
      </c>
      <c r="F16" s="20" t="n">
        <v>2.09738892</v>
      </c>
      <c r="G16" s="18" t="n">
        <v>65.48056093</v>
      </c>
      <c r="H16" s="20" t="n">
        <v>2.05655861</v>
      </c>
      <c r="I16" s="18" t="s">
        <v>431</v>
      </c>
      <c r="J16" s="20" t="s">
        <v>431</v>
      </c>
      <c r="K16" s="18" t="n">
        <v>0.24646513</v>
      </c>
      <c r="L16" s="20" t="n">
        <v>0.25743599</v>
      </c>
      <c r="M16" s="18" t="n">
        <v>0</v>
      </c>
      <c r="N16" s="20" t="n">
        <v>0</v>
      </c>
      <c r="O16" s="18" t="n">
        <v>0</v>
      </c>
      <c r="P16" s="20" t="n">
        <v>0</v>
      </c>
      <c r="Q16" s="18" t="n">
        <v>14.06120125</v>
      </c>
      <c r="R16" s="20" t="n">
        <v>1.83795524</v>
      </c>
    </row>
    <row r="17" spans="1:18">
      <c r="A17" s="15" t="s">
        <v>441</v>
      </c>
      <c r="B17" s="17" t="n">
        <v>3307</v>
      </c>
      <c r="C17" s="18">
        <f>(2907.0/B17*100)</f>
        <v/>
      </c>
      <c r="D17" s="19" t="n">
        <v>400</v>
      </c>
      <c r="E17" s="18" t="n">
        <v>10.27431145</v>
      </c>
      <c r="F17" s="20" t="n">
        <v>1.5193986</v>
      </c>
      <c r="G17" s="18" t="n">
        <v>82.49419493000001</v>
      </c>
      <c r="H17" s="20" t="n">
        <v>1.76871689</v>
      </c>
      <c r="I17" s="18" t="s">
        <v>431</v>
      </c>
      <c r="J17" s="20" t="s">
        <v>431</v>
      </c>
      <c r="K17" s="18" t="n">
        <v>0.35001845</v>
      </c>
      <c r="L17" s="20" t="n">
        <v>0.30283851</v>
      </c>
      <c r="M17" s="18" t="n">
        <v>0</v>
      </c>
      <c r="N17" s="20" t="n">
        <v>0</v>
      </c>
      <c r="O17" s="18" t="n">
        <v>0</v>
      </c>
      <c r="P17" s="20" t="n">
        <v>0</v>
      </c>
      <c r="Q17" s="18" t="n">
        <v>6.88147516</v>
      </c>
      <c r="R17" s="20" t="n">
        <v>1.32435794</v>
      </c>
    </row>
    <row r="18" spans="1:18">
      <c r="A18" s="15" t="s">
        <v>442</v>
      </c>
      <c r="B18" s="17" t="n">
        <v>2826</v>
      </c>
      <c r="C18" s="18">
        <f>(2464.0/B18*100)</f>
        <v/>
      </c>
      <c r="D18" s="19" t="n">
        <v>362</v>
      </c>
      <c r="E18" s="18" t="n">
        <v>39.10609002</v>
      </c>
      <c r="F18" s="20" t="n">
        <v>3.07557432</v>
      </c>
      <c r="G18" s="18" t="n">
        <v>42.19114154</v>
      </c>
      <c r="H18" s="20" t="n">
        <v>2.83213015</v>
      </c>
      <c r="I18" s="18" t="s">
        <v>431</v>
      </c>
      <c r="J18" s="20" t="s">
        <v>431</v>
      </c>
      <c r="K18" s="18" t="n">
        <v>0</v>
      </c>
      <c r="L18" s="20" t="n">
        <v>0</v>
      </c>
      <c r="M18" s="18" t="n">
        <v>0</v>
      </c>
      <c r="N18" s="20" t="n">
        <v>0</v>
      </c>
      <c r="O18" s="18" t="n">
        <v>0</v>
      </c>
      <c r="P18" s="20" t="n">
        <v>0</v>
      </c>
      <c r="Q18" s="18" t="n">
        <v>18.70276844</v>
      </c>
      <c r="R18" s="20" t="n">
        <v>2.21774031</v>
      </c>
    </row>
    <row r="19" spans="1:18">
      <c r="A19" s="15" t="s">
        <v>443</v>
      </c>
      <c r="B19" s="17" t="n">
        <v>2808</v>
      </c>
      <c r="C19" s="18">
        <f>(2460.0/B19*100)</f>
        <v/>
      </c>
      <c r="D19" s="19" t="n">
        <v>348</v>
      </c>
      <c r="E19" s="18" t="n">
        <v>26.33282401</v>
      </c>
      <c r="F19" s="20" t="n">
        <v>2.76293211</v>
      </c>
      <c r="G19" s="18" t="n">
        <v>53.10832731</v>
      </c>
      <c r="H19" s="20" t="n">
        <v>2.9980494</v>
      </c>
      <c r="I19" s="18" t="s">
        <v>431</v>
      </c>
      <c r="J19" s="20" t="s">
        <v>431</v>
      </c>
      <c r="K19" s="18" t="n">
        <v>0</v>
      </c>
      <c r="L19" s="20" t="n">
        <v>0</v>
      </c>
      <c r="M19" s="18" t="n">
        <v>0</v>
      </c>
      <c r="N19" s="20" t="n">
        <v>0</v>
      </c>
      <c r="O19" s="18" t="n">
        <v>0</v>
      </c>
      <c r="P19" s="20" t="n">
        <v>0</v>
      </c>
      <c r="Q19" s="18" t="n">
        <v>20.55884867</v>
      </c>
      <c r="R19" s="20" t="n">
        <v>2.5750715</v>
      </c>
    </row>
    <row r="20" spans="1:18">
      <c r="A20" s="15" t="s">
        <v>444</v>
      </c>
      <c r="B20" s="17" t="n">
        <v>1630</v>
      </c>
      <c r="C20" s="18">
        <f>(1424.0/B20*100)</f>
        <v/>
      </c>
      <c r="D20" s="19" t="n">
        <v>206</v>
      </c>
      <c r="E20" s="18" t="n">
        <v>28.65127237</v>
      </c>
      <c r="F20" s="20" t="n">
        <v>3.45524339</v>
      </c>
      <c r="G20" s="18" t="n">
        <v>57.63342024</v>
      </c>
      <c r="H20" s="20" t="n">
        <v>3.57293169</v>
      </c>
      <c r="I20" s="18" t="s">
        <v>431</v>
      </c>
      <c r="J20" s="20" t="s">
        <v>431</v>
      </c>
      <c r="K20" s="18" t="n">
        <v>0</v>
      </c>
      <c r="L20" s="20" t="n">
        <v>0</v>
      </c>
      <c r="M20" s="18" t="n">
        <v>0</v>
      </c>
      <c r="N20" s="20" t="n">
        <v>0</v>
      </c>
      <c r="O20" s="18" t="n">
        <v>0</v>
      </c>
      <c r="P20" s="20" t="n">
        <v>0</v>
      </c>
      <c r="Q20" s="18" t="n">
        <v>13.71530739</v>
      </c>
      <c r="R20" s="20" t="n">
        <v>2.77930898</v>
      </c>
    </row>
    <row r="21" spans="1:18">
      <c r="A21" s="15" t="s">
        <v>445</v>
      </c>
      <c r="B21" s="17" t="n">
        <v>2908</v>
      </c>
      <c r="C21" s="18">
        <f>(2442.0/B21*100)</f>
        <v/>
      </c>
      <c r="D21" s="19" t="n">
        <v>466</v>
      </c>
      <c r="E21" s="18" t="n">
        <v>13.08119172</v>
      </c>
      <c r="F21" s="20" t="n">
        <v>1.47304007</v>
      </c>
      <c r="G21" s="18" t="n">
        <v>78.73222564</v>
      </c>
      <c r="H21" s="20" t="n">
        <v>1.60820219</v>
      </c>
      <c r="I21" s="18" t="s">
        <v>431</v>
      </c>
      <c r="J21" s="20" t="s">
        <v>431</v>
      </c>
      <c r="K21" s="18" t="n">
        <v>0</v>
      </c>
      <c r="L21" s="20" t="n">
        <v>0</v>
      </c>
      <c r="M21" s="18" t="n">
        <v>0</v>
      </c>
      <c r="N21" s="20" t="n">
        <v>0</v>
      </c>
      <c r="O21" s="18" t="n">
        <v>0</v>
      </c>
      <c r="P21" s="20" t="n">
        <v>0</v>
      </c>
      <c r="Q21" s="18" t="n">
        <v>8.18658265</v>
      </c>
      <c r="R21" s="20" t="n">
        <v>1.21266814</v>
      </c>
    </row>
    <row r="22" spans="1:18">
      <c r="A22" s="15" t="s">
        <v>446</v>
      </c>
      <c r="B22" s="17" t="n">
        <v>2931</v>
      </c>
      <c r="C22" s="18">
        <f>(2570.0/B22*100)</f>
        <v/>
      </c>
      <c r="D22" s="19" t="n">
        <v>361</v>
      </c>
      <c r="E22" s="18" t="n">
        <v>28.80645362</v>
      </c>
      <c r="F22" s="20" t="n">
        <v>2.31883962</v>
      </c>
      <c r="G22" s="18" t="n">
        <v>55.08218743</v>
      </c>
      <c r="H22" s="20" t="n">
        <v>2.53392615</v>
      </c>
      <c r="I22" s="18" t="s">
        <v>431</v>
      </c>
      <c r="J22" s="20" t="s">
        <v>431</v>
      </c>
      <c r="K22" s="18" t="n">
        <v>0.20074652</v>
      </c>
      <c r="L22" s="20" t="n">
        <v>0.20105882</v>
      </c>
      <c r="M22" s="18" t="n">
        <v>0</v>
      </c>
      <c r="N22" s="20" t="n">
        <v>0</v>
      </c>
      <c r="O22" s="18" t="n">
        <v>0</v>
      </c>
      <c r="P22" s="20" t="n">
        <v>0</v>
      </c>
      <c r="Q22" s="18" t="n">
        <v>15.91061243</v>
      </c>
      <c r="R22" s="20" t="n">
        <v>2.40930446</v>
      </c>
    </row>
    <row r="23" spans="1:18">
      <c r="A23" s="15" t="s">
        <v>447</v>
      </c>
      <c r="B23" s="17" t="n">
        <v>5791</v>
      </c>
      <c r="C23" s="18">
        <f>(5105.0/B23*100)</f>
        <v/>
      </c>
      <c r="D23" s="19" t="n">
        <v>686</v>
      </c>
      <c r="E23" s="18" t="n">
        <v>20.77486999</v>
      </c>
      <c r="F23" s="20" t="n">
        <v>2.06335851</v>
      </c>
      <c r="G23" s="18" t="n">
        <v>66.04510248</v>
      </c>
      <c r="H23" s="20" t="n">
        <v>2.01355267</v>
      </c>
      <c r="I23" s="18" t="s">
        <v>431</v>
      </c>
      <c r="J23" s="20" t="s">
        <v>431</v>
      </c>
      <c r="K23" s="18" t="n">
        <v>0.45691312</v>
      </c>
      <c r="L23" s="20" t="n">
        <v>0.44588466</v>
      </c>
      <c r="M23" s="18" t="n">
        <v>0</v>
      </c>
      <c r="N23" s="20" t="n">
        <v>0</v>
      </c>
      <c r="O23" s="18" t="n">
        <v>0</v>
      </c>
      <c r="P23" s="20" t="n">
        <v>0</v>
      </c>
      <c r="Q23" s="18" t="n">
        <v>12.72311441</v>
      </c>
      <c r="R23" s="20" t="n">
        <v>1.56807215</v>
      </c>
    </row>
    <row r="24" spans="1:18">
      <c r="A24" s="15" t="s">
        <v>448</v>
      </c>
      <c r="B24" s="17" t="n">
        <v>3338</v>
      </c>
      <c r="C24" s="18">
        <f>(2931.0/B24*100)</f>
        <v/>
      </c>
      <c r="D24" s="19" t="n">
        <v>407</v>
      </c>
      <c r="E24" s="18" t="n">
        <v>12.99398732</v>
      </c>
      <c r="F24" s="20" t="n">
        <v>1.77784712</v>
      </c>
      <c r="G24" s="18" t="n">
        <v>72.71357684</v>
      </c>
      <c r="H24" s="20" t="n">
        <v>2.38314794</v>
      </c>
      <c r="I24" s="18" t="s">
        <v>431</v>
      </c>
      <c r="J24" s="20" t="s">
        <v>431</v>
      </c>
      <c r="K24" s="18" t="n">
        <v>0</v>
      </c>
      <c r="L24" s="20" t="n">
        <v>0</v>
      </c>
      <c r="M24" s="18" t="n">
        <v>0</v>
      </c>
      <c r="N24" s="20" t="n">
        <v>0</v>
      </c>
      <c r="O24" s="18" t="n">
        <v>0</v>
      </c>
      <c r="P24" s="20" t="n">
        <v>0</v>
      </c>
      <c r="Q24" s="18" t="n">
        <v>14.29243584</v>
      </c>
      <c r="R24" s="20" t="n">
        <v>1.67898429</v>
      </c>
    </row>
    <row r="25" spans="1:18">
      <c r="A25" s="15" t="s">
        <v>449</v>
      </c>
      <c r="B25" s="17" t="n">
        <v>2912</v>
      </c>
      <c r="C25" s="18">
        <f>(2540.0/B25*100)</f>
        <v/>
      </c>
      <c r="D25" s="19" t="n">
        <v>372</v>
      </c>
      <c r="E25" s="18" t="n">
        <v>15.62536654</v>
      </c>
      <c r="F25" s="20" t="n">
        <v>1.73545372</v>
      </c>
      <c r="G25" s="18" t="n">
        <v>72.20500676</v>
      </c>
      <c r="H25" s="20" t="n">
        <v>2.68773733</v>
      </c>
      <c r="I25" s="18" t="s">
        <v>431</v>
      </c>
      <c r="J25" s="20" t="s">
        <v>431</v>
      </c>
      <c r="K25" s="18" t="n">
        <v>0</v>
      </c>
      <c r="L25" s="20" t="n">
        <v>0</v>
      </c>
      <c r="M25" s="18" t="n">
        <v>0</v>
      </c>
      <c r="N25" s="20" t="n">
        <v>0</v>
      </c>
      <c r="O25" s="18" t="n">
        <v>0</v>
      </c>
      <c r="P25" s="20" t="n">
        <v>0</v>
      </c>
      <c r="Q25" s="18" t="n">
        <v>12.1696267</v>
      </c>
      <c r="R25" s="20" t="n">
        <v>1.89023657</v>
      </c>
    </row>
    <row r="26" spans="1:18">
      <c r="A26" s="15" t="s">
        <v>450</v>
      </c>
      <c r="B26" s="17" t="n">
        <v>2450</v>
      </c>
      <c r="C26" s="18">
        <f>(2160.0/B26*100)</f>
        <v/>
      </c>
      <c r="D26" s="19" t="n">
        <v>290</v>
      </c>
      <c r="E26" s="18" t="n">
        <v>36.34941666</v>
      </c>
      <c r="F26" s="20" t="n">
        <v>2.756997</v>
      </c>
      <c r="G26" s="18" t="n">
        <v>57.30589174</v>
      </c>
      <c r="H26" s="20" t="n">
        <v>2.85815248</v>
      </c>
      <c r="I26" s="18" t="s">
        <v>431</v>
      </c>
      <c r="J26" s="20" t="s">
        <v>431</v>
      </c>
      <c r="K26" s="18" t="n">
        <v>0</v>
      </c>
      <c r="L26" s="20" t="n">
        <v>0</v>
      </c>
      <c r="M26" s="18" t="n">
        <v>0</v>
      </c>
      <c r="N26" s="20" t="n">
        <v>0</v>
      </c>
      <c r="O26" s="18" t="n">
        <v>0</v>
      </c>
      <c r="P26" s="20" t="n">
        <v>0</v>
      </c>
      <c r="Q26" s="18" t="n">
        <v>6.3446916</v>
      </c>
      <c r="R26" s="20" t="n">
        <v>1.4441488</v>
      </c>
    </row>
    <row r="27" spans="1:18">
      <c r="A27" s="15" t="s">
        <v>451</v>
      </c>
      <c r="B27" s="17" t="n">
        <v>2616</v>
      </c>
      <c r="C27" s="18">
        <f>(2281.0/B27*100)</f>
        <v/>
      </c>
      <c r="D27" s="19" t="n">
        <v>335</v>
      </c>
      <c r="E27" s="18" t="n">
        <v>20.34813709</v>
      </c>
      <c r="F27" s="20" t="n">
        <v>2.16234369</v>
      </c>
      <c r="G27" s="18" t="n">
        <v>65.81989744000001</v>
      </c>
      <c r="H27" s="20" t="n">
        <v>2.5796955</v>
      </c>
      <c r="I27" s="18" t="s">
        <v>431</v>
      </c>
      <c r="J27" s="20" t="s">
        <v>431</v>
      </c>
      <c r="K27" s="18" t="n">
        <v>0</v>
      </c>
      <c r="L27" s="20" t="n">
        <v>0</v>
      </c>
      <c r="M27" s="18" t="n">
        <v>0</v>
      </c>
      <c r="N27" s="20" t="n">
        <v>0</v>
      </c>
      <c r="O27" s="18" t="n">
        <v>0</v>
      </c>
      <c r="P27" s="20" t="n">
        <v>0</v>
      </c>
      <c r="Q27" s="18" t="n">
        <v>13.83196548</v>
      </c>
      <c r="R27" s="20" t="n">
        <v>1.68063678</v>
      </c>
    </row>
    <row r="28" spans="1:18">
      <c r="A28" s="15" t="s">
        <v>452</v>
      </c>
      <c r="B28" s="17" t="n">
        <v>3765</v>
      </c>
      <c r="C28" s="18">
        <f>(3339.0/B28*100)</f>
        <v/>
      </c>
      <c r="D28" s="19" t="n">
        <v>426</v>
      </c>
      <c r="E28" s="18" t="n">
        <v>44.37428795</v>
      </c>
      <c r="F28" s="20" t="n">
        <v>2.76760459</v>
      </c>
      <c r="G28" s="18" t="n">
        <v>32.62745076</v>
      </c>
      <c r="H28" s="20" t="n">
        <v>2.86689673</v>
      </c>
      <c r="I28" s="18" t="s">
        <v>431</v>
      </c>
      <c r="J28" s="20" t="s">
        <v>431</v>
      </c>
      <c r="K28" s="18" t="n">
        <v>0</v>
      </c>
      <c r="L28" s="20" t="n">
        <v>0</v>
      </c>
      <c r="M28" s="18" t="n">
        <v>0</v>
      </c>
      <c r="N28" s="20" t="n">
        <v>0</v>
      </c>
      <c r="O28" s="18" t="n">
        <v>0</v>
      </c>
      <c r="P28" s="20" t="n">
        <v>0</v>
      </c>
      <c r="Q28" s="18" t="n">
        <v>22.99826129</v>
      </c>
      <c r="R28" s="20" t="n">
        <v>2.22516119</v>
      </c>
    </row>
    <row r="29" spans="1:18">
      <c r="A29" s="15" t="s">
        <v>453</v>
      </c>
      <c r="B29" s="17" t="n">
        <v>2685</v>
      </c>
      <c r="C29" s="18">
        <f>(2368.0/B29*100)</f>
        <v/>
      </c>
      <c r="D29" s="19" t="n">
        <v>317</v>
      </c>
      <c r="E29" s="18" t="n">
        <v>13.61313555</v>
      </c>
      <c r="F29" s="20" t="n">
        <v>2.24973578</v>
      </c>
      <c r="G29" s="18" t="n">
        <v>81.17571325</v>
      </c>
      <c r="H29" s="20" t="n">
        <v>2.34528838</v>
      </c>
      <c r="I29" s="18" t="s">
        <v>431</v>
      </c>
      <c r="J29" s="20" t="s">
        <v>431</v>
      </c>
      <c r="K29" s="18" t="n">
        <v>0</v>
      </c>
      <c r="L29" s="20" t="n">
        <v>0</v>
      </c>
      <c r="M29" s="18" t="n">
        <v>0</v>
      </c>
      <c r="N29" s="20" t="n">
        <v>0</v>
      </c>
      <c r="O29" s="18" t="n">
        <v>0</v>
      </c>
      <c r="P29" s="20" t="n">
        <v>0</v>
      </c>
      <c r="Q29" s="18" t="n">
        <v>5.2111512</v>
      </c>
      <c r="R29" s="20" t="n">
        <v>1.29915961</v>
      </c>
    </row>
    <row r="30" spans="1:18">
      <c r="A30" s="15" t="s">
        <v>454</v>
      </c>
      <c r="B30" s="17" t="n">
        <v>2263</v>
      </c>
      <c r="C30" s="18">
        <f>(1989.0/B30*100)</f>
        <v/>
      </c>
      <c r="D30" s="19" t="n">
        <v>274</v>
      </c>
      <c r="E30" s="18" t="n">
        <v>14.91561608</v>
      </c>
      <c r="F30" s="20" t="n">
        <v>2.41213547</v>
      </c>
      <c r="G30" s="18" t="n">
        <v>75.17174503</v>
      </c>
      <c r="H30" s="20" t="n">
        <v>3.00075365</v>
      </c>
      <c r="I30" s="18" t="s">
        <v>431</v>
      </c>
      <c r="J30" s="20" t="s">
        <v>431</v>
      </c>
      <c r="K30" s="18" t="n">
        <v>0.30879133</v>
      </c>
      <c r="L30" s="20" t="n">
        <v>0.31241769</v>
      </c>
      <c r="M30" s="18" t="n">
        <v>0</v>
      </c>
      <c r="N30" s="20" t="n">
        <v>0</v>
      </c>
      <c r="O30" s="18" t="n">
        <v>0</v>
      </c>
      <c r="P30" s="20" t="n">
        <v>0</v>
      </c>
      <c r="Q30" s="18" t="n">
        <v>9.60384756</v>
      </c>
      <c r="R30" s="20" t="n">
        <v>1.69690059</v>
      </c>
    </row>
    <row r="31" spans="1:18">
      <c r="A31" s="15" t="s">
        <v>455</v>
      </c>
      <c r="B31" s="17" t="n">
        <v>2750</v>
      </c>
      <c r="C31" s="18">
        <f>(2391.0/B31*100)</f>
        <v/>
      </c>
      <c r="D31" s="19" t="n">
        <v>359</v>
      </c>
      <c r="E31" s="18" t="n">
        <v>21.08609499</v>
      </c>
      <c r="F31" s="20" t="n">
        <v>2.06627432</v>
      </c>
      <c r="G31" s="18" t="n">
        <v>70.83250733</v>
      </c>
      <c r="H31" s="20" t="n">
        <v>2.67311377</v>
      </c>
      <c r="I31" s="18" t="s">
        <v>431</v>
      </c>
      <c r="J31" s="20" t="s">
        <v>431</v>
      </c>
      <c r="K31" s="18" t="n">
        <v>0.26210236</v>
      </c>
      <c r="L31" s="20" t="n">
        <v>0.25266287</v>
      </c>
      <c r="M31" s="18" t="n">
        <v>0</v>
      </c>
      <c r="N31" s="20" t="n">
        <v>0</v>
      </c>
      <c r="O31" s="18" t="n">
        <v>0</v>
      </c>
      <c r="P31" s="20" t="n">
        <v>0</v>
      </c>
      <c r="Q31" s="18" t="n">
        <v>7.81929532</v>
      </c>
      <c r="R31" s="20" t="n">
        <v>1.72589673</v>
      </c>
    </row>
    <row r="32" spans="1:18">
      <c r="A32" s="15" t="s">
        <v>456</v>
      </c>
      <c r="B32" s="17" t="n">
        <v>2269</v>
      </c>
      <c r="C32" s="18">
        <f>(1890.0/B32*100)</f>
        <v/>
      </c>
      <c r="D32" s="19" t="n">
        <v>379</v>
      </c>
      <c r="E32" s="18" t="n">
        <v>26.34636666</v>
      </c>
      <c r="F32" s="20" t="n">
        <v>2.25261841</v>
      </c>
      <c r="G32" s="18" t="n">
        <v>64.32213802</v>
      </c>
      <c r="H32" s="20" t="n">
        <v>2.58002474</v>
      </c>
      <c r="I32" s="18" t="s">
        <v>431</v>
      </c>
      <c r="J32" s="20" t="s">
        <v>431</v>
      </c>
      <c r="K32" s="18" t="n">
        <v>0.234923</v>
      </c>
      <c r="L32" s="20" t="n">
        <v>0.23518161</v>
      </c>
      <c r="M32" s="18" t="n">
        <v>0</v>
      </c>
      <c r="N32" s="20" t="n">
        <v>0</v>
      </c>
      <c r="O32" s="18" t="n">
        <v>0</v>
      </c>
      <c r="P32" s="20" t="n">
        <v>0</v>
      </c>
      <c r="Q32" s="18" t="n">
        <v>9.096572310000001</v>
      </c>
      <c r="R32" s="20" t="n">
        <v>1.32276464</v>
      </c>
    </row>
    <row r="33" spans="1:18">
      <c r="A33" s="15" t="s">
        <v>457</v>
      </c>
      <c r="B33" s="17" t="n">
        <v>3674</v>
      </c>
      <c r="C33" s="18">
        <f>(3208.0/B33*100)</f>
        <v/>
      </c>
      <c r="D33" s="19" t="n">
        <v>466</v>
      </c>
      <c r="E33" s="18" t="n">
        <v>25.6223755</v>
      </c>
      <c r="F33" s="20" t="n">
        <v>2.44979897</v>
      </c>
      <c r="G33" s="18" t="n">
        <v>58.48623046</v>
      </c>
      <c r="H33" s="20" t="n">
        <v>2.48165006</v>
      </c>
      <c r="I33" s="18" t="s">
        <v>431</v>
      </c>
      <c r="J33" s="20" t="s">
        <v>431</v>
      </c>
      <c r="K33" s="18" t="n">
        <v>0.64595733</v>
      </c>
      <c r="L33" s="20" t="n">
        <v>0.52212518</v>
      </c>
      <c r="M33" s="18" t="n">
        <v>0</v>
      </c>
      <c r="N33" s="20" t="n">
        <v>0</v>
      </c>
      <c r="O33" s="18" t="n">
        <v>0</v>
      </c>
      <c r="P33" s="20" t="n">
        <v>0</v>
      </c>
      <c r="Q33" s="18" t="n">
        <v>15.24543671</v>
      </c>
      <c r="R33" s="20" t="n">
        <v>1.86766176</v>
      </c>
    </row>
    <row r="34" spans="1:18">
      <c r="A34" s="15" t="s">
        <v>458</v>
      </c>
      <c r="B34" s="17" t="n">
        <v>3315</v>
      </c>
      <c r="C34" s="18">
        <f>(2913.0/B34*100)</f>
        <v/>
      </c>
      <c r="D34" s="19" t="n">
        <v>402</v>
      </c>
      <c r="E34" s="18" t="n">
        <v>26.40786865</v>
      </c>
      <c r="F34" s="20" t="n">
        <v>2.32218597</v>
      </c>
      <c r="G34" s="18" t="n">
        <v>56.09290138</v>
      </c>
      <c r="H34" s="20" t="n">
        <v>2.28290129</v>
      </c>
      <c r="I34" s="18" t="s">
        <v>431</v>
      </c>
      <c r="J34" s="20" t="s">
        <v>431</v>
      </c>
      <c r="K34" s="18" t="n">
        <v>0</v>
      </c>
      <c r="L34" s="20" t="n">
        <v>0</v>
      </c>
      <c r="M34" s="18" t="n">
        <v>0</v>
      </c>
      <c r="N34" s="20" t="n">
        <v>0</v>
      </c>
      <c r="O34" s="18" t="n">
        <v>0</v>
      </c>
      <c r="P34" s="20" t="n">
        <v>0</v>
      </c>
      <c r="Q34" s="18" t="n">
        <v>17.49922997</v>
      </c>
      <c r="R34" s="20" t="n">
        <v>2.06003055</v>
      </c>
    </row>
    <row r="35" spans="1:18">
      <c r="A35" s="15" t="s">
        <v>459</v>
      </c>
      <c r="B35" s="17" t="n">
        <v>3505</v>
      </c>
      <c r="C35" s="18">
        <f>(3087.0/B35*100)</f>
        <v/>
      </c>
      <c r="D35" s="19" t="n">
        <v>418</v>
      </c>
      <c r="E35" s="18" t="n">
        <v>19.50242878</v>
      </c>
      <c r="F35" s="20" t="n">
        <v>2.51487289</v>
      </c>
      <c r="G35" s="18" t="n">
        <v>73.94330883000001</v>
      </c>
      <c r="H35" s="20" t="n">
        <v>2.8405452</v>
      </c>
      <c r="I35" s="18" t="s">
        <v>431</v>
      </c>
      <c r="J35" s="20" t="s">
        <v>431</v>
      </c>
      <c r="K35" s="18" t="n">
        <v>0</v>
      </c>
      <c r="L35" s="20" t="n">
        <v>0</v>
      </c>
      <c r="M35" s="18" t="n">
        <v>0</v>
      </c>
      <c r="N35" s="20" t="n">
        <v>0</v>
      </c>
      <c r="O35" s="18" t="n">
        <v>0</v>
      </c>
      <c r="P35" s="20" t="n">
        <v>0</v>
      </c>
      <c r="Q35" s="18" t="n">
        <v>6.55426239</v>
      </c>
      <c r="R35" s="20" t="n">
        <v>1.39288545</v>
      </c>
    </row>
    <row r="36" spans="1:18">
      <c r="A36" s="15" t="s">
        <v>460</v>
      </c>
      <c r="B36" s="17" t="n">
        <v>3332</v>
      </c>
      <c r="C36" s="18">
        <f>(2925.0/B36*100)</f>
        <v/>
      </c>
      <c r="D36" s="19" t="n">
        <v>407</v>
      </c>
      <c r="E36" s="18" t="n">
        <v>18.13855263</v>
      </c>
      <c r="F36" s="20" t="n">
        <v>1.84411032</v>
      </c>
      <c r="G36" s="18" t="n">
        <v>66.50751162</v>
      </c>
      <c r="H36" s="20" t="n">
        <v>2.3772466</v>
      </c>
      <c r="I36" s="18" t="s">
        <v>431</v>
      </c>
      <c r="J36" s="20" t="s">
        <v>431</v>
      </c>
      <c r="K36" s="18" t="n">
        <v>0</v>
      </c>
      <c r="L36" s="20" t="n">
        <v>0</v>
      </c>
      <c r="M36" s="18" t="n">
        <v>0</v>
      </c>
      <c r="N36" s="20" t="n">
        <v>0</v>
      </c>
      <c r="O36" s="18" t="n">
        <v>0</v>
      </c>
      <c r="P36" s="20" t="n">
        <v>0</v>
      </c>
      <c r="Q36" s="18" t="n">
        <v>15.35393575</v>
      </c>
      <c r="R36" s="20" t="n">
        <v>1.63498833</v>
      </c>
    </row>
    <row r="37" spans="1:18">
      <c r="A37" s="15" t="s">
        <v>461</v>
      </c>
      <c r="B37" s="17" t="n">
        <v>2727</v>
      </c>
      <c r="C37" s="18">
        <f>(2397.0/B37*100)</f>
        <v/>
      </c>
      <c r="D37" s="19" t="n">
        <v>330</v>
      </c>
      <c r="E37" s="18" t="n">
        <v>21.57049526</v>
      </c>
      <c r="F37" s="20" t="n">
        <v>2.26517308</v>
      </c>
      <c r="G37" s="18" t="n">
        <v>67.01716363</v>
      </c>
      <c r="H37" s="20" t="n">
        <v>2.8727748</v>
      </c>
      <c r="I37" s="18" t="s">
        <v>431</v>
      </c>
      <c r="J37" s="20" t="s">
        <v>431</v>
      </c>
      <c r="K37" s="18" t="n">
        <v>0.32509015</v>
      </c>
      <c r="L37" s="20" t="n">
        <v>0.32439499</v>
      </c>
      <c r="M37" s="18" t="n">
        <v>0</v>
      </c>
      <c r="N37" s="20" t="n">
        <v>0</v>
      </c>
      <c r="O37" s="18" t="n">
        <v>0</v>
      </c>
      <c r="P37" s="20" t="n">
        <v>0</v>
      </c>
      <c r="Q37" s="18" t="n">
        <v>11.08725096</v>
      </c>
      <c r="R37" s="20" t="n">
        <v>1.91051447</v>
      </c>
    </row>
    <row r="38" spans="1:18">
      <c r="A38" s="15" t="s">
        <v>462</v>
      </c>
      <c r="B38" s="17" t="n">
        <v>3053</v>
      </c>
      <c r="C38" s="18">
        <f>(2537.0/B38*100)</f>
        <v/>
      </c>
      <c r="D38" s="19" t="n">
        <v>516</v>
      </c>
      <c r="E38" s="18" t="n">
        <v>13.23753703</v>
      </c>
      <c r="F38" s="20" t="n">
        <v>1.53087454</v>
      </c>
      <c r="G38" s="18" t="n">
        <v>77.214682</v>
      </c>
      <c r="H38" s="20" t="n">
        <v>1.93442888</v>
      </c>
      <c r="I38" s="18" t="s">
        <v>431</v>
      </c>
      <c r="J38" s="20" t="s">
        <v>431</v>
      </c>
      <c r="K38" s="18" t="n">
        <v>0.16964382</v>
      </c>
      <c r="L38" s="20" t="n">
        <v>0.14811119</v>
      </c>
      <c r="M38" s="18" t="n">
        <v>0</v>
      </c>
      <c r="N38" s="20" t="n">
        <v>0</v>
      </c>
      <c r="O38" s="18" t="n">
        <v>0</v>
      </c>
      <c r="P38" s="20" t="n">
        <v>0</v>
      </c>
      <c r="Q38" s="18" t="n">
        <v>9.378137150000001</v>
      </c>
      <c r="R38" s="20" t="n">
        <v>1.49984189</v>
      </c>
    </row>
    <row r="39" spans="1:18">
      <c r="A39" s="15" t="s">
        <v>463</v>
      </c>
      <c r="B39" s="17" t="n">
        <v>2957</v>
      </c>
      <c r="C39" s="18">
        <f>(2593.0/B39*100)</f>
        <v/>
      </c>
      <c r="D39" s="19" t="n">
        <v>364</v>
      </c>
      <c r="E39" s="18" t="n">
        <v>36.75708239</v>
      </c>
      <c r="F39" s="20" t="n">
        <v>3.24363437</v>
      </c>
      <c r="G39" s="18" t="n">
        <v>40.57564237</v>
      </c>
      <c r="H39" s="20" t="n">
        <v>3.63299337</v>
      </c>
      <c r="I39" s="18" t="s">
        <v>431</v>
      </c>
      <c r="J39" s="20" t="s">
        <v>431</v>
      </c>
      <c r="K39" s="18" t="n">
        <v>0</v>
      </c>
      <c r="L39" s="20" t="n">
        <v>0</v>
      </c>
      <c r="M39" s="18" t="n">
        <v>0</v>
      </c>
      <c r="N39" s="20" t="n">
        <v>0</v>
      </c>
      <c r="O39" s="18" t="n">
        <v>0</v>
      </c>
      <c r="P39" s="20" t="n">
        <v>0</v>
      </c>
      <c r="Q39" s="18" t="n">
        <v>22.66727524</v>
      </c>
      <c r="R39" s="20" t="n">
        <v>2.37122039</v>
      </c>
    </row>
    <row r="40" spans="1:18">
      <c r="A40" s="15" t="s">
        <v>464</v>
      </c>
      <c r="B40" s="17" t="n">
        <v>7235</v>
      </c>
      <c r="C40" s="18">
        <f>(6350.0/B40*100)</f>
        <v/>
      </c>
      <c r="D40" s="19" t="n">
        <v>885</v>
      </c>
      <c r="E40" s="18" t="n">
        <v>17.52626048</v>
      </c>
      <c r="F40" s="20" t="n">
        <v>2.17153974</v>
      </c>
      <c r="G40" s="18" t="n">
        <v>70.07989941</v>
      </c>
      <c r="H40" s="20" t="n">
        <v>2.42909137</v>
      </c>
      <c r="I40" s="18" t="s">
        <v>431</v>
      </c>
      <c r="J40" s="20" t="s">
        <v>431</v>
      </c>
      <c r="K40" s="18" t="n">
        <v>0.35536453</v>
      </c>
      <c r="L40" s="20" t="n">
        <v>0.24463451</v>
      </c>
      <c r="M40" s="18" t="n">
        <v>0</v>
      </c>
      <c r="N40" s="20" t="n">
        <v>0</v>
      </c>
      <c r="O40" s="18" t="n">
        <v>0</v>
      </c>
      <c r="P40" s="20" t="n">
        <v>0</v>
      </c>
      <c r="Q40" s="18" t="n">
        <v>12.03847558</v>
      </c>
      <c r="R40" s="20" t="n">
        <v>1.82752751</v>
      </c>
    </row>
    <row r="41" spans="1:18">
      <c r="A41" s="15" t="s">
        <v>465</v>
      </c>
      <c r="B41" s="17" t="n">
        <v>2858</v>
      </c>
      <c r="C41" s="18">
        <f>(2504.0/B41*100)</f>
        <v/>
      </c>
      <c r="D41" s="19" t="n">
        <v>354</v>
      </c>
      <c r="E41" s="18" t="n">
        <v>24.07348316</v>
      </c>
      <c r="F41" s="20" t="n">
        <v>2.32841261</v>
      </c>
      <c r="G41" s="18" t="n">
        <v>64.34931553</v>
      </c>
      <c r="H41" s="20" t="n">
        <v>2.8266122</v>
      </c>
      <c r="I41" s="18" t="s">
        <v>431</v>
      </c>
      <c r="J41" s="20" t="s">
        <v>431</v>
      </c>
      <c r="K41" s="18" t="n">
        <v>0</v>
      </c>
      <c r="L41" s="20" t="n">
        <v>0</v>
      </c>
      <c r="M41" s="18" t="n">
        <v>0</v>
      </c>
      <c r="N41" s="20" t="n">
        <v>0</v>
      </c>
      <c r="O41" s="18" t="n">
        <v>0</v>
      </c>
      <c r="P41" s="20" t="n">
        <v>0</v>
      </c>
      <c r="Q41" s="18" t="n">
        <v>11.57720131</v>
      </c>
      <c r="R41" s="20" t="n">
        <v>1.66885368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(9780.0/B46*100)</f>
        <v/>
      </c>
      <c r="D46" s="19" t="n">
        <v>1288</v>
      </c>
      <c r="E46" s="18" t="n">
        <v>38.66412153</v>
      </c>
      <c r="F46" s="20" t="n">
        <v>1.56715224</v>
      </c>
      <c r="G46" s="18" t="n">
        <v>18.23827762</v>
      </c>
      <c r="H46" s="20" t="n">
        <v>1.58368017</v>
      </c>
      <c r="I46" s="18" t="s">
        <v>431</v>
      </c>
      <c r="J46" s="20" t="s">
        <v>431</v>
      </c>
      <c r="K46" s="18" t="n">
        <v>0.20358147</v>
      </c>
      <c r="L46" s="20" t="n">
        <v>0.10086404</v>
      </c>
      <c r="M46" s="18" t="n">
        <v>0</v>
      </c>
      <c r="N46" s="20" t="n">
        <v>0</v>
      </c>
      <c r="O46" s="18" t="n">
        <v>0</v>
      </c>
      <c r="P46" s="20" t="n">
        <v>0</v>
      </c>
      <c r="Q46" s="18" t="n">
        <v>42.89401938</v>
      </c>
      <c r="R46" s="20" t="n">
        <v>2.02848501</v>
      </c>
    </row>
    <row r="47" spans="1:18">
      <c r="A47" s="15" t="s">
        <v>471</v>
      </c>
      <c r="B47" s="17" t="n">
        <v>3105</v>
      </c>
      <c r="C47" s="18">
        <f>(2725.0/B47*100)</f>
        <v/>
      </c>
      <c r="D47" s="19" t="n">
        <v>380</v>
      </c>
      <c r="E47" s="18" t="n">
        <v>32.60623854</v>
      </c>
      <c r="F47" s="20" t="n">
        <v>2.29197713</v>
      </c>
      <c r="G47" s="18" t="n">
        <v>47.69227848</v>
      </c>
      <c r="H47" s="20" t="n">
        <v>2.80330421</v>
      </c>
      <c r="I47" s="18" t="s">
        <v>431</v>
      </c>
      <c r="J47" s="20" t="s">
        <v>431</v>
      </c>
      <c r="K47" s="18" t="n">
        <v>0.24288326</v>
      </c>
      <c r="L47" s="20" t="n">
        <v>0.24915318</v>
      </c>
      <c r="M47" s="18" t="n">
        <v>0</v>
      </c>
      <c r="N47" s="20" t="n">
        <v>0</v>
      </c>
      <c r="O47" s="18" t="n">
        <v>0</v>
      </c>
      <c r="P47" s="20" t="n">
        <v>0</v>
      </c>
      <c r="Q47" s="18" t="n">
        <v>19.45859972</v>
      </c>
      <c r="R47" s="20" t="n">
        <v>2.41041769</v>
      </c>
    </row>
    <row r="48" spans="1:18">
      <c r="A48" s="15" t="s">
        <v>472</v>
      </c>
      <c r="B48" s="17" t="n">
        <v>5159</v>
      </c>
      <c r="C48" s="18">
        <f>(4501.0/B48*100)</f>
        <v/>
      </c>
      <c r="D48" s="19" t="n">
        <v>658</v>
      </c>
      <c r="E48" s="18" t="n">
        <v>27.73620577</v>
      </c>
      <c r="F48" s="20" t="n">
        <v>2.36680128</v>
      </c>
      <c r="G48" s="18" t="n">
        <v>50.08972337</v>
      </c>
      <c r="H48" s="20" t="n">
        <v>2.80789995</v>
      </c>
      <c r="I48" s="18" t="s">
        <v>431</v>
      </c>
      <c r="J48" s="20" t="s">
        <v>431</v>
      </c>
      <c r="K48" s="18" t="n">
        <v>0.20238115</v>
      </c>
      <c r="L48" s="20" t="n">
        <v>0.20216657</v>
      </c>
      <c r="M48" s="18" t="n">
        <v>0</v>
      </c>
      <c r="N48" s="20" t="n">
        <v>0</v>
      </c>
      <c r="O48" s="18" t="n">
        <v>0</v>
      </c>
      <c r="P48" s="20" t="n">
        <v>0</v>
      </c>
      <c r="Q48" s="18" t="n">
        <v>21.97168971</v>
      </c>
      <c r="R48" s="20" t="n">
        <v>2.49617755</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(4975.0/B50*100)</f>
        <v/>
      </c>
      <c r="D50" s="19" t="n">
        <v>662</v>
      </c>
      <c r="E50" s="18" t="n">
        <v>50.51704628</v>
      </c>
      <c r="F50" s="20" t="n">
        <v>2.73506615</v>
      </c>
      <c r="G50" s="18" t="n">
        <v>28.19464988</v>
      </c>
      <c r="H50" s="20" t="n">
        <v>2.32489273</v>
      </c>
      <c r="I50" s="18" t="s">
        <v>431</v>
      </c>
      <c r="J50" s="20" t="s">
        <v>431</v>
      </c>
      <c r="K50" s="18" t="n">
        <v>0.90327035</v>
      </c>
      <c r="L50" s="20" t="n">
        <v>0.51953603</v>
      </c>
      <c r="M50" s="18" t="n">
        <v>0</v>
      </c>
      <c r="N50" s="20" t="n">
        <v>0</v>
      </c>
      <c r="O50" s="18" t="n">
        <v>0</v>
      </c>
      <c r="P50" s="20" t="n">
        <v>0</v>
      </c>
      <c r="Q50" s="18" t="n">
        <v>20.38503349</v>
      </c>
      <c r="R50" s="20" t="n">
        <v>2.4127196</v>
      </c>
    </row>
    <row r="51" spans="1:18">
      <c r="A51" s="15" t="s">
        <v>475</v>
      </c>
      <c r="B51" s="17" t="n">
        <v>3372</v>
      </c>
      <c r="C51" s="18">
        <f>(3038.0/B51*100)</f>
        <v/>
      </c>
      <c r="D51" s="19" t="n">
        <v>334</v>
      </c>
      <c r="E51" s="18" t="n">
        <v>45.7888691</v>
      </c>
      <c r="F51" s="20" t="n">
        <v>3.50150757</v>
      </c>
      <c r="G51" s="18" t="n">
        <v>29.5945413</v>
      </c>
      <c r="H51" s="20" t="n">
        <v>3.21441962</v>
      </c>
      <c r="I51" s="18" t="s">
        <v>431</v>
      </c>
      <c r="J51" s="20" t="s">
        <v>431</v>
      </c>
      <c r="K51" s="18" t="n">
        <v>0.44033583</v>
      </c>
      <c r="L51" s="20" t="n">
        <v>0.39426064</v>
      </c>
      <c r="M51" s="18" t="n">
        <v>0</v>
      </c>
      <c r="N51" s="20" t="n">
        <v>0</v>
      </c>
      <c r="O51" s="18" t="n">
        <v>0</v>
      </c>
      <c r="P51" s="20" t="n">
        <v>0</v>
      </c>
      <c r="Q51" s="18" t="n">
        <v>24.17625378</v>
      </c>
      <c r="R51" s="20" t="n">
        <v>2.88975693</v>
      </c>
    </row>
    <row r="52" spans="1:18">
      <c r="A52" s="15" t="s">
        <v>476</v>
      </c>
      <c r="B52" s="17" t="n">
        <v>2796</v>
      </c>
      <c r="C52" s="18">
        <f>(2447.0/B52*100)</f>
        <v/>
      </c>
      <c r="D52" s="19" t="n">
        <v>349</v>
      </c>
      <c r="E52" s="18" t="n">
        <v>28.00433032</v>
      </c>
      <c r="F52" s="20" t="n">
        <v>2.44709638</v>
      </c>
      <c r="G52" s="18" t="n">
        <v>49.82410159</v>
      </c>
      <c r="H52" s="20" t="n">
        <v>3.41792314</v>
      </c>
      <c r="I52" s="18" t="s">
        <v>431</v>
      </c>
      <c r="J52" s="20" t="s">
        <v>431</v>
      </c>
      <c r="K52" s="18" t="n">
        <v>0</v>
      </c>
      <c r="L52" s="20" t="n">
        <v>0</v>
      </c>
      <c r="M52" s="18" t="n">
        <v>0</v>
      </c>
      <c r="N52" s="20" t="n">
        <v>0</v>
      </c>
      <c r="O52" s="18" t="n">
        <v>0</v>
      </c>
      <c r="P52" s="20" t="n">
        <v>0</v>
      </c>
      <c r="Q52" s="18" t="n">
        <v>22.17156809</v>
      </c>
      <c r="R52" s="20" t="n">
        <v>2.39927553</v>
      </c>
    </row>
    <row r="53" spans="1:18">
      <c r="A53" s="15" t="s">
        <v>477</v>
      </c>
      <c r="B53" s="17" t="n">
        <v>2811</v>
      </c>
      <c r="C53" s="18">
        <f>(2460.0/B53*100)</f>
        <v/>
      </c>
      <c r="D53" s="19" t="n">
        <v>351</v>
      </c>
      <c r="E53" s="18" t="n">
        <v>27.50811946</v>
      </c>
      <c r="F53" s="20" t="n">
        <v>2.70982489</v>
      </c>
      <c r="G53" s="18" t="n">
        <v>52.12884212</v>
      </c>
      <c r="H53" s="20" t="n">
        <v>2.88123939</v>
      </c>
      <c r="I53" s="18" t="s">
        <v>431</v>
      </c>
      <c r="J53" s="20" t="s">
        <v>431</v>
      </c>
      <c r="K53" s="18" t="n">
        <v>0</v>
      </c>
      <c r="L53" s="20" t="n">
        <v>0</v>
      </c>
      <c r="M53" s="18" t="n">
        <v>0</v>
      </c>
      <c r="N53" s="20" t="n">
        <v>0</v>
      </c>
      <c r="O53" s="18" t="n">
        <v>0</v>
      </c>
      <c r="P53" s="20" t="n">
        <v>0</v>
      </c>
      <c r="Q53" s="18" t="n">
        <v>20.36303841</v>
      </c>
      <c r="R53" s="20" t="n">
        <v>2.25117866</v>
      </c>
    </row>
    <row r="54" spans="1:18">
      <c r="A54" s="15" t="s">
        <v>478</v>
      </c>
      <c r="B54" s="17" t="n">
        <v>2266</v>
      </c>
      <c r="C54" s="18">
        <f>(1858.0/B54*100)</f>
        <v/>
      </c>
      <c r="D54" s="19" t="n">
        <v>408</v>
      </c>
      <c r="E54" s="18" t="n">
        <v>51.59027678</v>
      </c>
      <c r="F54" s="20" t="n">
        <v>2.82153933</v>
      </c>
      <c r="G54" s="18" t="n">
        <v>14.30054626</v>
      </c>
      <c r="H54" s="20" t="n">
        <v>2.09170649</v>
      </c>
      <c r="I54" s="18" t="s">
        <v>431</v>
      </c>
      <c r="J54" s="20" t="s">
        <v>431</v>
      </c>
      <c r="K54" s="18" t="n">
        <v>4.90238685</v>
      </c>
      <c r="L54" s="20" t="n">
        <v>1.16500732</v>
      </c>
      <c r="M54" s="18" t="n">
        <v>0</v>
      </c>
      <c r="N54" s="20" t="n">
        <v>0</v>
      </c>
      <c r="O54" s="18" t="n">
        <v>0</v>
      </c>
      <c r="P54" s="20" t="n">
        <v>0</v>
      </c>
      <c r="Q54" s="18" t="n">
        <v>29.20679011</v>
      </c>
      <c r="R54" s="20" t="n">
        <v>2.56492091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(2351.0/B56*100)</f>
        <v/>
      </c>
      <c r="D56" s="19" t="n">
        <v>333</v>
      </c>
      <c r="E56" s="18" t="n">
        <v>14.80140698</v>
      </c>
      <c r="F56" s="20" t="n">
        <v>2.39318183</v>
      </c>
      <c r="G56" s="18" t="n">
        <v>71.25932391000001</v>
      </c>
      <c r="H56" s="20" t="n">
        <v>2.62209928</v>
      </c>
      <c r="I56" s="18" t="s">
        <v>431</v>
      </c>
      <c r="J56" s="20" t="s">
        <v>431</v>
      </c>
      <c r="K56" s="18" t="n">
        <v>0</v>
      </c>
      <c r="L56" s="20" t="n">
        <v>0</v>
      </c>
      <c r="M56" s="18" t="n">
        <v>0</v>
      </c>
      <c r="N56" s="20" t="n">
        <v>0</v>
      </c>
      <c r="O56" s="18" t="n">
        <v>0</v>
      </c>
      <c r="P56" s="20" t="n">
        <v>0</v>
      </c>
      <c r="Q56" s="18" t="n">
        <v>13.93926911</v>
      </c>
      <c r="R56" s="20" t="n">
        <v>2.18133102</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(2918.0/B61*100)</f>
        <v/>
      </c>
      <c r="D61" s="19" t="n">
        <v>406</v>
      </c>
      <c r="E61" s="18" t="n">
        <v>35.03328515</v>
      </c>
      <c r="F61" s="20" t="n">
        <v>2.37337065</v>
      </c>
      <c r="G61" s="18" t="n">
        <v>50.95701547</v>
      </c>
      <c r="H61" s="20" t="n">
        <v>2.4329862</v>
      </c>
      <c r="I61" s="18" t="s">
        <v>431</v>
      </c>
      <c r="J61" s="20" t="s">
        <v>431</v>
      </c>
      <c r="K61" s="18" t="n">
        <v>0.25385066</v>
      </c>
      <c r="L61" s="20" t="n">
        <v>0.17698424</v>
      </c>
      <c r="M61" s="18" t="n">
        <v>0</v>
      </c>
      <c r="N61" s="20" t="n">
        <v>0</v>
      </c>
      <c r="O61" s="18" t="n">
        <v>0</v>
      </c>
      <c r="P61" s="20" t="n">
        <v>0</v>
      </c>
      <c r="Q61" s="18" t="n">
        <v>13.75584873</v>
      </c>
      <c r="R61" s="20" t="n">
        <v>1.67135225</v>
      </c>
    </row>
    <row r="62" spans="1:18">
      <c r="A62" s="15" t="s">
        <v>486</v>
      </c>
      <c r="B62" s="17" t="n">
        <v>2246</v>
      </c>
      <c r="C62" s="18">
        <f>(1979.0/B62*100)</f>
        <v/>
      </c>
      <c r="D62" s="19" t="n">
        <v>267</v>
      </c>
      <c r="E62" s="18" t="n">
        <v>16.05376118</v>
      </c>
      <c r="F62" s="20" t="n">
        <v>2.02101147</v>
      </c>
      <c r="G62" s="18" t="n">
        <v>73.41840464000001</v>
      </c>
      <c r="H62" s="20" t="n">
        <v>2.76859227</v>
      </c>
      <c r="I62" s="18" t="s">
        <v>431</v>
      </c>
      <c r="J62" s="20" t="s">
        <v>431</v>
      </c>
      <c r="K62" s="18" t="n">
        <v>0</v>
      </c>
      <c r="L62" s="20" t="n">
        <v>0</v>
      </c>
      <c r="M62" s="18" t="n">
        <v>0</v>
      </c>
      <c r="N62" s="20" t="n">
        <v>0</v>
      </c>
      <c r="O62" s="18" t="n">
        <v>0</v>
      </c>
      <c r="P62" s="20" t="n">
        <v>0</v>
      </c>
      <c r="Q62" s="18" t="n">
        <v>10.52783417</v>
      </c>
      <c r="R62" s="20" t="n">
        <v>1.8844063</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(2533.0/B66*100)</f>
        <v/>
      </c>
      <c r="D66" s="19" t="n">
        <v>361</v>
      </c>
      <c r="E66" s="18" t="n">
        <v>25.93288016</v>
      </c>
      <c r="F66" s="20" t="n">
        <v>2.51755511</v>
      </c>
      <c r="G66" s="18" t="n">
        <v>45.45043161</v>
      </c>
      <c r="H66" s="20" t="n">
        <v>2.79977418</v>
      </c>
      <c r="I66" s="18" t="s">
        <v>431</v>
      </c>
      <c r="J66" s="20" t="s">
        <v>431</v>
      </c>
      <c r="K66" s="18" t="n">
        <v>1.11248253</v>
      </c>
      <c r="L66" s="20" t="n">
        <v>0.55738465</v>
      </c>
      <c r="M66" s="18" t="n">
        <v>0</v>
      </c>
      <c r="N66" s="20" t="n">
        <v>0</v>
      </c>
      <c r="O66" s="18" t="n">
        <v>0</v>
      </c>
      <c r="P66" s="20" t="n">
        <v>0</v>
      </c>
      <c r="Q66" s="18" t="n">
        <v>27.5042057</v>
      </c>
      <c r="R66" s="20" t="n">
        <v>2.49916853</v>
      </c>
    </row>
    <row r="67" spans="1:18">
      <c r="A67" s="15" t="s">
        <v>491</v>
      </c>
      <c r="B67" s="17" t="n">
        <v>3511</v>
      </c>
      <c r="C67" s="18">
        <f>(3104.0/B67*100)</f>
        <v/>
      </c>
      <c r="D67" s="19" t="n">
        <v>407</v>
      </c>
      <c r="E67" s="18" t="n">
        <v>37.84806077</v>
      </c>
      <c r="F67" s="20" t="n">
        <v>2.46959277</v>
      </c>
      <c r="G67" s="18" t="n">
        <v>28.88888235</v>
      </c>
      <c r="H67" s="20" t="n">
        <v>2.54910733</v>
      </c>
      <c r="I67" s="18" t="s">
        <v>431</v>
      </c>
      <c r="J67" s="20" t="s">
        <v>431</v>
      </c>
      <c r="K67" s="18" t="n">
        <v>0</v>
      </c>
      <c r="L67" s="20" t="n">
        <v>0</v>
      </c>
      <c r="M67" s="18" t="n">
        <v>0</v>
      </c>
      <c r="N67" s="20" t="n">
        <v>0</v>
      </c>
      <c r="O67" s="18" t="n">
        <v>0</v>
      </c>
      <c r="P67" s="20" t="n">
        <v>0</v>
      </c>
      <c r="Q67" s="18" t="n">
        <v>33.26305688</v>
      </c>
      <c r="R67" s="20" t="n">
        <v>2.30560967</v>
      </c>
    </row>
    <row r="68" spans="1:18">
      <c r="A68" s="15" t="s">
        <v>492</v>
      </c>
      <c r="B68" s="17" t="n">
        <v>6049</v>
      </c>
      <c r="C68" s="18">
        <f>(5050.0/B68*100)</f>
        <v/>
      </c>
      <c r="D68" s="19" t="n">
        <v>999</v>
      </c>
      <c r="E68" s="18" t="n">
        <v>35.03506145</v>
      </c>
      <c r="F68" s="20" t="n">
        <v>1.59573426</v>
      </c>
      <c r="G68" s="18" t="n">
        <v>34.99619485</v>
      </c>
      <c r="H68" s="20" t="n">
        <v>1.27920947</v>
      </c>
      <c r="I68" s="18" t="s">
        <v>431</v>
      </c>
      <c r="J68" s="20" t="s">
        <v>431</v>
      </c>
      <c r="K68" s="18" t="n">
        <v>1.90259375</v>
      </c>
      <c r="L68" s="20" t="n">
        <v>0.4354578</v>
      </c>
      <c r="M68" s="18" t="n">
        <v>0.40784473</v>
      </c>
      <c r="N68" s="20" t="n">
        <v>0.20594936</v>
      </c>
      <c r="O68" s="18" t="n">
        <v>0</v>
      </c>
      <c r="P68" s="20" t="n">
        <v>0</v>
      </c>
      <c r="Q68" s="18" t="n">
        <v>27.65830522</v>
      </c>
      <c r="R68" s="20" t="n">
        <v>1.54369414</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(2573.0/B70*100)</f>
        <v/>
      </c>
      <c r="D70" s="19" t="n">
        <v>356</v>
      </c>
      <c r="E70" s="18" t="n">
        <v>34.53919957</v>
      </c>
      <c r="F70" s="20" t="n">
        <v>3.10027645</v>
      </c>
      <c r="G70" s="18" t="n">
        <v>53.10430908</v>
      </c>
      <c r="H70" s="20" t="n">
        <v>3.12329424</v>
      </c>
      <c r="I70" s="18" t="s">
        <v>431</v>
      </c>
      <c r="J70" s="20" t="s">
        <v>431</v>
      </c>
      <c r="K70" s="18" t="n">
        <v>0</v>
      </c>
      <c r="L70" s="20" t="n">
        <v>0</v>
      </c>
      <c r="M70" s="18" t="n">
        <v>0</v>
      </c>
      <c r="N70" s="20" t="n">
        <v>0</v>
      </c>
      <c r="O70" s="18" t="n">
        <v>0</v>
      </c>
      <c r="P70" s="20" t="n">
        <v>0</v>
      </c>
      <c r="Q70" s="18" t="n">
        <v>12.35649134</v>
      </c>
      <c r="R70" s="20" t="n">
        <v>2.13956118</v>
      </c>
    </row>
    <row r="71" spans="1:18">
      <c r="A71" s="15" t="s">
        <v>495</v>
      </c>
      <c r="B71" s="17" t="n">
        <v>3142</v>
      </c>
      <c r="C71" s="18">
        <f>(2757.0/B71*100)</f>
        <v/>
      </c>
      <c r="D71" s="19" t="n">
        <v>385</v>
      </c>
      <c r="E71" s="18" t="n">
        <v>14.8664565</v>
      </c>
      <c r="F71" s="20" t="n">
        <v>1.79473352</v>
      </c>
      <c r="G71" s="18" t="n">
        <v>77.34282481</v>
      </c>
      <c r="H71" s="20" t="n">
        <v>2.23344665</v>
      </c>
      <c r="I71" s="18" t="s">
        <v>431</v>
      </c>
      <c r="J71" s="20" t="s">
        <v>431</v>
      </c>
      <c r="K71" s="18" t="n">
        <v>0.2375326</v>
      </c>
      <c r="L71" s="20" t="n">
        <v>0.24008351</v>
      </c>
      <c r="M71" s="18" t="n">
        <v>0</v>
      </c>
      <c r="N71" s="20" t="n">
        <v>0</v>
      </c>
      <c r="O71" s="18" t="n">
        <v>0</v>
      </c>
      <c r="P71" s="20" t="n">
        <v>0</v>
      </c>
      <c r="Q71" s="18" t="n">
        <v>7.55318608</v>
      </c>
      <c r="R71" s="20" t="n">
        <v>1.23948007</v>
      </c>
    </row>
    <row r="72" spans="1:18">
      <c r="A72" s="15" t="s">
        <v>496</v>
      </c>
      <c r="B72" s="17" t="n">
        <v>3889</v>
      </c>
      <c r="C72" s="18">
        <f>(3423.0/B72*100)</f>
        <v/>
      </c>
      <c r="D72" s="19" t="n">
        <v>466</v>
      </c>
      <c r="E72" s="18" t="n">
        <v>25.05099504</v>
      </c>
      <c r="F72" s="20" t="n">
        <v>2.15605122</v>
      </c>
      <c r="G72" s="18" t="n">
        <v>59.64786266</v>
      </c>
      <c r="H72" s="20" t="n">
        <v>2.40061796</v>
      </c>
      <c r="I72" s="18" t="s">
        <v>431</v>
      </c>
      <c r="J72" s="20" t="s">
        <v>431</v>
      </c>
      <c r="K72" s="18" t="n">
        <v>0.17514504</v>
      </c>
      <c r="L72" s="20" t="n">
        <v>0.17571974</v>
      </c>
      <c r="M72" s="18" t="n">
        <v>0</v>
      </c>
      <c r="N72" s="20" t="n">
        <v>0</v>
      </c>
      <c r="O72" s="18" t="n">
        <v>0</v>
      </c>
      <c r="P72" s="20" t="n">
        <v>0</v>
      </c>
      <c r="Q72" s="18" t="n">
        <v>15.12599726</v>
      </c>
      <c r="R72" s="20" t="n">
        <v>1.66504706</v>
      </c>
    </row>
    <row r="73" spans="1:18">
      <c r="A73" s="15" t="s">
        <v>497</v>
      </c>
      <c r="B73" s="17" t="n">
        <v>3597</v>
      </c>
      <c r="C73" s="18">
        <f>(3154.0/B73*100)</f>
        <v/>
      </c>
      <c r="D73" s="19" t="n">
        <v>443</v>
      </c>
      <c r="E73" s="18" t="n">
        <v>40.2985809</v>
      </c>
      <c r="F73" s="20" t="n">
        <v>3.17638007</v>
      </c>
      <c r="G73" s="18" t="n">
        <v>37.15601613</v>
      </c>
      <c r="H73" s="20" t="n">
        <v>2.79716098</v>
      </c>
      <c r="I73" s="18" t="s">
        <v>431</v>
      </c>
      <c r="J73" s="20" t="s">
        <v>431</v>
      </c>
      <c r="K73" s="18" t="n">
        <v>0</v>
      </c>
      <c r="L73" s="20" t="n">
        <v>0</v>
      </c>
      <c r="M73" s="18" t="n">
        <v>0.3120794</v>
      </c>
      <c r="N73" s="20" t="n">
        <v>0.30973123</v>
      </c>
      <c r="O73" s="18" t="n">
        <v>0</v>
      </c>
      <c r="P73" s="20" t="n">
        <v>0</v>
      </c>
      <c r="Q73" s="18" t="n">
        <v>22.23332357</v>
      </c>
      <c r="R73" s="20" t="n">
        <v>2.32554371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(2130.0/B75*100)</f>
        <v/>
      </c>
      <c r="D75" s="19" t="n">
        <v>276</v>
      </c>
      <c r="E75" s="18" t="n">
        <v>48.98122906</v>
      </c>
      <c r="F75" s="20" t="n">
        <v>3.21539118</v>
      </c>
      <c r="G75" s="18" t="n">
        <v>11.64188545</v>
      </c>
      <c r="H75" s="20" t="n">
        <v>2.1017933</v>
      </c>
      <c r="I75" s="18" t="s">
        <v>431</v>
      </c>
      <c r="J75" s="20" t="s">
        <v>431</v>
      </c>
      <c r="K75" s="18" t="n">
        <v>1.28488142</v>
      </c>
      <c r="L75" s="20" t="n">
        <v>0.62439552</v>
      </c>
      <c r="M75" s="18" t="n">
        <v>0</v>
      </c>
      <c r="N75" s="20" t="n">
        <v>0</v>
      </c>
      <c r="O75" s="18" t="n">
        <v>0</v>
      </c>
      <c r="P75" s="20" t="n">
        <v>0</v>
      </c>
      <c r="Q75" s="18" t="n">
        <v>38.09200407</v>
      </c>
      <c r="R75" s="20" t="n">
        <v>2.80176613</v>
      </c>
    </row>
    <row r="76" spans="1:18">
      <c r="A76" s="15" t="s">
        <v>500</v>
      </c>
      <c r="B76" s="17" t="n">
        <v>7052</v>
      </c>
      <c r="C76" s="18">
        <f>(6210.0/B76*100)</f>
        <v/>
      </c>
      <c r="D76" s="19" t="n">
        <v>842</v>
      </c>
      <c r="E76" s="18" t="n">
        <v>38.178857</v>
      </c>
      <c r="F76" s="20" t="n">
        <v>1.94573627</v>
      </c>
      <c r="G76" s="18" t="n">
        <v>42.1268008</v>
      </c>
      <c r="H76" s="20" t="n">
        <v>1.93684148</v>
      </c>
      <c r="I76" s="18" t="s">
        <v>431</v>
      </c>
      <c r="J76" s="20" t="s">
        <v>431</v>
      </c>
      <c r="K76" s="18" t="n">
        <v>0.70806543</v>
      </c>
      <c r="L76" s="20" t="n">
        <v>0.32006338</v>
      </c>
      <c r="M76" s="18" t="n">
        <v>0</v>
      </c>
      <c r="N76" s="20" t="n">
        <v>0</v>
      </c>
      <c r="O76" s="18" t="n">
        <v>0</v>
      </c>
      <c r="P76" s="20" t="n">
        <v>0</v>
      </c>
      <c r="Q76" s="18" t="n">
        <v>18.98627677</v>
      </c>
      <c r="R76" s="20" t="n">
        <v>1.86043266</v>
      </c>
    </row>
    <row r="77" spans="1:18">
      <c r="A77" s="15" t="s">
        <v>501</v>
      </c>
      <c r="B77" s="17" t="n">
        <v>2908</v>
      </c>
      <c r="C77" s="18">
        <f>(2575.0/B77*100)</f>
        <v/>
      </c>
      <c r="D77" s="19" t="n">
        <v>333</v>
      </c>
      <c r="E77" s="18" t="n">
        <v>31.59881396</v>
      </c>
      <c r="F77" s="20" t="n">
        <v>2.54071067</v>
      </c>
      <c r="G77" s="18" t="n">
        <v>44.45243982</v>
      </c>
      <c r="H77" s="20" t="n">
        <v>2.59775054</v>
      </c>
      <c r="I77" s="18" t="s">
        <v>431</v>
      </c>
      <c r="J77" s="20" t="s">
        <v>431</v>
      </c>
      <c r="K77" s="18" t="n">
        <v>0.87282812</v>
      </c>
      <c r="L77" s="20" t="n">
        <v>0.61085641</v>
      </c>
      <c r="M77" s="18" t="n">
        <v>0</v>
      </c>
      <c r="N77" s="20" t="n">
        <v>0</v>
      </c>
      <c r="O77" s="18" t="n">
        <v>0</v>
      </c>
      <c r="P77" s="20" t="n">
        <v>0</v>
      </c>
      <c r="Q77" s="18" t="n">
        <v>23.0759181</v>
      </c>
      <c r="R77" s="20" t="n">
        <v>2.35476356</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(3653.0/B81*100)</f>
        <v/>
      </c>
      <c r="D81" s="19" t="n">
        <v>510</v>
      </c>
      <c r="E81" s="18" t="n">
        <v>40.57067759</v>
      </c>
      <c r="F81" s="20" t="n">
        <v>2.63610608</v>
      </c>
      <c r="G81" s="18" t="n">
        <v>34.27200803</v>
      </c>
      <c r="H81" s="20" t="n">
        <v>2.82080578</v>
      </c>
      <c r="I81" s="18" t="s">
        <v>431</v>
      </c>
      <c r="J81" s="20" t="s">
        <v>431</v>
      </c>
      <c r="K81" s="18" t="n">
        <v>0.21457083</v>
      </c>
      <c r="L81" s="20" t="n">
        <v>0.15090195</v>
      </c>
      <c r="M81" s="18" t="n">
        <v>0</v>
      </c>
      <c r="N81" s="20" t="n">
        <v>0</v>
      </c>
      <c r="O81" s="18" t="n">
        <v>0</v>
      </c>
      <c r="P81" s="20" t="n">
        <v>0</v>
      </c>
      <c r="Q81" s="18" t="n">
        <v>24.94274355</v>
      </c>
      <c r="R81" s="20" t="n">
        <v>2.89395776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(6461.0/B7*100)</f>
        <v/>
      </c>
      <c r="D7" s="19" t="n">
        <v>906</v>
      </c>
      <c r="E7" s="18" t="n">
        <v>14.18021075</v>
      </c>
      <c r="F7" s="20" t="n">
        <v>1.32376884</v>
      </c>
      <c r="G7" s="18" t="n">
        <v>76.44249299000001</v>
      </c>
      <c r="H7" s="20" t="n">
        <v>1.36117327</v>
      </c>
      <c r="I7" s="18" t="s">
        <v>431</v>
      </c>
      <c r="J7" s="20" t="s">
        <v>431</v>
      </c>
      <c r="K7" s="18" t="n">
        <v>0.20444098</v>
      </c>
      <c r="L7" s="20" t="n">
        <v>0.20010949</v>
      </c>
      <c r="M7" s="18" t="n">
        <v>0</v>
      </c>
      <c r="N7" s="20" t="n">
        <v>0</v>
      </c>
      <c r="O7" s="18" t="n">
        <v>0</v>
      </c>
      <c r="P7" s="20" t="n">
        <v>0</v>
      </c>
      <c r="Q7" s="18" t="n">
        <v>9.172855269999999</v>
      </c>
      <c r="R7" s="20" t="n">
        <v>1.06023712</v>
      </c>
    </row>
    <row r="8" spans="1:18">
      <c r="A8" s="15" t="s">
        <v>432</v>
      </c>
      <c r="B8" s="17" t="n">
        <v>3564</v>
      </c>
      <c r="C8" s="18">
        <f>(3139.0/B8*100)</f>
        <v/>
      </c>
      <c r="D8" s="19" t="n">
        <v>425</v>
      </c>
      <c r="E8" s="18" t="n">
        <v>17.0626845</v>
      </c>
      <c r="F8" s="20" t="n">
        <v>2.22121567</v>
      </c>
      <c r="G8" s="18" t="n">
        <v>73.99225015</v>
      </c>
      <c r="H8" s="20" t="n">
        <v>2.61862456</v>
      </c>
      <c r="I8" s="18" t="s">
        <v>431</v>
      </c>
      <c r="J8" s="20" t="s">
        <v>431</v>
      </c>
      <c r="K8" s="18" t="n">
        <v>0</v>
      </c>
      <c r="L8" s="20" t="n">
        <v>0</v>
      </c>
      <c r="M8" s="18" t="n">
        <v>0</v>
      </c>
      <c r="N8" s="20" t="n">
        <v>0</v>
      </c>
      <c r="O8" s="18" t="n">
        <v>0</v>
      </c>
      <c r="P8" s="20" t="n">
        <v>0</v>
      </c>
      <c r="Q8" s="18" t="n">
        <v>8.94506535</v>
      </c>
      <c r="R8" s="20" t="n">
        <v>1.23307193</v>
      </c>
    </row>
    <row r="9" spans="1:18">
      <c r="A9" s="15" t="s">
        <v>433</v>
      </c>
      <c r="B9" s="17" t="n">
        <v>4899</v>
      </c>
      <c r="C9" s="18">
        <f>(4328.0/B9*100)</f>
        <v/>
      </c>
      <c r="D9" s="19" t="n">
        <v>571</v>
      </c>
      <c r="E9" s="18" t="n">
        <v>19.11855836</v>
      </c>
      <c r="F9" s="20" t="n">
        <v>1.89970247</v>
      </c>
      <c r="G9" s="18" t="n">
        <v>73.82650609</v>
      </c>
      <c r="H9" s="20" t="n">
        <v>1.85934027</v>
      </c>
      <c r="I9" s="18" t="s">
        <v>431</v>
      </c>
      <c r="J9" s="20" t="s">
        <v>431</v>
      </c>
      <c r="K9" s="18" t="n">
        <v>0.15595692</v>
      </c>
      <c r="L9" s="20" t="n">
        <v>0.15130496</v>
      </c>
      <c r="M9" s="18" t="n">
        <v>0</v>
      </c>
      <c r="N9" s="20" t="n">
        <v>0</v>
      </c>
      <c r="O9" s="18" t="n">
        <v>0</v>
      </c>
      <c r="P9" s="20" t="n">
        <v>0</v>
      </c>
      <c r="Q9" s="18" t="n">
        <v>6.89897863</v>
      </c>
      <c r="R9" s="20" t="n">
        <v>1.1580286</v>
      </c>
    </row>
    <row r="10" spans="1:18">
      <c r="A10" s="15" t="s">
        <v>434</v>
      </c>
      <c r="B10" s="17" t="n">
        <v>10036</v>
      </c>
      <c r="C10" s="18">
        <f>(8832.0/B10*100)</f>
        <v/>
      </c>
      <c r="D10" s="19" t="n">
        <v>1204</v>
      </c>
      <c r="E10" s="18" t="n">
        <v>14.4909919</v>
      </c>
      <c r="F10" s="20" t="n">
        <v>1.22435829</v>
      </c>
      <c r="G10" s="18" t="n">
        <v>78.67305039999999</v>
      </c>
      <c r="H10" s="20" t="n">
        <v>1.5466802</v>
      </c>
      <c r="I10" s="18" t="s">
        <v>431</v>
      </c>
      <c r="J10" s="20" t="s">
        <v>431</v>
      </c>
      <c r="K10" s="18" t="n">
        <v>0</v>
      </c>
      <c r="L10" s="20" t="n">
        <v>0</v>
      </c>
      <c r="M10" s="18" t="n">
        <v>0</v>
      </c>
      <c r="N10" s="20" t="n">
        <v>0</v>
      </c>
      <c r="O10" s="18" t="n">
        <v>0</v>
      </c>
      <c r="P10" s="20" t="n">
        <v>0</v>
      </c>
      <c r="Q10" s="18" t="n">
        <v>6.8359577</v>
      </c>
      <c r="R10" s="20" t="n">
        <v>0.96254368</v>
      </c>
    </row>
    <row r="11" spans="1:18">
      <c r="A11" s="15" t="s">
        <v>435</v>
      </c>
      <c r="B11" s="17" t="n">
        <v>3553</v>
      </c>
      <c r="C11" s="18">
        <f>(3120.0/B11*100)</f>
        <v/>
      </c>
      <c r="D11" s="19" t="n">
        <v>433</v>
      </c>
      <c r="E11" s="18" t="n">
        <v>30.0352034</v>
      </c>
      <c r="F11" s="20" t="n">
        <v>2.49273031</v>
      </c>
      <c r="G11" s="18" t="n">
        <v>45.81190682</v>
      </c>
      <c r="H11" s="20" t="n">
        <v>2.82177825</v>
      </c>
      <c r="I11" s="18" t="s">
        <v>431</v>
      </c>
      <c r="J11" s="20" t="s">
        <v>431</v>
      </c>
      <c r="K11" s="18" t="n">
        <v>0</v>
      </c>
      <c r="L11" s="20" t="n">
        <v>0</v>
      </c>
      <c r="M11" s="18" t="n">
        <v>0</v>
      </c>
      <c r="N11" s="20" t="n">
        <v>0</v>
      </c>
      <c r="O11" s="18" t="n">
        <v>0</v>
      </c>
      <c r="P11" s="20" t="n">
        <v>0</v>
      </c>
      <c r="Q11" s="18" t="n">
        <v>24.15288979</v>
      </c>
      <c r="R11" s="20" t="n">
        <v>2.50757698</v>
      </c>
    </row>
    <row r="12" spans="1:18">
      <c r="A12" s="15" t="s">
        <v>436</v>
      </c>
      <c r="B12" s="17" t="n">
        <v>3472</v>
      </c>
      <c r="C12" s="18">
        <f>(3050.0/B12*100)</f>
        <v/>
      </c>
      <c r="D12" s="19" t="n">
        <v>422</v>
      </c>
      <c r="E12" s="18" t="n">
        <v>22.29573138</v>
      </c>
      <c r="F12" s="20" t="n">
        <v>2.14886368</v>
      </c>
      <c r="G12" s="18" t="n">
        <v>70.61352603</v>
      </c>
      <c r="H12" s="20" t="n">
        <v>2.45972712</v>
      </c>
      <c r="I12" s="18" t="s">
        <v>431</v>
      </c>
      <c r="J12" s="20" t="s">
        <v>431</v>
      </c>
      <c r="K12" s="18" t="n">
        <v>0</v>
      </c>
      <c r="L12" s="20" t="n">
        <v>0</v>
      </c>
      <c r="M12" s="18" t="n">
        <v>0</v>
      </c>
      <c r="N12" s="20" t="n">
        <v>0</v>
      </c>
      <c r="O12" s="18" t="n">
        <v>0</v>
      </c>
      <c r="P12" s="20" t="n">
        <v>0</v>
      </c>
      <c r="Q12" s="18" t="n">
        <v>7.09074259</v>
      </c>
      <c r="R12" s="20" t="n">
        <v>1.32565013</v>
      </c>
    </row>
    <row r="13" spans="1:18">
      <c r="A13" s="15" t="s">
        <v>437</v>
      </c>
      <c r="B13" s="17" t="n">
        <v>3559</v>
      </c>
      <c r="C13" s="18">
        <f>(3155.0/B13*100)</f>
        <v/>
      </c>
      <c r="D13" s="19" t="n">
        <v>404</v>
      </c>
      <c r="E13" s="18" t="n">
        <v>9.5799638</v>
      </c>
      <c r="F13" s="20" t="n">
        <v>1.9918666</v>
      </c>
      <c r="G13" s="18" t="n">
        <v>84.03432865000001</v>
      </c>
      <c r="H13" s="20" t="n">
        <v>2.50788272</v>
      </c>
      <c r="I13" s="18" t="s">
        <v>431</v>
      </c>
      <c r="J13" s="20" t="s">
        <v>431</v>
      </c>
      <c r="K13" s="18" t="n">
        <v>0.47032531</v>
      </c>
      <c r="L13" s="20" t="n">
        <v>0.24358336</v>
      </c>
      <c r="M13" s="18" t="n">
        <v>0</v>
      </c>
      <c r="N13" s="20" t="n">
        <v>0</v>
      </c>
      <c r="O13" s="18" t="n">
        <v>0</v>
      </c>
      <c r="P13" s="20" t="n">
        <v>0</v>
      </c>
      <c r="Q13" s="18" t="n">
        <v>5.91538224</v>
      </c>
      <c r="R13" s="20" t="n">
        <v>1.60722364</v>
      </c>
    </row>
    <row r="14" spans="1:18">
      <c r="A14" s="15" t="s">
        <v>438</v>
      </c>
      <c r="B14" s="17" t="n">
        <v>2799</v>
      </c>
      <c r="C14" s="18">
        <f>(2448.0/B14*100)</f>
        <v/>
      </c>
      <c r="D14" s="19" t="n">
        <v>351</v>
      </c>
      <c r="E14" s="18" t="n">
        <v>14.30751663</v>
      </c>
      <c r="F14" s="20" t="n">
        <v>2.08850362</v>
      </c>
      <c r="G14" s="18" t="n">
        <v>82.47876106</v>
      </c>
      <c r="H14" s="20" t="n">
        <v>2.29061363</v>
      </c>
      <c r="I14" s="18" t="s">
        <v>431</v>
      </c>
      <c r="J14" s="20" t="s">
        <v>431</v>
      </c>
      <c r="K14" s="18" t="n">
        <v>0</v>
      </c>
      <c r="L14" s="20" t="n">
        <v>0</v>
      </c>
      <c r="M14" s="18" t="n">
        <v>0</v>
      </c>
      <c r="N14" s="20" t="n">
        <v>0</v>
      </c>
      <c r="O14" s="18" t="n">
        <v>0</v>
      </c>
      <c r="P14" s="20" t="n">
        <v>0</v>
      </c>
      <c r="Q14" s="18" t="n">
        <v>3.21372231</v>
      </c>
      <c r="R14" s="20" t="n">
        <v>1.07123477</v>
      </c>
    </row>
    <row r="15" spans="1:18">
      <c r="A15" s="15" t="s">
        <v>439</v>
      </c>
      <c r="B15" s="17" t="n">
        <v>3019</v>
      </c>
      <c r="C15" s="18">
        <f>(2669.0/B15*100)</f>
        <v/>
      </c>
      <c r="D15" s="19" t="n">
        <v>350</v>
      </c>
      <c r="E15" s="18" t="n">
        <v>18.71930845</v>
      </c>
      <c r="F15" s="20" t="n">
        <v>2.16493293</v>
      </c>
      <c r="G15" s="18" t="n">
        <v>74.54663359</v>
      </c>
      <c r="H15" s="20" t="n">
        <v>2.47695159</v>
      </c>
      <c r="I15" s="18" t="s">
        <v>431</v>
      </c>
      <c r="J15" s="20" t="s">
        <v>431</v>
      </c>
      <c r="K15" s="18" t="n">
        <v>0</v>
      </c>
      <c r="L15" s="20" t="n">
        <v>0</v>
      </c>
      <c r="M15" s="18" t="n">
        <v>0</v>
      </c>
      <c r="N15" s="20" t="n">
        <v>0</v>
      </c>
      <c r="O15" s="18" t="n">
        <v>0</v>
      </c>
      <c r="P15" s="20" t="n">
        <v>0</v>
      </c>
      <c r="Q15" s="18" t="n">
        <v>6.73405796</v>
      </c>
      <c r="R15" s="20" t="n">
        <v>1.28304316</v>
      </c>
    </row>
    <row r="16" spans="1:18">
      <c r="A16" s="15" t="s">
        <v>440</v>
      </c>
      <c r="B16" s="17" t="n">
        <v>2997</v>
      </c>
      <c r="C16" s="18">
        <f>(2620.0/B16*100)</f>
        <v/>
      </c>
      <c r="D16" s="19" t="n">
        <v>377</v>
      </c>
      <c r="E16" s="18" t="n">
        <v>21.38969805</v>
      </c>
      <c r="F16" s="20" t="n">
        <v>2.37033748</v>
      </c>
      <c r="G16" s="18" t="n">
        <v>66.92722594999999</v>
      </c>
      <c r="H16" s="20" t="n">
        <v>2.28681692</v>
      </c>
      <c r="I16" s="18" t="s">
        <v>431</v>
      </c>
      <c r="J16" s="20" t="s">
        <v>431</v>
      </c>
      <c r="K16" s="18" t="n">
        <v>0.24646513</v>
      </c>
      <c r="L16" s="20" t="n">
        <v>0.25743599</v>
      </c>
      <c r="M16" s="18" t="n">
        <v>0</v>
      </c>
      <c r="N16" s="20" t="n">
        <v>0</v>
      </c>
      <c r="O16" s="18" t="n">
        <v>0</v>
      </c>
      <c r="P16" s="20" t="n">
        <v>0</v>
      </c>
      <c r="Q16" s="18" t="n">
        <v>11.43661087</v>
      </c>
      <c r="R16" s="20" t="n">
        <v>1.76795281</v>
      </c>
    </row>
    <row r="17" spans="1:18">
      <c r="A17" s="15" t="s">
        <v>441</v>
      </c>
      <c r="B17" s="17" t="n">
        <v>3307</v>
      </c>
      <c r="C17" s="18">
        <f>(2907.0/B17*100)</f>
        <v/>
      </c>
      <c r="D17" s="19" t="n">
        <v>400</v>
      </c>
      <c r="E17" s="18" t="n">
        <v>15.744243</v>
      </c>
      <c r="F17" s="20" t="n">
        <v>2.37376809</v>
      </c>
      <c r="G17" s="18" t="n">
        <v>78.0138419</v>
      </c>
      <c r="H17" s="20" t="n">
        <v>2.48999749</v>
      </c>
      <c r="I17" s="18" t="s">
        <v>431</v>
      </c>
      <c r="J17" s="20" t="s">
        <v>431</v>
      </c>
      <c r="K17" s="18" t="n">
        <v>0.35001845</v>
      </c>
      <c r="L17" s="20" t="n">
        <v>0.30283851</v>
      </c>
      <c r="M17" s="18" t="n">
        <v>0</v>
      </c>
      <c r="N17" s="20" t="n">
        <v>0</v>
      </c>
      <c r="O17" s="18" t="n">
        <v>0</v>
      </c>
      <c r="P17" s="20" t="n">
        <v>0</v>
      </c>
      <c r="Q17" s="18" t="n">
        <v>5.89189664</v>
      </c>
      <c r="R17" s="20" t="n">
        <v>1.2758213</v>
      </c>
    </row>
    <row r="18" spans="1:18">
      <c r="A18" s="15" t="s">
        <v>442</v>
      </c>
      <c r="B18" s="17" t="n">
        <v>2826</v>
      </c>
      <c r="C18" s="18">
        <f>(2464.0/B18*100)</f>
        <v/>
      </c>
      <c r="D18" s="19" t="n">
        <v>362</v>
      </c>
      <c r="E18" s="18" t="n">
        <v>29.18026053</v>
      </c>
      <c r="F18" s="20" t="n">
        <v>2.42704471</v>
      </c>
      <c r="G18" s="18" t="n">
        <v>55.99843107</v>
      </c>
      <c r="H18" s="20" t="n">
        <v>3.10122893</v>
      </c>
      <c r="I18" s="18" t="s">
        <v>431</v>
      </c>
      <c r="J18" s="20" t="s">
        <v>431</v>
      </c>
      <c r="K18" s="18" t="n">
        <v>0</v>
      </c>
      <c r="L18" s="20" t="n">
        <v>0</v>
      </c>
      <c r="M18" s="18" t="n">
        <v>0</v>
      </c>
      <c r="N18" s="20" t="n">
        <v>0</v>
      </c>
      <c r="O18" s="18" t="n">
        <v>0</v>
      </c>
      <c r="P18" s="20" t="n">
        <v>0</v>
      </c>
      <c r="Q18" s="18" t="n">
        <v>14.8213084</v>
      </c>
      <c r="R18" s="20" t="n">
        <v>2.13893478</v>
      </c>
    </row>
    <row r="19" spans="1:18">
      <c r="A19" s="15" t="s">
        <v>443</v>
      </c>
      <c r="B19" s="17" t="n">
        <v>2808</v>
      </c>
      <c r="C19" s="18">
        <f>(2460.0/B19*100)</f>
        <v/>
      </c>
      <c r="D19" s="19" t="n">
        <v>348</v>
      </c>
      <c r="E19" s="18" t="n">
        <v>17.4438599</v>
      </c>
      <c r="F19" s="20" t="n">
        <v>2.31969195</v>
      </c>
      <c r="G19" s="18" t="n">
        <v>68.17549907999999</v>
      </c>
      <c r="H19" s="20" t="n">
        <v>2.45156975</v>
      </c>
      <c r="I19" s="18" t="s">
        <v>431</v>
      </c>
      <c r="J19" s="20" t="s">
        <v>431</v>
      </c>
      <c r="K19" s="18" t="n">
        <v>0</v>
      </c>
      <c r="L19" s="20" t="n">
        <v>0</v>
      </c>
      <c r="M19" s="18" t="n">
        <v>0</v>
      </c>
      <c r="N19" s="20" t="n">
        <v>0</v>
      </c>
      <c r="O19" s="18" t="n">
        <v>0</v>
      </c>
      <c r="P19" s="20" t="n">
        <v>0</v>
      </c>
      <c r="Q19" s="18" t="n">
        <v>14.38064102</v>
      </c>
      <c r="R19" s="20" t="n">
        <v>2.34560009</v>
      </c>
    </row>
    <row r="20" spans="1:18">
      <c r="A20" s="15" t="s">
        <v>444</v>
      </c>
      <c r="B20" s="17" t="n">
        <v>1630</v>
      </c>
      <c r="C20" s="18">
        <f>(1424.0/B20*100)</f>
        <v/>
      </c>
      <c r="D20" s="19" t="n">
        <v>206</v>
      </c>
      <c r="E20" s="18" t="n">
        <v>23.57833995</v>
      </c>
      <c r="F20" s="20" t="n">
        <v>2.85960581</v>
      </c>
      <c r="G20" s="18" t="n">
        <v>63.12590967</v>
      </c>
      <c r="H20" s="20" t="n">
        <v>3.6418727</v>
      </c>
      <c r="I20" s="18" t="s">
        <v>431</v>
      </c>
      <c r="J20" s="20" t="s">
        <v>431</v>
      </c>
      <c r="K20" s="18" t="n">
        <v>0</v>
      </c>
      <c r="L20" s="20" t="n">
        <v>0</v>
      </c>
      <c r="M20" s="18" t="n">
        <v>0</v>
      </c>
      <c r="N20" s="20" t="n">
        <v>0</v>
      </c>
      <c r="O20" s="18" t="n">
        <v>0</v>
      </c>
      <c r="P20" s="20" t="n">
        <v>0</v>
      </c>
      <c r="Q20" s="18" t="n">
        <v>13.29575038</v>
      </c>
      <c r="R20" s="20" t="n">
        <v>2.76936555</v>
      </c>
    </row>
    <row r="21" spans="1:18">
      <c r="A21" s="15" t="s">
        <v>445</v>
      </c>
      <c r="B21" s="17" t="n">
        <v>2908</v>
      </c>
      <c r="C21" s="18">
        <f>(2442.0/B21*100)</f>
        <v/>
      </c>
      <c r="D21" s="19" t="n">
        <v>466</v>
      </c>
      <c r="E21" s="18" t="n">
        <v>8.4884083</v>
      </c>
      <c r="F21" s="20" t="n">
        <v>1.26204165</v>
      </c>
      <c r="G21" s="18" t="n">
        <v>86.36752669000001</v>
      </c>
      <c r="H21" s="20" t="n">
        <v>1.47830286</v>
      </c>
      <c r="I21" s="18" t="s">
        <v>431</v>
      </c>
      <c r="J21" s="20" t="s">
        <v>431</v>
      </c>
      <c r="K21" s="18" t="n">
        <v>0</v>
      </c>
      <c r="L21" s="20" t="n">
        <v>0</v>
      </c>
      <c r="M21" s="18" t="n">
        <v>0</v>
      </c>
      <c r="N21" s="20" t="n">
        <v>0</v>
      </c>
      <c r="O21" s="18" t="n">
        <v>0</v>
      </c>
      <c r="P21" s="20" t="n">
        <v>0</v>
      </c>
      <c r="Q21" s="18" t="n">
        <v>5.14406501</v>
      </c>
      <c r="R21" s="20" t="n">
        <v>1.04465903</v>
      </c>
    </row>
    <row r="22" spans="1:18">
      <c r="A22" s="15" t="s">
        <v>446</v>
      </c>
      <c r="B22" s="17" t="n">
        <v>2931</v>
      </c>
      <c r="C22" s="18">
        <f>(2570.0/B22*100)</f>
        <v/>
      </c>
      <c r="D22" s="19" t="n">
        <v>361</v>
      </c>
      <c r="E22" s="18" t="n">
        <v>18.01466516</v>
      </c>
      <c r="F22" s="20" t="n">
        <v>2.37971478</v>
      </c>
      <c r="G22" s="18" t="n">
        <v>67.41340893</v>
      </c>
      <c r="H22" s="20" t="n">
        <v>2.6521097</v>
      </c>
      <c r="I22" s="18" t="s">
        <v>431</v>
      </c>
      <c r="J22" s="20" t="s">
        <v>431</v>
      </c>
      <c r="K22" s="18" t="n">
        <v>0.20074652</v>
      </c>
      <c r="L22" s="20" t="n">
        <v>0.20105882</v>
      </c>
      <c r="M22" s="18" t="n">
        <v>0</v>
      </c>
      <c r="N22" s="20" t="n">
        <v>0</v>
      </c>
      <c r="O22" s="18" t="n">
        <v>0</v>
      </c>
      <c r="P22" s="20" t="n">
        <v>0</v>
      </c>
      <c r="Q22" s="18" t="n">
        <v>14.37117939</v>
      </c>
      <c r="R22" s="20" t="n">
        <v>2.33309978</v>
      </c>
    </row>
    <row r="23" spans="1:18">
      <c r="A23" s="15" t="s">
        <v>447</v>
      </c>
      <c r="B23" s="17" t="n">
        <v>5791</v>
      </c>
      <c r="C23" s="18">
        <f>(5105.0/B23*100)</f>
        <v/>
      </c>
      <c r="D23" s="19" t="n">
        <v>686</v>
      </c>
      <c r="E23" s="18" t="n">
        <v>16.53410471</v>
      </c>
      <c r="F23" s="20" t="n">
        <v>2.03294146</v>
      </c>
      <c r="G23" s="18" t="n">
        <v>75.38365395</v>
      </c>
      <c r="H23" s="20" t="n">
        <v>2.26381262</v>
      </c>
      <c r="I23" s="18" t="s">
        <v>431</v>
      </c>
      <c r="J23" s="20" t="s">
        <v>431</v>
      </c>
      <c r="K23" s="18" t="n">
        <v>0.45691312</v>
      </c>
      <c r="L23" s="20" t="n">
        <v>0.44588466</v>
      </c>
      <c r="M23" s="18" t="n">
        <v>0</v>
      </c>
      <c r="N23" s="20" t="n">
        <v>0</v>
      </c>
      <c r="O23" s="18" t="n">
        <v>0</v>
      </c>
      <c r="P23" s="20" t="n">
        <v>0</v>
      </c>
      <c r="Q23" s="18" t="n">
        <v>7.62532823</v>
      </c>
      <c r="R23" s="20" t="n">
        <v>1.33748013</v>
      </c>
    </row>
    <row r="24" spans="1:18">
      <c r="A24" s="15" t="s">
        <v>448</v>
      </c>
      <c r="B24" s="17" t="n">
        <v>3338</v>
      </c>
      <c r="C24" s="18">
        <f>(2931.0/B24*100)</f>
        <v/>
      </c>
      <c r="D24" s="19" t="n">
        <v>407</v>
      </c>
      <c r="E24" s="18" t="n">
        <v>14.11462702</v>
      </c>
      <c r="F24" s="20" t="n">
        <v>1.51764822</v>
      </c>
      <c r="G24" s="18" t="n">
        <v>76.10755584</v>
      </c>
      <c r="H24" s="20" t="n">
        <v>1.90789313</v>
      </c>
      <c r="I24" s="18" t="s">
        <v>431</v>
      </c>
      <c r="J24" s="20" t="s">
        <v>431</v>
      </c>
      <c r="K24" s="18" t="n">
        <v>0</v>
      </c>
      <c r="L24" s="20" t="n">
        <v>0</v>
      </c>
      <c r="M24" s="18" t="n">
        <v>0</v>
      </c>
      <c r="N24" s="20" t="n">
        <v>0</v>
      </c>
      <c r="O24" s="18" t="n">
        <v>0</v>
      </c>
      <c r="P24" s="20" t="n">
        <v>0</v>
      </c>
      <c r="Q24" s="18" t="n">
        <v>9.77781714</v>
      </c>
      <c r="R24" s="20" t="n">
        <v>1.41876981</v>
      </c>
    </row>
    <row r="25" spans="1:18">
      <c r="A25" s="15" t="s">
        <v>449</v>
      </c>
      <c r="B25" s="17" t="n">
        <v>2912</v>
      </c>
      <c r="C25" s="18">
        <f>(2540.0/B25*100)</f>
        <v/>
      </c>
      <c r="D25" s="19" t="n">
        <v>372</v>
      </c>
      <c r="E25" s="18" t="n">
        <v>10.23387087</v>
      </c>
      <c r="F25" s="20" t="n">
        <v>1.391438</v>
      </c>
      <c r="G25" s="18" t="n">
        <v>80.02530410999999</v>
      </c>
      <c r="H25" s="20" t="n">
        <v>2.21152161</v>
      </c>
      <c r="I25" s="18" t="s">
        <v>431</v>
      </c>
      <c r="J25" s="20" t="s">
        <v>431</v>
      </c>
      <c r="K25" s="18" t="n">
        <v>0</v>
      </c>
      <c r="L25" s="20" t="n">
        <v>0</v>
      </c>
      <c r="M25" s="18" t="n">
        <v>0</v>
      </c>
      <c r="N25" s="20" t="n">
        <v>0</v>
      </c>
      <c r="O25" s="18" t="n">
        <v>0</v>
      </c>
      <c r="P25" s="20" t="n">
        <v>0</v>
      </c>
      <c r="Q25" s="18" t="n">
        <v>9.740825020000001</v>
      </c>
      <c r="R25" s="20" t="n">
        <v>1.55365085</v>
      </c>
    </row>
    <row r="26" spans="1:18">
      <c r="A26" s="15" t="s">
        <v>450</v>
      </c>
      <c r="B26" s="17" t="n">
        <v>2450</v>
      </c>
      <c r="C26" s="18">
        <f>(2160.0/B26*100)</f>
        <v/>
      </c>
      <c r="D26" s="19" t="n">
        <v>290</v>
      </c>
      <c r="E26" s="18" t="n">
        <v>20.2747144</v>
      </c>
      <c r="F26" s="20" t="n">
        <v>2.4288481</v>
      </c>
      <c r="G26" s="18" t="n">
        <v>73.19069425000001</v>
      </c>
      <c r="H26" s="20" t="n">
        <v>2.56042035</v>
      </c>
      <c r="I26" s="18" t="s">
        <v>431</v>
      </c>
      <c r="J26" s="20" t="s">
        <v>431</v>
      </c>
      <c r="K26" s="18" t="n">
        <v>0</v>
      </c>
      <c r="L26" s="20" t="n">
        <v>0</v>
      </c>
      <c r="M26" s="18" t="n">
        <v>0</v>
      </c>
      <c r="N26" s="20" t="n">
        <v>0</v>
      </c>
      <c r="O26" s="18" t="n">
        <v>0</v>
      </c>
      <c r="P26" s="20" t="n">
        <v>0</v>
      </c>
      <c r="Q26" s="18" t="n">
        <v>6.53459134</v>
      </c>
      <c r="R26" s="20" t="n">
        <v>1.43578136</v>
      </c>
    </row>
    <row r="27" spans="1:18">
      <c r="A27" s="15" t="s">
        <v>451</v>
      </c>
      <c r="B27" s="17" t="n">
        <v>2616</v>
      </c>
      <c r="C27" s="18">
        <f>(2281.0/B27*100)</f>
        <v/>
      </c>
      <c r="D27" s="19" t="n">
        <v>335</v>
      </c>
      <c r="E27" s="18" t="n">
        <v>20.51612686</v>
      </c>
      <c r="F27" s="20" t="n">
        <v>2.29044979</v>
      </c>
      <c r="G27" s="18" t="n">
        <v>67.75044009</v>
      </c>
      <c r="H27" s="20" t="n">
        <v>2.51757962</v>
      </c>
      <c r="I27" s="18" t="s">
        <v>431</v>
      </c>
      <c r="J27" s="20" t="s">
        <v>431</v>
      </c>
      <c r="K27" s="18" t="n">
        <v>0</v>
      </c>
      <c r="L27" s="20" t="n">
        <v>0</v>
      </c>
      <c r="M27" s="18" t="n">
        <v>0</v>
      </c>
      <c r="N27" s="20" t="n">
        <v>0</v>
      </c>
      <c r="O27" s="18" t="n">
        <v>0</v>
      </c>
      <c r="P27" s="20" t="n">
        <v>0</v>
      </c>
      <c r="Q27" s="18" t="n">
        <v>11.73343304</v>
      </c>
      <c r="R27" s="20" t="n">
        <v>1.70967154</v>
      </c>
    </row>
    <row r="28" spans="1:18">
      <c r="A28" s="15" t="s">
        <v>452</v>
      </c>
      <c r="B28" s="17" t="n">
        <v>3765</v>
      </c>
      <c r="C28" s="18">
        <f>(3339.0/B28*100)</f>
        <v/>
      </c>
      <c r="D28" s="19" t="n">
        <v>426</v>
      </c>
      <c r="E28" s="18" t="n">
        <v>43.89810509</v>
      </c>
      <c r="F28" s="20" t="n">
        <v>2.58961532</v>
      </c>
      <c r="G28" s="18" t="n">
        <v>36.57265469</v>
      </c>
      <c r="H28" s="20" t="n">
        <v>2.92033745</v>
      </c>
      <c r="I28" s="18" t="s">
        <v>431</v>
      </c>
      <c r="J28" s="20" t="s">
        <v>431</v>
      </c>
      <c r="K28" s="18" t="n">
        <v>0</v>
      </c>
      <c r="L28" s="20" t="n">
        <v>0</v>
      </c>
      <c r="M28" s="18" t="n">
        <v>0</v>
      </c>
      <c r="N28" s="20" t="n">
        <v>0</v>
      </c>
      <c r="O28" s="18" t="n">
        <v>0</v>
      </c>
      <c r="P28" s="20" t="n">
        <v>0</v>
      </c>
      <c r="Q28" s="18" t="n">
        <v>19.52924022</v>
      </c>
      <c r="R28" s="20" t="n">
        <v>1.92256022</v>
      </c>
    </row>
    <row r="29" spans="1:18">
      <c r="A29" s="15" t="s">
        <v>453</v>
      </c>
      <c r="B29" s="17" t="n">
        <v>2685</v>
      </c>
      <c r="C29" s="18">
        <f>(2368.0/B29*100)</f>
        <v/>
      </c>
      <c r="D29" s="19" t="n">
        <v>317</v>
      </c>
      <c r="E29" s="18" t="n">
        <v>14.62295358</v>
      </c>
      <c r="F29" s="20" t="n">
        <v>2.06803384</v>
      </c>
      <c r="G29" s="18" t="n">
        <v>79.80289277</v>
      </c>
      <c r="H29" s="20" t="n">
        <v>2.22269225</v>
      </c>
      <c r="I29" s="18" t="s">
        <v>431</v>
      </c>
      <c r="J29" s="20" t="s">
        <v>431</v>
      </c>
      <c r="K29" s="18" t="n">
        <v>0</v>
      </c>
      <c r="L29" s="20" t="n">
        <v>0</v>
      </c>
      <c r="M29" s="18" t="n">
        <v>0</v>
      </c>
      <c r="N29" s="20" t="n">
        <v>0</v>
      </c>
      <c r="O29" s="18" t="n">
        <v>0</v>
      </c>
      <c r="P29" s="20" t="n">
        <v>0</v>
      </c>
      <c r="Q29" s="18" t="n">
        <v>5.57415365</v>
      </c>
      <c r="R29" s="20" t="n">
        <v>1.32259577</v>
      </c>
    </row>
    <row r="30" spans="1:18">
      <c r="A30" s="15" t="s">
        <v>454</v>
      </c>
      <c r="B30" s="17" t="n">
        <v>2263</v>
      </c>
      <c r="C30" s="18">
        <f>(1989.0/B30*100)</f>
        <v/>
      </c>
      <c r="D30" s="19" t="n">
        <v>274</v>
      </c>
      <c r="E30" s="18" t="n">
        <v>15.51798793</v>
      </c>
      <c r="F30" s="20" t="n">
        <v>2.20364866</v>
      </c>
      <c r="G30" s="18" t="n">
        <v>77.88553087</v>
      </c>
      <c r="H30" s="20" t="n">
        <v>2.46950214</v>
      </c>
      <c r="I30" s="18" t="s">
        <v>431</v>
      </c>
      <c r="J30" s="20" t="s">
        <v>431</v>
      </c>
      <c r="K30" s="18" t="n">
        <v>0.30879133</v>
      </c>
      <c r="L30" s="20" t="n">
        <v>0.31241769</v>
      </c>
      <c r="M30" s="18" t="n">
        <v>0</v>
      </c>
      <c r="N30" s="20" t="n">
        <v>0</v>
      </c>
      <c r="O30" s="18" t="n">
        <v>0</v>
      </c>
      <c r="P30" s="20" t="n">
        <v>0</v>
      </c>
      <c r="Q30" s="18" t="n">
        <v>6.28768987</v>
      </c>
      <c r="R30" s="20" t="n">
        <v>1.42607655</v>
      </c>
    </row>
    <row r="31" spans="1:18">
      <c r="A31" s="15" t="s">
        <v>455</v>
      </c>
      <c r="B31" s="17" t="n">
        <v>2750</v>
      </c>
      <c r="C31" s="18">
        <f>(2391.0/B31*100)</f>
        <v/>
      </c>
      <c r="D31" s="19" t="n">
        <v>359</v>
      </c>
      <c r="E31" s="18" t="n">
        <v>18.16903802</v>
      </c>
      <c r="F31" s="20" t="n">
        <v>2.19798109</v>
      </c>
      <c r="G31" s="18" t="n">
        <v>75.51358705</v>
      </c>
      <c r="H31" s="20" t="n">
        <v>2.42618828</v>
      </c>
      <c r="I31" s="18" t="s">
        <v>431</v>
      </c>
      <c r="J31" s="20" t="s">
        <v>431</v>
      </c>
      <c r="K31" s="18" t="n">
        <v>0.26210236</v>
      </c>
      <c r="L31" s="20" t="n">
        <v>0.25266287</v>
      </c>
      <c r="M31" s="18" t="n">
        <v>0</v>
      </c>
      <c r="N31" s="20" t="n">
        <v>0</v>
      </c>
      <c r="O31" s="18" t="n">
        <v>0</v>
      </c>
      <c r="P31" s="20" t="n">
        <v>0</v>
      </c>
      <c r="Q31" s="18" t="n">
        <v>6.05527257</v>
      </c>
      <c r="R31" s="20" t="n">
        <v>1.4175445</v>
      </c>
    </row>
    <row r="32" spans="1:18">
      <c r="A32" s="15" t="s">
        <v>456</v>
      </c>
      <c r="B32" s="17" t="n">
        <v>2269</v>
      </c>
      <c r="C32" s="18">
        <f>(1890.0/B32*100)</f>
        <v/>
      </c>
      <c r="D32" s="19" t="n">
        <v>379</v>
      </c>
      <c r="E32" s="18" t="n">
        <v>16.08251094</v>
      </c>
      <c r="F32" s="20" t="n">
        <v>1.92938265</v>
      </c>
      <c r="G32" s="18" t="n">
        <v>75.88009842</v>
      </c>
      <c r="H32" s="20" t="n">
        <v>2.26547207</v>
      </c>
      <c r="I32" s="18" t="s">
        <v>431</v>
      </c>
      <c r="J32" s="20" t="s">
        <v>431</v>
      </c>
      <c r="K32" s="18" t="n">
        <v>0.234923</v>
      </c>
      <c r="L32" s="20" t="n">
        <v>0.23518161</v>
      </c>
      <c r="M32" s="18" t="n">
        <v>0</v>
      </c>
      <c r="N32" s="20" t="n">
        <v>0</v>
      </c>
      <c r="O32" s="18" t="n">
        <v>0</v>
      </c>
      <c r="P32" s="20" t="n">
        <v>0</v>
      </c>
      <c r="Q32" s="18" t="n">
        <v>7.80246763</v>
      </c>
      <c r="R32" s="20" t="n">
        <v>1.22153846</v>
      </c>
    </row>
    <row r="33" spans="1:18">
      <c r="A33" s="15" t="s">
        <v>457</v>
      </c>
      <c r="B33" s="17" t="n">
        <v>3674</v>
      </c>
      <c r="C33" s="18">
        <f>(3208.0/B33*100)</f>
        <v/>
      </c>
      <c r="D33" s="19" t="n">
        <v>466</v>
      </c>
      <c r="E33" s="18" t="n">
        <v>24.96564974</v>
      </c>
      <c r="F33" s="20" t="n">
        <v>2.22498169</v>
      </c>
      <c r="G33" s="18" t="n">
        <v>60.6831337</v>
      </c>
      <c r="H33" s="20" t="n">
        <v>2.45124035</v>
      </c>
      <c r="I33" s="18" t="s">
        <v>431</v>
      </c>
      <c r="J33" s="20" t="s">
        <v>431</v>
      </c>
      <c r="K33" s="18" t="n">
        <v>0.64595733</v>
      </c>
      <c r="L33" s="20" t="n">
        <v>0.52212518</v>
      </c>
      <c r="M33" s="18" t="n">
        <v>0</v>
      </c>
      <c r="N33" s="20" t="n">
        <v>0</v>
      </c>
      <c r="O33" s="18" t="n">
        <v>0</v>
      </c>
      <c r="P33" s="20" t="n">
        <v>0</v>
      </c>
      <c r="Q33" s="18" t="n">
        <v>13.70525923</v>
      </c>
      <c r="R33" s="20" t="n">
        <v>1.78342412</v>
      </c>
    </row>
    <row r="34" spans="1:18">
      <c r="A34" s="15" t="s">
        <v>458</v>
      </c>
      <c r="B34" s="17" t="n">
        <v>3315</v>
      </c>
      <c r="C34" s="18">
        <f>(2913.0/B34*100)</f>
        <v/>
      </c>
      <c r="D34" s="19" t="n">
        <v>402</v>
      </c>
      <c r="E34" s="18" t="n">
        <v>21.21317383</v>
      </c>
      <c r="F34" s="20" t="n">
        <v>2.27383406</v>
      </c>
      <c r="G34" s="18" t="n">
        <v>63.13454814</v>
      </c>
      <c r="H34" s="20" t="n">
        <v>2.39468337</v>
      </c>
      <c r="I34" s="18" t="s">
        <v>431</v>
      </c>
      <c r="J34" s="20" t="s">
        <v>431</v>
      </c>
      <c r="K34" s="18" t="n">
        <v>0</v>
      </c>
      <c r="L34" s="20" t="n">
        <v>0</v>
      </c>
      <c r="M34" s="18" t="n">
        <v>0</v>
      </c>
      <c r="N34" s="20" t="n">
        <v>0</v>
      </c>
      <c r="O34" s="18" t="n">
        <v>0</v>
      </c>
      <c r="P34" s="20" t="n">
        <v>0</v>
      </c>
      <c r="Q34" s="18" t="n">
        <v>15.65227803</v>
      </c>
      <c r="R34" s="20" t="n">
        <v>2.02319361</v>
      </c>
    </row>
    <row r="35" spans="1:18">
      <c r="A35" s="15" t="s">
        <v>459</v>
      </c>
      <c r="B35" s="17" t="n">
        <v>3505</v>
      </c>
      <c r="C35" s="18">
        <f>(3087.0/B35*100)</f>
        <v/>
      </c>
      <c r="D35" s="19" t="n">
        <v>418</v>
      </c>
      <c r="E35" s="18" t="n">
        <v>13.79903838</v>
      </c>
      <c r="F35" s="20" t="n">
        <v>1.7564953</v>
      </c>
      <c r="G35" s="18" t="n">
        <v>80.67421366000001</v>
      </c>
      <c r="H35" s="20" t="n">
        <v>2.38675884</v>
      </c>
      <c r="I35" s="18" t="s">
        <v>431</v>
      </c>
      <c r="J35" s="20" t="s">
        <v>431</v>
      </c>
      <c r="K35" s="18" t="n">
        <v>0</v>
      </c>
      <c r="L35" s="20" t="n">
        <v>0</v>
      </c>
      <c r="M35" s="18" t="n">
        <v>0</v>
      </c>
      <c r="N35" s="20" t="n">
        <v>0</v>
      </c>
      <c r="O35" s="18" t="n">
        <v>0</v>
      </c>
      <c r="P35" s="20" t="n">
        <v>0</v>
      </c>
      <c r="Q35" s="18" t="n">
        <v>5.52674796</v>
      </c>
      <c r="R35" s="20" t="n">
        <v>1.30224787</v>
      </c>
    </row>
    <row r="36" spans="1:18">
      <c r="A36" s="15" t="s">
        <v>460</v>
      </c>
      <c r="B36" s="17" t="n">
        <v>3332</v>
      </c>
      <c r="C36" s="18">
        <f>(2925.0/B36*100)</f>
        <v/>
      </c>
      <c r="D36" s="19" t="n">
        <v>407</v>
      </c>
      <c r="E36" s="18" t="n">
        <v>13.6350243</v>
      </c>
      <c r="F36" s="20" t="n">
        <v>1.57134799</v>
      </c>
      <c r="G36" s="18" t="n">
        <v>72.79460778000001</v>
      </c>
      <c r="H36" s="20" t="n">
        <v>2.11415782</v>
      </c>
      <c r="I36" s="18" t="s">
        <v>431</v>
      </c>
      <c r="J36" s="20" t="s">
        <v>431</v>
      </c>
      <c r="K36" s="18" t="n">
        <v>0</v>
      </c>
      <c r="L36" s="20" t="n">
        <v>0</v>
      </c>
      <c r="M36" s="18" t="n">
        <v>0</v>
      </c>
      <c r="N36" s="20" t="n">
        <v>0</v>
      </c>
      <c r="O36" s="18" t="n">
        <v>0</v>
      </c>
      <c r="P36" s="20" t="n">
        <v>0</v>
      </c>
      <c r="Q36" s="18" t="n">
        <v>13.57036792</v>
      </c>
      <c r="R36" s="20" t="n">
        <v>1.39082756</v>
      </c>
    </row>
    <row r="37" spans="1:18">
      <c r="A37" s="15" t="s">
        <v>461</v>
      </c>
      <c r="B37" s="17" t="n">
        <v>2727</v>
      </c>
      <c r="C37" s="18">
        <f>(2397.0/B37*100)</f>
        <v/>
      </c>
      <c r="D37" s="19" t="n">
        <v>330</v>
      </c>
      <c r="E37" s="18" t="n">
        <v>15.31595501</v>
      </c>
      <c r="F37" s="20" t="n">
        <v>2.04262044</v>
      </c>
      <c r="G37" s="18" t="n">
        <v>74.89452731</v>
      </c>
      <c r="H37" s="20" t="n">
        <v>2.29902801</v>
      </c>
      <c r="I37" s="18" t="s">
        <v>431</v>
      </c>
      <c r="J37" s="20" t="s">
        <v>431</v>
      </c>
      <c r="K37" s="18" t="n">
        <v>0.32509015</v>
      </c>
      <c r="L37" s="20" t="n">
        <v>0.32439499</v>
      </c>
      <c r="M37" s="18" t="n">
        <v>0</v>
      </c>
      <c r="N37" s="20" t="n">
        <v>0</v>
      </c>
      <c r="O37" s="18" t="n">
        <v>0</v>
      </c>
      <c r="P37" s="20" t="n">
        <v>0</v>
      </c>
      <c r="Q37" s="18" t="n">
        <v>9.46442753</v>
      </c>
      <c r="R37" s="20" t="n">
        <v>1.71964102</v>
      </c>
    </row>
    <row r="38" spans="1:18">
      <c r="A38" s="15" t="s">
        <v>462</v>
      </c>
      <c r="B38" s="17" t="n">
        <v>3053</v>
      </c>
      <c r="C38" s="18">
        <f>(2537.0/B38*100)</f>
        <v/>
      </c>
      <c r="D38" s="19" t="n">
        <v>516</v>
      </c>
      <c r="E38" s="18" t="n">
        <v>28.03294053</v>
      </c>
      <c r="F38" s="20" t="n">
        <v>2.43437846</v>
      </c>
      <c r="G38" s="18" t="n">
        <v>64.66419952</v>
      </c>
      <c r="H38" s="20" t="n">
        <v>2.76440631</v>
      </c>
      <c r="I38" s="18" t="s">
        <v>431</v>
      </c>
      <c r="J38" s="20" t="s">
        <v>431</v>
      </c>
      <c r="K38" s="18" t="n">
        <v>0.16964382</v>
      </c>
      <c r="L38" s="20" t="n">
        <v>0.14811119</v>
      </c>
      <c r="M38" s="18" t="n">
        <v>0</v>
      </c>
      <c r="N38" s="20" t="n">
        <v>0</v>
      </c>
      <c r="O38" s="18" t="n">
        <v>0</v>
      </c>
      <c r="P38" s="20" t="n">
        <v>0</v>
      </c>
      <c r="Q38" s="18" t="n">
        <v>7.13321613</v>
      </c>
      <c r="R38" s="20" t="n">
        <v>1.3979259</v>
      </c>
    </row>
    <row r="39" spans="1:18">
      <c r="A39" s="15" t="s">
        <v>463</v>
      </c>
      <c r="B39" s="17" t="n">
        <v>2957</v>
      </c>
      <c r="C39" s="18">
        <f>(2593.0/B39*100)</f>
        <v/>
      </c>
      <c r="D39" s="19" t="n">
        <v>364</v>
      </c>
      <c r="E39" s="18" t="n">
        <v>38.21037908</v>
      </c>
      <c r="F39" s="20" t="n">
        <v>3.49828337</v>
      </c>
      <c r="G39" s="18" t="n">
        <v>41.88752553</v>
      </c>
      <c r="H39" s="20" t="n">
        <v>3.13051436</v>
      </c>
      <c r="I39" s="18" t="s">
        <v>431</v>
      </c>
      <c r="J39" s="20" t="s">
        <v>431</v>
      </c>
      <c r="K39" s="18" t="n">
        <v>0</v>
      </c>
      <c r="L39" s="20" t="n">
        <v>0</v>
      </c>
      <c r="M39" s="18" t="n">
        <v>0</v>
      </c>
      <c r="N39" s="20" t="n">
        <v>0</v>
      </c>
      <c r="O39" s="18" t="n">
        <v>0</v>
      </c>
      <c r="P39" s="20" t="n">
        <v>0</v>
      </c>
      <c r="Q39" s="18" t="n">
        <v>19.9020954</v>
      </c>
      <c r="R39" s="20" t="n">
        <v>2.25720406</v>
      </c>
    </row>
    <row r="40" spans="1:18">
      <c r="A40" s="15" t="s">
        <v>464</v>
      </c>
      <c r="B40" s="17" t="n">
        <v>7235</v>
      </c>
      <c r="C40" s="18">
        <f>(6350.0/B40*100)</f>
        <v/>
      </c>
      <c r="D40" s="19" t="n">
        <v>885</v>
      </c>
      <c r="E40" s="18" t="n">
        <v>14.12502363</v>
      </c>
      <c r="F40" s="20" t="n">
        <v>1.96673679</v>
      </c>
      <c r="G40" s="18" t="n">
        <v>75.90319576</v>
      </c>
      <c r="H40" s="20" t="n">
        <v>2.60234304</v>
      </c>
      <c r="I40" s="18" t="s">
        <v>431</v>
      </c>
      <c r="J40" s="20" t="s">
        <v>431</v>
      </c>
      <c r="K40" s="18" t="n">
        <v>0.35536453</v>
      </c>
      <c r="L40" s="20" t="n">
        <v>0.24463451</v>
      </c>
      <c r="M40" s="18" t="n">
        <v>0</v>
      </c>
      <c r="N40" s="20" t="n">
        <v>0</v>
      </c>
      <c r="O40" s="18" t="n">
        <v>0</v>
      </c>
      <c r="P40" s="20" t="n">
        <v>0</v>
      </c>
      <c r="Q40" s="18" t="n">
        <v>9.61641607</v>
      </c>
      <c r="R40" s="20" t="n">
        <v>1.62766562</v>
      </c>
    </row>
    <row r="41" spans="1:18">
      <c r="A41" s="15" t="s">
        <v>465</v>
      </c>
      <c r="B41" s="17" t="n">
        <v>2858</v>
      </c>
      <c r="C41" s="18">
        <f>(2504.0/B41*100)</f>
        <v/>
      </c>
      <c r="D41" s="19" t="n">
        <v>354</v>
      </c>
      <c r="E41" s="18" t="n">
        <v>16.52163378</v>
      </c>
      <c r="F41" s="20" t="n">
        <v>2.23427466</v>
      </c>
      <c r="G41" s="18" t="n">
        <v>74.11836526</v>
      </c>
      <c r="H41" s="20" t="n">
        <v>2.67584357</v>
      </c>
      <c r="I41" s="18" t="s">
        <v>431</v>
      </c>
      <c r="J41" s="20" t="s">
        <v>431</v>
      </c>
      <c r="K41" s="18" t="n">
        <v>0</v>
      </c>
      <c r="L41" s="20" t="n">
        <v>0</v>
      </c>
      <c r="M41" s="18" t="n">
        <v>0</v>
      </c>
      <c r="N41" s="20" t="n">
        <v>0</v>
      </c>
      <c r="O41" s="18" t="n">
        <v>0</v>
      </c>
      <c r="P41" s="20" t="n">
        <v>0</v>
      </c>
      <c r="Q41" s="18" t="n">
        <v>9.360000960000001</v>
      </c>
      <c r="R41" s="20" t="n">
        <v>1.51053141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(9780.0/B46*100)</f>
        <v/>
      </c>
      <c r="D46" s="19" t="n">
        <v>1288</v>
      </c>
      <c r="E46" s="18" t="n">
        <v>36.35157948</v>
      </c>
      <c r="F46" s="20" t="n">
        <v>1.66881142</v>
      </c>
      <c r="G46" s="18" t="n">
        <v>24.84505355</v>
      </c>
      <c r="H46" s="20" t="n">
        <v>1.80622898</v>
      </c>
      <c r="I46" s="18" t="s">
        <v>431</v>
      </c>
      <c r="J46" s="20" t="s">
        <v>431</v>
      </c>
      <c r="K46" s="18" t="n">
        <v>0.20358147</v>
      </c>
      <c r="L46" s="20" t="n">
        <v>0.10086404</v>
      </c>
      <c r="M46" s="18" t="n">
        <v>0</v>
      </c>
      <c r="N46" s="20" t="n">
        <v>0</v>
      </c>
      <c r="O46" s="18" t="n">
        <v>0</v>
      </c>
      <c r="P46" s="20" t="n">
        <v>0</v>
      </c>
      <c r="Q46" s="18" t="n">
        <v>38.5997855</v>
      </c>
      <c r="R46" s="20" t="n">
        <v>2.13250966</v>
      </c>
    </row>
    <row r="47" spans="1:18">
      <c r="A47" s="15" t="s">
        <v>471</v>
      </c>
      <c r="B47" s="17" t="n">
        <v>3105</v>
      </c>
      <c r="C47" s="18">
        <f>(2725.0/B47*100)</f>
        <v/>
      </c>
      <c r="D47" s="19" t="n">
        <v>380</v>
      </c>
      <c r="E47" s="18" t="n">
        <v>31.30395485</v>
      </c>
      <c r="F47" s="20" t="n">
        <v>2.57148286</v>
      </c>
      <c r="G47" s="18" t="n">
        <v>52.15313597</v>
      </c>
      <c r="H47" s="20" t="n">
        <v>2.97206387</v>
      </c>
      <c r="I47" s="18" t="s">
        <v>431</v>
      </c>
      <c r="J47" s="20" t="s">
        <v>431</v>
      </c>
      <c r="K47" s="18" t="n">
        <v>0.24288326</v>
      </c>
      <c r="L47" s="20" t="n">
        <v>0.24915318</v>
      </c>
      <c r="M47" s="18" t="n">
        <v>0</v>
      </c>
      <c r="N47" s="20" t="n">
        <v>0</v>
      </c>
      <c r="O47" s="18" t="n">
        <v>0</v>
      </c>
      <c r="P47" s="20" t="n">
        <v>0</v>
      </c>
      <c r="Q47" s="18" t="n">
        <v>16.30002592</v>
      </c>
      <c r="R47" s="20" t="n">
        <v>2.28416501</v>
      </c>
    </row>
    <row r="48" spans="1:18">
      <c r="A48" s="15" t="s">
        <v>472</v>
      </c>
      <c r="B48" s="17" t="n">
        <v>5159</v>
      </c>
      <c r="C48" s="18">
        <f>(4501.0/B48*100)</f>
        <v/>
      </c>
      <c r="D48" s="19" t="n">
        <v>658</v>
      </c>
      <c r="E48" s="18" t="n">
        <v>18.59267657</v>
      </c>
      <c r="F48" s="20" t="n">
        <v>2.31438822</v>
      </c>
      <c r="G48" s="18" t="n">
        <v>65.58718957000001</v>
      </c>
      <c r="H48" s="20" t="n">
        <v>2.73158572</v>
      </c>
      <c r="I48" s="18" t="s">
        <v>431</v>
      </c>
      <c r="J48" s="20" t="s">
        <v>431</v>
      </c>
      <c r="K48" s="18" t="n">
        <v>0.20238115</v>
      </c>
      <c r="L48" s="20" t="n">
        <v>0.20216657</v>
      </c>
      <c r="M48" s="18" t="n">
        <v>0</v>
      </c>
      <c r="N48" s="20" t="n">
        <v>0</v>
      </c>
      <c r="O48" s="18" t="n">
        <v>0</v>
      </c>
      <c r="P48" s="20" t="n">
        <v>0</v>
      </c>
      <c r="Q48" s="18" t="n">
        <v>15.61775271</v>
      </c>
      <c r="R48" s="20" t="n">
        <v>2.04898699</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(4975.0/B50*100)</f>
        <v/>
      </c>
      <c r="D50" s="19" t="n">
        <v>662</v>
      </c>
      <c r="E50" s="18" t="n">
        <v>42.75417031</v>
      </c>
      <c r="F50" s="20" t="n">
        <v>2.56860559</v>
      </c>
      <c r="G50" s="18" t="n">
        <v>39.91690881</v>
      </c>
      <c r="H50" s="20" t="n">
        <v>2.77848471</v>
      </c>
      <c r="I50" s="18" t="s">
        <v>431</v>
      </c>
      <c r="J50" s="20" t="s">
        <v>431</v>
      </c>
      <c r="K50" s="18" t="n">
        <v>0.90327035</v>
      </c>
      <c r="L50" s="20" t="n">
        <v>0.51953603</v>
      </c>
      <c r="M50" s="18" t="n">
        <v>0</v>
      </c>
      <c r="N50" s="20" t="n">
        <v>0</v>
      </c>
      <c r="O50" s="18" t="n">
        <v>0</v>
      </c>
      <c r="P50" s="20" t="n">
        <v>0</v>
      </c>
      <c r="Q50" s="18" t="n">
        <v>16.42565053</v>
      </c>
      <c r="R50" s="20" t="n">
        <v>2.2736283</v>
      </c>
    </row>
    <row r="51" spans="1:18">
      <c r="A51" s="15" t="s">
        <v>475</v>
      </c>
      <c r="B51" s="17" t="n">
        <v>3372</v>
      </c>
      <c r="C51" s="18">
        <f>(3038.0/B51*100)</f>
        <v/>
      </c>
      <c r="D51" s="19" t="n">
        <v>334</v>
      </c>
      <c r="E51" s="18" t="n">
        <v>35.21205279</v>
      </c>
      <c r="F51" s="20" t="n">
        <v>2.68990985</v>
      </c>
      <c r="G51" s="18" t="n">
        <v>43.12693221</v>
      </c>
      <c r="H51" s="20" t="n">
        <v>3.30221992</v>
      </c>
      <c r="I51" s="18" t="s">
        <v>431</v>
      </c>
      <c r="J51" s="20" t="s">
        <v>431</v>
      </c>
      <c r="K51" s="18" t="n">
        <v>0.44033583</v>
      </c>
      <c r="L51" s="20" t="n">
        <v>0.39426064</v>
      </c>
      <c r="M51" s="18" t="n">
        <v>0</v>
      </c>
      <c r="N51" s="20" t="n">
        <v>0</v>
      </c>
      <c r="O51" s="18" t="n">
        <v>0</v>
      </c>
      <c r="P51" s="20" t="n">
        <v>0</v>
      </c>
      <c r="Q51" s="18" t="n">
        <v>21.22067917</v>
      </c>
      <c r="R51" s="20" t="n">
        <v>2.6897437</v>
      </c>
    </row>
    <row r="52" spans="1:18">
      <c r="A52" s="15" t="s">
        <v>476</v>
      </c>
      <c r="B52" s="17" t="n">
        <v>2796</v>
      </c>
      <c r="C52" s="18">
        <f>(2447.0/B52*100)</f>
        <v/>
      </c>
      <c r="D52" s="19" t="n">
        <v>349</v>
      </c>
      <c r="E52" s="18" t="n">
        <v>24.72360432</v>
      </c>
      <c r="F52" s="20" t="n">
        <v>2.37117433</v>
      </c>
      <c r="G52" s="18" t="n">
        <v>59.54672802</v>
      </c>
      <c r="H52" s="20" t="n">
        <v>2.77719863</v>
      </c>
      <c r="I52" s="18" t="s">
        <v>431</v>
      </c>
      <c r="J52" s="20" t="s">
        <v>431</v>
      </c>
      <c r="K52" s="18" t="n">
        <v>0</v>
      </c>
      <c r="L52" s="20" t="n">
        <v>0</v>
      </c>
      <c r="M52" s="18" t="n">
        <v>0</v>
      </c>
      <c r="N52" s="20" t="n">
        <v>0</v>
      </c>
      <c r="O52" s="18" t="n">
        <v>0</v>
      </c>
      <c r="P52" s="20" t="n">
        <v>0</v>
      </c>
      <c r="Q52" s="18" t="n">
        <v>15.72966766</v>
      </c>
      <c r="R52" s="20" t="n">
        <v>2.31910627</v>
      </c>
    </row>
    <row r="53" spans="1:18">
      <c r="A53" s="15" t="s">
        <v>477</v>
      </c>
      <c r="B53" s="17" t="n">
        <v>2811</v>
      </c>
      <c r="C53" s="18">
        <f>(2460.0/B53*100)</f>
        <v/>
      </c>
      <c r="D53" s="19" t="n">
        <v>351</v>
      </c>
      <c r="E53" s="18" t="n">
        <v>27.52426225</v>
      </c>
      <c r="F53" s="20" t="n">
        <v>2.63828494</v>
      </c>
      <c r="G53" s="18" t="n">
        <v>54.84596481</v>
      </c>
      <c r="H53" s="20" t="n">
        <v>2.80663266</v>
      </c>
      <c r="I53" s="18" t="s">
        <v>431</v>
      </c>
      <c r="J53" s="20" t="s">
        <v>431</v>
      </c>
      <c r="K53" s="18" t="n">
        <v>0</v>
      </c>
      <c r="L53" s="20" t="n">
        <v>0</v>
      </c>
      <c r="M53" s="18" t="n">
        <v>0</v>
      </c>
      <c r="N53" s="20" t="n">
        <v>0</v>
      </c>
      <c r="O53" s="18" t="n">
        <v>0</v>
      </c>
      <c r="P53" s="20" t="n">
        <v>0</v>
      </c>
      <c r="Q53" s="18" t="n">
        <v>17.62977294</v>
      </c>
      <c r="R53" s="20" t="n">
        <v>2.10570387</v>
      </c>
    </row>
    <row r="54" spans="1:18">
      <c r="A54" s="15" t="s">
        <v>478</v>
      </c>
      <c r="B54" s="17" t="n">
        <v>2266</v>
      </c>
      <c r="C54" s="18">
        <f>(1858.0/B54*100)</f>
        <v/>
      </c>
      <c r="D54" s="19" t="n">
        <v>408</v>
      </c>
      <c r="E54" s="18" t="n">
        <v>48.62634483</v>
      </c>
      <c r="F54" s="20" t="n">
        <v>2.54421679</v>
      </c>
      <c r="G54" s="18" t="n">
        <v>14.85444112</v>
      </c>
      <c r="H54" s="20" t="n">
        <v>1.92027209</v>
      </c>
      <c r="I54" s="18" t="s">
        <v>431</v>
      </c>
      <c r="J54" s="20" t="s">
        <v>431</v>
      </c>
      <c r="K54" s="18" t="n">
        <v>5.7174708</v>
      </c>
      <c r="L54" s="20" t="n">
        <v>1.15822437</v>
      </c>
      <c r="M54" s="18" t="n">
        <v>0</v>
      </c>
      <c r="N54" s="20" t="n">
        <v>0</v>
      </c>
      <c r="O54" s="18" t="n">
        <v>0</v>
      </c>
      <c r="P54" s="20" t="n">
        <v>0</v>
      </c>
      <c r="Q54" s="18" t="n">
        <v>30.80174325</v>
      </c>
      <c r="R54" s="20" t="n">
        <v>2.57015515</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(2351.0/B56*100)</f>
        <v/>
      </c>
      <c r="D56" s="19" t="n">
        <v>333</v>
      </c>
      <c r="E56" s="18" t="n">
        <v>13.45977923</v>
      </c>
      <c r="F56" s="20" t="n">
        <v>1.925508</v>
      </c>
      <c r="G56" s="18" t="n">
        <v>74.66434273</v>
      </c>
      <c r="H56" s="20" t="n">
        <v>2.63828241</v>
      </c>
      <c r="I56" s="18" t="s">
        <v>431</v>
      </c>
      <c r="J56" s="20" t="s">
        <v>431</v>
      </c>
      <c r="K56" s="18" t="n">
        <v>0</v>
      </c>
      <c r="L56" s="20" t="n">
        <v>0</v>
      </c>
      <c r="M56" s="18" t="n">
        <v>0</v>
      </c>
      <c r="N56" s="20" t="n">
        <v>0</v>
      </c>
      <c r="O56" s="18" t="n">
        <v>0</v>
      </c>
      <c r="P56" s="20" t="n">
        <v>0</v>
      </c>
      <c r="Q56" s="18" t="n">
        <v>11.87587805</v>
      </c>
      <c r="R56" s="20" t="n">
        <v>1.99754394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(2918.0/B61*100)</f>
        <v/>
      </c>
      <c r="D61" s="19" t="n">
        <v>406</v>
      </c>
      <c r="E61" s="18" t="n">
        <v>21.0162346</v>
      </c>
      <c r="F61" s="20" t="n">
        <v>2.38017277</v>
      </c>
      <c r="G61" s="18" t="n">
        <v>67.42427956</v>
      </c>
      <c r="H61" s="20" t="n">
        <v>2.49710158</v>
      </c>
      <c r="I61" s="18" t="s">
        <v>431</v>
      </c>
      <c r="J61" s="20" t="s">
        <v>431</v>
      </c>
      <c r="K61" s="18" t="n">
        <v>0.25385066</v>
      </c>
      <c r="L61" s="20" t="n">
        <v>0.17698424</v>
      </c>
      <c r="M61" s="18" t="n">
        <v>0</v>
      </c>
      <c r="N61" s="20" t="n">
        <v>0</v>
      </c>
      <c r="O61" s="18" t="n">
        <v>0</v>
      </c>
      <c r="P61" s="20" t="n">
        <v>0</v>
      </c>
      <c r="Q61" s="18" t="n">
        <v>11.30563519</v>
      </c>
      <c r="R61" s="20" t="n">
        <v>1.6096545</v>
      </c>
    </row>
    <row r="62" spans="1:18">
      <c r="A62" s="15" t="s">
        <v>486</v>
      </c>
      <c r="B62" s="17" t="n">
        <v>2246</v>
      </c>
      <c r="C62" s="18">
        <f>(1979.0/B62*100)</f>
        <v/>
      </c>
      <c r="D62" s="19" t="n">
        <v>267</v>
      </c>
      <c r="E62" s="18" t="n">
        <v>11.95371999</v>
      </c>
      <c r="F62" s="20" t="n">
        <v>1.89168051</v>
      </c>
      <c r="G62" s="18" t="n">
        <v>80.14297999</v>
      </c>
      <c r="H62" s="20" t="n">
        <v>2.24910557</v>
      </c>
      <c r="I62" s="18" t="s">
        <v>431</v>
      </c>
      <c r="J62" s="20" t="s">
        <v>431</v>
      </c>
      <c r="K62" s="18" t="n">
        <v>0</v>
      </c>
      <c r="L62" s="20" t="n">
        <v>0</v>
      </c>
      <c r="M62" s="18" t="n">
        <v>0</v>
      </c>
      <c r="N62" s="20" t="n">
        <v>0</v>
      </c>
      <c r="O62" s="18" t="n">
        <v>0</v>
      </c>
      <c r="P62" s="20" t="n">
        <v>0</v>
      </c>
      <c r="Q62" s="18" t="n">
        <v>7.90330003</v>
      </c>
      <c r="R62" s="20" t="n">
        <v>1.79121402</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(2533.0/B66*100)</f>
        <v/>
      </c>
      <c r="D66" s="19" t="n">
        <v>361</v>
      </c>
      <c r="E66" s="18" t="n">
        <v>36.16831552</v>
      </c>
      <c r="F66" s="20" t="n">
        <v>2.3366934</v>
      </c>
      <c r="G66" s="18" t="n">
        <v>41.20447467</v>
      </c>
      <c r="H66" s="20" t="n">
        <v>2.39568136</v>
      </c>
      <c r="I66" s="18" t="s">
        <v>431</v>
      </c>
      <c r="J66" s="20" t="s">
        <v>431</v>
      </c>
      <c r="K66" s="18" t="n">
        <v>1.11248253</v>
      </c>
      <c r="L66" s="20" t="n">
        <v>0.55738465</v>
      </c>
      <c r="M66" s="18" t="n">
        <v>0</v>
      </c>
      <c r="N66" s="20" t="n">
        <v>0</v>
      </c>
      <c r="O66" s="18" t="n">
        <v>0</v>
      </c>
      <c r="P66" s="20" t="n">
        <v>0</v>
      </c>
      <c r="Q66" s="18" t="n">
        <v>21.51472728</v>
      </c>
      <c r="R66" s="20" t="n">
        <v>2.09097438</v>
      </c>
    </row>
    <row r="67" spans="1:18">
      <c r="A67" s="15" t="s">
        <v>491</v>
      </c>
      <c r="B67" s="17" t="n">
        <v>3511</v>
      </c>
      <c r="C67" s="18">
        <f>(3104.0/B67*100)</f>
        <v/>
      </c>
      <c r="D67" s="19" t="n">
        <v>407</v>
      </c>
      <c r="E67" s="18" t="n">
        <v>35.37801072</v>
      </c>
      <c r="F67" s="20" t="n">
        <v>2.59716946</v>
      </c>
      <c r="G67" s="18" t="n">
        <v>34.59169949</v>
      </c>
      <c r="H67" s="20" t="n">
        <v>2.66745573</v>
      </c>
      <c r="I67" s="18" t="s">
        <v>431</v>
      </c>
      <c r="J67" s="20" t="s">
        <v>431</v>
      </c>
      <c r="K67" s="18" t="n">
        <v>0</v>
      </c>
      <c r="L67" s="20" t="n">
        <v>0</v>
      </c>
      <c r="M67" s="18" t="n">
        <v>0</v>
      </c>
      <c r="N67" s="20" t="n">
        <v>0</v>
      </c>
      <c r="O67" s="18" t="n">
        <v>0</v>
      </c>
      <c r="P67" s="20" t="n">
        <v>0</v>
      </c>
      <c r="Q67" s="18" t="n">
        <v>30.03028979</v>
      </c>
      <c r="R67" s="20" t="n">
        <v>2.41754724</v>
      </c>
    </row>
    <row r="68" spans="1:18">
      <c r="A68" s="15" t="s">
        <v>492</v>
      </c>
      <c r="B68" s="17" t="n">
        <v>6049</v>
      </c>
      <c r="C68" s="18">
        <f>(5050.0/B68*100)</f>
        <v/>
      </c>
      <c r="D68" s="19" t="n">
        <v>999</v>
      </c>
      <c r="E68" s="18" t="n">
        <v>34.63533696</v>
      </c>
      <c r="F68" s="20" t="n">
        <v>1.59352065</v>
      </c>
      <c r="G68" s="18" t="n">
        <v>38.35335565</v>
      </c>
      <c r="H68" s="20" t="n">
        <v>1.51504608</v>
      </c>
      <c r="I68" s="18" t="s">
        <v>431</v>
      </c>
      <c r="J68" s="20" t="s">
        <v>431</v>
      </c>
      <c r="K68" s="18" t="n">
        <v>1.90259375</v>
      </c>
      <c r="L68" s="20" t="n">
        <v>0.4354578</v>
      </c>
      <c r="M68" s="18" t="n">
        <v>0</v>
      </c>
      <c r="N68" s="20" t="n">
        <v>0</v>
      </c>
      <c r="O68" s="18" t="n">
        <v>0</v>
      </c>
      <c r="P68" s="20" t="n">
        <v>0</v>
      </c>
      <c r="Q68" s="18" t="n">
        <v>25.10871363</v>
      </c>
      <c r="R68" s="20" t="n">
        <v>1.51436915</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(2573.0/B70*100)</f>
        <v/>
      </c>
      <c r="D70" s="19" t="n">
        <v>356</v>
      </c>
      <c r="E70" s="18" t="n">
        <v>39.05702285</v>
      </c>
      <c r="F70" s="20" t="n">
        <v>2.87826503</v>
      </c>
      <c r="G70" s="18" t="n">
        <v>49.66647633</v>
      </c>
      <c r="H70" s="20" t="n">
        <v>2.50848229</v>
      </c>
      <c r="I70" s="18" t="s">
        <v>431</v>
      </c>
      <c r="J70" s="20" t="s">
        <v>431</v>
      </c>
      <c r="K70" s="18" t="n">
        <v>0</v>
      </c>
      <c r="L70" s="20" t="n">
        <v>0</v>
      </c>
      <c r="M70" s="18" t="n">
        <v>0</v>
      </c>
      <c r="N70" s="20" t="n">
        <v>0</v>
      </c>
      <c r="O70" s="18" t="n">
        <v>0</v>
      </c>
      <c r="P70" s="20" t="n">
        <v>0</v>
      </c>
      <c r="Q70" s="18" t="n">
        <v>11.27650082</v>
      </c>
      <c r="R70" s="20" t="n">
        <v>2.11348242</v>
      </c>
    </row>
    <row r="71" spans="1:18">
      <c r="A71" s="15" t="s">
        <v>495</v>
      </c>
      <c r="B71" s="17" t="n">
        <v>3142</v>
      </c>
      <c r="C71" s="18">
        <f>(2757.0/B71*100)</f>
        <v/>
      </c>
      <c r="D71" s="19" t="n">
        <v>385</v>
      </c>
      <c r="E71" s="18" t="n">
        <v>14.1609207</v>
      </c>
      <c r="F71" s="20" t="n">
        <v>1.88754367</v>
      </c>
      <c r="G71" s="18" t="n">
        <v>79.79229144999999</v>
      </c>
      <c r="H71" s="20" t="n">
        <v>2.22618829</v>
      </c>
      <c r="I71" s="18" t="s">
        <v>431</v>
      </c>
      <c r="J71" s="20" t="s">
        <v>431</v>
      </c>
      <c r="K71" s="18" t="n">
        <v>0.2375326</v>
      </c>
      <c r="L71" s="20" t="n">
        <v>0.24008351</v>
      </c>
      <c r="M71" s="18" t="n">
        <v>0</v>
      </c>
      <c r="N71" s="20" t="n">
        <v>0</v>
      </c>
      <c r="O71" s="18" t="n">
        <v>0</v>
      </c>
      <c r="P71" s="20" t="n">
        <v>0</v>
      </c>
      <c r="Q71" s="18" t="n">
        <v>5.80925525</v>
      </c>
      <c r="R71" s="20" t="n">
        <v>1.16705491</v>
      </c>
    </row>
    <row r="72" spans="1:18">
      <c r="A72" s="15" t="s">
        <v>496</v>
      </c>
      <c r="B72" s="17" t="n">
        <v>3889</v>
      </c>
      <c r="C72" s="18">
        <f>(3423.0/B72*100)</f>
        <v/>
      </c>
      <c r="D72" s="19" t="n">
        <v>466</v>
      </c>
      <c r="E72" s="18" t="n">
        <v>26.08756085</v>
      </c>
      <c r="F72" s="20" t="n">
        <v>2.53299416</v>
      </c>
      <c r="G72" s="18" t="n">
        <v>60.29469963</v>
      </c>
      <c r="H72" s="20" t="n">
        <v>2.50854964</v>
      </c>
      <c r="I72" s="18" t="s">
        <v>431</v>
      </c>
      <c r="J72" s="20" t="s">
        <v>431</v>
      </c>
      <c r="K72" s="18" t="n">
        <v>0.17514504</v>
      </c>
      <c r="L72" s="20" t="n">
        <v>0.17571974</v>
      </c>
      <c r="M72" s="18" t="n">
        <v>0</v>
      </c>
      <c r="N72" s="20" t="n">
        <v>0</v>
      </c>
      <c r="O72" s="18" t="n">
        <v>0</v>
      </c>
      <c r="P72" s="20" t="n">
        <v>0</v>
      </c>
      <c r="Q72" s="18" t="n">
        <v>13.44259448</v>
      </c>
      <c r="R72" s="20" t="n">
        <v>1.62275119</v>
      </c>
    </row>
    <row r="73" spans="1:18">
      <c r="A73" s="15" t="s">
        <v>497</v>
      </c>
      <c r="B73" s="17" t="n">
        <v>3597</v>
      </c>
      <c r="C73" s="18">
        <f>(3154.0/B73*100)</f>
        <v/>
      </c>
      <c r="D73" s="19" t="n">
        <v>443</v>
      </c>
      <c r="E73" s="18" t="n">
        <v>44.27304433</v>
      </c>
      <c r="F73" s="20" t="n">
        <v>2.90130866</v>
      </c>
      <c r="G73" s="18" t="n">
        <v>37.5619388</v>
      </c>
      <c r="H73" s="20" t="n">
        <v>3.00120689</v>
      </c>
      <c r="I73" s="18" t="s">
        <v>431</v>
      </c>
      <c r="J73" s="20" t="s">
        <v>431</v>
      </c>
      <c r="K73" s="18" t="n">
        <v>0</v>
      </c>
      <c r="L73" s="20" t="n">
        <v>0</v>
      </c>
      <c r="M73" s="18" t="n">
        <v>0</v>
      </c>
      <c r="N73" s="20" t="n">
        <v>0</v>
      </c>
      <c r="O73" s="18" t="n">
        <v>0</v>
      </c>
      <c r="P73" s="20" t="n">
        <v>0</v>
      </c>
      <c r="Q73" s="18" t="n">
        <v>18.16501687</v>
      </c>
      <c r="R73" s="20" t="n">
        <v>2.2392829</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(2130.0/B75*100)</f>
        <v/>
      </c>
      <c r="D75" s="19" t="n">
        <v>276</v>
      </c>
      <c r="E75" s="18" t="n">
        <v>58.33596442</v>
      </c>
      <c r="F75" s="20" t="n">
        <v>3.03380103</v>
      </c>
      <c r="G75" s="18" t="n">
        <v>9.988692</v>
      </c>
      <c r="H75" s="20" t="n">
        <v>1.79548069</v>
      </c>
      <c r="I75" s="18" t="s">
        <v>431</v>
      </c>
      <c r="J75" s="20" t="s">
        <v>431</v>
      </c>
      <c r="K75" s="18" t="n">
        <v>1.28488142</v>
      </c>
      <c r="L75" s="20" t="n">
        <v>0.62439552</v>
      </c>
      <c r="M75" s="18" t="n">
        <v>0</v>
      </c>
      <c r="N75" s="20" t="n">
        <v>0</v>
      </c>
      <c r="O75" s="18" t="n">
        <v>0</v>
      </c>
      <c r="P75" s="20" t="n">
        <v>0</v>
      </c>
      <c r="Q75" s="18" t="n">
        <v>30.39046216</v>
      </c>
      <c r="R75" s="20" t="n">
        <v>2.84638868</v>
      </c>
    </row>
    <row r="76" spans="1:18">
      <c r="A76" s="15" t="s">
        <v>500</v>
      </c>
      <c r="B76" s="17" t="n">
        <v>7052</v>
      </c>
      <c r="C76" s="18">
        <f>(6210.0/B76*100)</f>
        <v/>
      </c>
      <c r="D76" s="19" t="n">
        <v>842</v>
      </c>
      <c r="E76" s="18" t="n">
        <v>35.3782612</v>
      </c>
      <c r="F76" s="20" t="n">
        <v>1.79942618</v>
      </c>
      <c r="G76" s="18" t="n">
        <v>47.02370256</v>
      </c>
      <c r="H76" s="20" t="n">
        <v>2.00470896</v>
      </c>
      <c r="I76" s="18" t="s">
        <v>431</v>
      </c>
      <c r="J76" s="20" t="s">
        <v>431</v>
      </c>
      <c r="K76" s="18" t="n">
        <v>0.70806543</v>
      </c>
      <c r="L76" s="20" t="n">
        <v>0.32006338</v>
      </c>
      <c r="M76" s="18" t="n">
        <v>0</v>
      </c>
      <c r="N76" s="20" t="n">
        <v>0</v>
      </c>
      <c r="O76" s="18" t="n">
        <v>0</v>
      </c>
      <c r="P76" s="20" t="n">
        <v>0</v>
      </c>
      <c r="Q76" s="18" t="n">
        <v>16.88997081</v>
      </c>
      <c r="R76" s="20" t="n">
        <v>1.64771731</v>
      </c>
    </row>
    <row r="77" spans="1:18">
      <c r="A77" s="15" t="s">
        <v>501</v>
      </c>
      <c r="B77" s="17" t="n">
        <v>2908</v>
      </c>
      <c r="C77" s="18">
        <f>(2575.0/B77*100)</f>
        <v/>
      </c>
      <c r="D77" s="19" t="n">
        <v>333</v>
      </c>
      <c r="E77" s="18" t="n">
        <v>34.3221173</v>
      </c>
      <c r="F77" s="20" t="n">
        <v>3.0708101</v>
      </c>
      <c r="G77" s="18" t="n">
        <v>46.75123034</v>
      </c>
      <c r="H77" s="20" t="n">
        <v>2.82971935</v>
      </c>
      <c r="I77" s="18" t="s">
        <v>431</v>
      </c>
      <c r="J77" s="20" t="s">
        <v>431</v>
      </c>
      <c r="K77" s="18" t="n">
        <v>0.87282812</v>
      </c>
      <c r="L77" s="20" t="n">
        <v>0.61085641</v>
      </c>
      <c r="M77" s="18" t="n">
        <v>0</v>
      </c>
      <c r="N77" s="20" t="n">
        <v>0</v>
      </c>
      <c r="O77" s="18" t="n">
        <v>0</v>
      </c>
      <c r="P77" s="20" t="n">
        <v>0</v>
      </c>
      <c r="Q77" s="18" t="n">
        <v>18.05382424</v>
      </c>
      <c r="R77" s="20" t="n">
        <v>2.56311193</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(3653.0/B81*100)</f>
        <v/>
      </c>
      <c r="D81" s="19" t="n">
        <v>510</v>
      </c>
      <c r="E81" s="18" t="n">
        <v>41.04027651</v>
      </c>
      <c r="F81" s="20" t="n">
        <v>2.82152579</v>
      </c>
      <c r="G81" s="18" t="n">
        <v>44.21483654</v>
      </c>
      <c r="H81" s="20" t="n">
        <v>3.02221218</v>
      </c>
      <c r="I81" s="18" t="s">
        <v>431</v>
      </c>
      <c r="J81" s="20" t="s">
        <v>431</v>
      </c>
      <c r="K81" s="18" t="n">
        <v>0.21457083</v>
      </c>
      <c r="L81" s="20" t="n">
        <v>0.15090195</v>
      </c>
      <c r="M81" s="18" t="n">
        <v>0</v>
      </c>
      <c r="N81" s="20" t="n">
        <v>0</v>
      </c>
      <c r="O81" s="18" t="n">
        <v>0</v>
      </c>
      <c r="P81" s="20" t="n">
        <v>0</v>
      </c>
      <c r="Q81" s="18" t="n">
        <v>14.53031613</v>
      </c>
      <c r="R81" s="20" t="n">
        <v>2.07539163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(6459.0/B7*100)</f>
        <v/>
      </c>
      <c r="D7" s="19" t="n">
        <v>908</v>
      </c>
      <c r="E7" s="18" t="n">
        <v>13.53511676</v>
      </c>
      <c r="F7" s="20" t="n">
        <v>1.23652719</v>
      </c>
      <c r="G7" s="18" t="n">
        <v>79.27577981</v>
      </c>
      <c r="H7" s="20" t="n">
        <v>1.49094481</v>
      </c>
      <c r="I7" s="18" t="s">
        <v>431</v>
      </c>
      <c r="J7" s="20" t="s">
        <v>431</v>
      </c>
      <c r="K7" s="18" t="n">
        <v>0.20437926</v>
      </c>
      <c r="L7" s="20" t="n">
        <v>0.20004793</v>
      </c>
      <c r="M7" s="18" t="n">
        <v>0.03019119</v>
      </c>
      <c r="N7" s="20" t="n">
        <v>0.02181139</v>
      </c>
      <c r="O7" s="18" t="n">
        <v>0</v>
      </c>
      <c r="P7" s="20" t="n">
        <v>0</v>
      </c>
      <c r="Q7" s="18" t="n">
        <v>6.95453298</v>
      </c>
      <c r="R7" s="20" t="n">
        <v>0.9850824</v>
      </c>
    </row>
    <row r="8" spans="1:18">
      <c r="A8" s="15" t="s">
        <v>432</v>
      </c>
      <c r="B8" s="17" t="n">
        <v>3564</v>
      </c>
      <c r="C8" s="18">
        <f>(3139.0/B8*100)</f>
        <v/>
      </c>
      <c r="D8" s="19" t="n">
        <v>425</v>
      </c>
      <c r="E8" s="18" t="n">
        <v>15.83568945</v>
      </c>
      <c r="F8" s="20" t="n">
        <v>1.91170824</v>
      </c>
      <c r="G8" s="18" t="n">
        <v>70.5276732</v>
      </c>
      <c r="H8" s="20" t="n">
        <v>2.53294714</v>
      </c>
      <c r="I8" s="18" t="s">
        <v>431</v>
      </c>
      <c r="J8" s="20" t="s">
        <v>431</v>
      </c>
      <c r="K8" s="18" t="n">
        <v>0</v>
      </c>
      <c r="L8" s="20" t="n">
        <v>0</v>
      </c>
      <c r="M8" s="18" t="n">
        <v>0</v>
      </c>
      <c r="N8" s="20" t="n">
        <v>0</v>
      </c>
      <c r="O8" s="18" t="n">
        <v>0</v>
      </c>
      <c r="P8" s="20" t="n">
        <v>0</v>
      </c>
      <c r="Q8" s="18" t="n">
        <v>13.63663736</v>
      </c>
      <c r="R8" s="20" t="n">
        <v>1.86716168</v>
      </c>
    </row>
    <row r="9" spans="1:18">
      <c r="A9" s="15" t="s">
        <v>433</v>
      </c>
      <c r="B9" s="17" t="n">
        <v>4899</v>
      </c>
      <c r="C9" s="18">
        <f>(4325.0/B9*100)</f>
        <v/>
      </c>
      <c r="D9" s="19" t="n">
        <v>574</v>
      </c>
      <c r="E9" s="18" t="n">
        <v>16.96520865</v>
      </c>
      <c r="F9" s="20" t="n">
        <v>1.60780385</v>
      </c>
      <c r="G9" s="18" t="n">
        <v>74.31153874</v>
      </c>
      <c r="H9" s="20" t="n">
        <v>1.76493614</v>
      </c>
      <c r="I9" s="18" t="s">
        <v>431</v>
      </c>
      <c r="J9" s="20" t="s">
        <v>431</v>
      </c>
      <c r="K9" s="18" t="n">
        <v>0.15513371</v>
      </c>
      <c r="L9" s="20" t="n">
        <v>0.15050806</v>
      </c>
      <c r="M9" s="18" t="n">
        <v>0.52783981</v>
      </c>
      <c r="N9" s="20" t="n">
        <v>0.26331434</v>
      </c>
      <c r="O9" s="18" t="n">
        <v>0</v>
      </c>
      <c r="P9" s="20" t="n">
        <v>0</v>
      </c>
      <c r="Q9" s="18" t="n">
        <v>8.04027909</v>
      </c>
      <c r="R9" s="20" t="n">
        <v>1.11084911</v>
      </c>
    </row>
    <row r="10" spans="1:18">
      <c r="A10" s="15" t="s">
        <v>434</v>
      </c>
      <c r="B10" s="17" t="n">
        <v>10036</v>
      </c>
      <c r="C10" s="18">
        <f>(8832.0/B10*100)</f>
        <v/>
      </c>
      <c r="D10" s="19" t="n">
        <v>1204</v>
      </c>
      <c r="E10" s="18" t="n">
        <v>11.39212277</v>
      </c>
      <c r="F10" s="20" t="n">
        <v>1.11159561</v>
      </c>
      <c r="G10" s="18" t="n">
        <v>84.19590144999999</v>
      </c>
      <c r="H10" s="20" t="n">
        <v>1.26437649</v>
      </c>
      <c r="I10" s="18" t="s">
        <v>431</v>
      </c>
      <c r="J10" s="20" t="s">
        <v>431</v>
      </c>
      <c r="K10" s="18" t="n">
        <v>0</v>
      </c>
      <c r="L10" s="20" t="n">
        <v>0</v>
      </c>
      <c r="M10" s="18" t="n">
        <v>0</v>
      </c>
      <c r="N10" s="20" t="n">
        <v>0</v>
      </c>
      <c r="O10" s="18" t="n">
        <v>0</v>
      </c>
      <c r="P10" s="20" t="n">
        <v>0</v>
      </c>
      <c r="Q10" s="18" t="n">
        <v>4.41197577</v>
      </c>
      <c r="R10" s="20" t="n">
        <v>0.87547566</v>
      </c>
    </row>
    <row r="11" spans="1:18">
      <c r="A11" s="15" t="s">
        <v>435</v>
      </c>
      <c r="B11" s="17" t="n">
        <v>3553</v>
      </c>
      <c r="C11" s="18">
        <f>(3120.0/B11*100)</f>
        <v/>
      </c>
      <c r="D11" s="19" t="n">
        <v>433</v>
      </c>
      <c r="E11" s="18" t="n">
        <v>16.16689344</v>
      </c>
      <c r="F11" s="20" t="n">
        <v>1.96643912</v>
      </c>
      <c r="G11" s="18" t="n">
        <v>66.82286155</v>
      </c>
      <c r="H11" s="20" t="n">
        <v>2.64317821</v>
      </c>
      <c r="I11" s="18" t="s">
        <v>431</v>
      </c>
      <c r="J11" s="20" t="s">
        <v>431</v>
      </c>
      <c r="K11" s="18" t="n">
        <v>0</v>
      </c>
      <c r="L11" s="20" t="n">
        <v>0</v>
      </c>
      <c r="M11" s="18" t="n">
        <v>0</v>
      </c>
      <c r="N11" s="20" t="n">
        <v>0</v>
      </c>
      <c r="O11" s="18" t="n">
        <v>0</v>
      </c>
      <c r="P11" s="20" t="n">
        <v>0</v>
      </c>
      <c r="Q11" s="18" t="n">
        <v>17.01024501</v>
      </c>
      <c r="R11" s="20" t="n">
        <v>2.32954836</v>
      </c>
    </row>
    <row r="12" spans="1:18">
      <c r="A12" s="15" t="s">
        <v>436</v>
      </c>
      <c r="B12" s="17" t="n">
        <v>3472</v>
      </c>
      <c r="C12" s="18">
        <f>(3049.0/B12*100)</f>
        <v/>
      </c>
      <c r="D12" s="19" t="n">
        <v>423</v>
      </c>
      <c r="E12" s="18" t="n">
        <v>16.76452752</v>
      </c>
      <c r="F12" s="20" t="n">
        <v>1.80239291</v>
      </c>
      <c r="G12" s="18" t="n">
        <v>70.69467761</v>
      </c>
      <c r="H12" s="20" t="n">
        <v>2.44101228</v>
      </c>
      <c r="I12" s="18" t="s">
        <v>431</v>
      </c>
      <c r="J12" s="20" t="s">
        <v>431</v>
      </c>
      <c r="K12" s="18" t="n">
        <v>0</v>
      </c>
      <c r="L12" s="20" t="n">
        <v>0</v>
      </c>
      <c r="M12" s="18" t="n">
        <v>0.13601632</v>
      </c>
      <c r="N12" s="20" t="n">
        <v>0.18193777</v>
      </c>
      <c r="O12" s="18" t="n">
        <v>0</v>
      </c>
      <c r="P12" s="20" t="n">
        <v>0</v>
      </c>
      <c r="Q12" s="18" t="n">
        <v>12.40477855</v>
      </c>
      <c r="R12" s="20" t="n">
        <v>1.83752632</v>
      </c>
    </row>
    <row r="13" spans="1:18">
      <c r="A13" s="15" t="s">
        <v>437</v>
      </c>
      <c r="B13" s="17" t="n">
        <v>3559</v>
      </c>
      <c r="C13" s="18">
        <f>(3155.0/B13*100)</f>
        <v/>
      </c>
      <c r="D13" s="19" t="n">
        <v>404</v>
      </c>
      <c r="E13" s="18" t="n">
        <v>8.24511519</v>
      </c>
      <c r="F13" s="20" t="n">
        <v>1.56984076</v>
      </c>
      <c r="G13" s="18" t="n">
        <v>86.93738229</v>
      </c>
      <c r="H13" s="20" t="n">
        <v>1.91168723</v>
      </c>
      <c r="I13" s="18" t="s">
        <v>431</v>
      </c>
      <c r="J13" s="20" t="s">
        <v>431</v>
      </c>
      <c r="K13" s="18" t="n">
        <v>0.47032531</v>
      </c>
      <c r="L13" s="20" t="n">
        <v>0.24358336</v>
      </c>
      <c r="M13" s="18" t="n">
        <v>0</v>
      </c>
      <c r="N13" s="20" t="n">
        <v>0</v>
      </c>
      <c r="O13" s="18" t="n">
        <v>0</v>
      </c>
      <c r="P13" s="20" t="n">
        <v>0</v>
      </c>
      <c r="Q13" s="18" t="n">
        <v>4.34717722</v>
      </c>
      <c r="R13" s="20" t="n">
        <v>1.03997214</v>
      </c>
    </row>
    <row r="14" spans="1:18">
      <c r="A14" s="15" t="s">
        <v>438</v>
      </c>
      <c r="B14" s="17" t="n">
        <v>2799</v>
      </c>
      <c r="C14" s="18">
        <f>(2448.0/B14*100)</f>
        <v/>
      </c>
      <c r="D14" s="19" t="n">
        <v>351</v>
      </c>
      <c r="E14" s="18" t="n">
        <v>12.18073532</v>
      </c>
      <c r="F14" s="20" t="n">
        <v>2.15471358</v>
      </c>
      <c r="G14" s="18" t="n">
        <v>82.61985396</v>
      </c>
      <c r="H14" s="20" t="n">
        <v>2.49385585</v>
      </c>
      <c r="I14" s="18" t="s">
        <v>431</v>
      </c>
      <c r="J14" s="20" t="s">
        <v>431</v>
      </c>
      <c r="K14" s="18" t="n">
        <v>0.20724784</v>
      </c>
      <c r="L14" s="20" t="n">
        <v>0.2069101</v>
      </c>
      <c r="M14" s="18" t="n">
        <v>0</v>
      </c>
      <c r="N14" s="20" t="n">
        <v>0</v>
      </c>
      <c r="O14" s="18" t="n">
        <v>0</v>
      </c>
      <c r="P14" s="20" t="n">
        <v>0</v>
      </c>
      <c r="Q14" s="18" t="n">
        <v>4.99216287</v>
      </c>
      <c r="R14" s="20" t="n">
        <v>1.31605429</v>
      </c>
    </row>
    <row r="15" spans="1:18">
      <c r="A15" s="15" t="s">
        <v>439</v>
      </c>
      <c r="B15" s="17" t="n">
        <v>3019</v>
      </c>
      <c r="C15" s="18">
        <f>(2669.0/B15*100)</f>
        <v/>
      </c>
      <c r="D15" s="19" t="n">
        <v>350</v>
      </c>
      <c r="E15" s="18" t="n">
        <v>18.77472801</v>
      </c>
      <c r="F15" s="20" t="n">
        <v>2.32368207</v>
      </c>
      <c r="G15" s="18" t="n">
        <v>72.79523263</v>
      </c>
      <c r="H15" s="20" t="n">
        <v>2.50765563</v>
      </c>
      <c r="I15" s="18" t="s">
        <v>431</v>
      </c>
      <c r="J15" s="20" t="s">
        <v>431</v>
      </c>
      <c r="K15" s="18" t="n">
        <v>0</v>
      </c>
      <c r="L15" s="20" t="n">
        <v>0</v>
      </c>
      <c r="M15" s="18" t="n">
        <v>0</v>
      </c>
      <c r="N15" s="20" t="n">
        <v>0</v>
      </c>
      <c r="O15" s="18" t="n">
        <v>0</v>
      </c>
      <c r="P15" s="20" t="n">
        <v>0</v>
      </c>
      <c r="Q15" s="18" t="n">
        <v>8.43003936</v>
      </c>
      <c r="R15" s="20" t="n">
        <v>1.32141564</v>
      </c>
    </row>
    <row r="16" spans="1:18">
      <c r="A16" s="15" t="s">
        <v>440</v>
      </c>
      <c r="B16" s="17" t="n">
        <v>2997</v>
      </c>
      <c r="C16" s="18">
        <f>(2620.0/B16*100)</f>
        <v/>
      </c>
      <c r="D16" s="19" t="n">
        <v>377</v>
      </c>
      <c r="E16" s="18" t="n">
        <v>13.10950191</v>
      </c>
      <c r="F16" s="20" t="n">
        <v>1.71725767</v>
      </c>
      <c r="G16" s="18" t="n">
        <v>74.30068774999999</v>
      </c>
      <c r="H16" s="20" t="n">
        <v>2.35100088</v>
      </c>
      <c r="I16" s="18" t="s">
        <v>431</v>
      </c>
      <c r="J16" s="20" t="s">
        <v>431</v>
      </c>
      <c r="K16" s="18" t="n">
        <v>0.65909844</v>
      </c>
      <c r="L16" s="20" t="n">
        <v>0.48815304</v>
      </c>
      <c r="M16" s="18" t="n">
        <v>0</v>
      </c>
      <c r="N16" s="20" t="n">
        <v>0</v>
      </c>
      <c r="O16" s="18" t="n">
        <v>0</v>
      </c>
      <c r="P16" s="20" t="n">
        <v>0</v>
      </c>
      <c r="Q16" s="18" t="n">
        <v>11.9307119</v>
      </c>
      <c r="R16" s="20" t="n">
        <v>1.83480395</v>
      </c>
    </row>
    <row r="17" spans="1:18">
      <c r="A17" s="15" t="s">
        <v>441</v>
      </c>
      <c r="B17" s="17" t="n">
        <v>3307</v>
      </c>
      <c r="C17" s="18">
        <f>(2907.0/B17*100)</f>
        <v/>
      </c>
      <c r="D17" s="19" t="n">
        <v>400</v>
      </c>
      <c r="E17" s="18" t="n">
        <v>15.09002231</v>
      </c>
      <c r="F17" s="20" t="n">
        <v>1.79045204</v>
      </c>
      <c r="G17" s="18" t="n">
        <v>70.53979689000001</v>
      </c>
      <c r="H17" s="20" t="n">
        <v>2.44917269</v>
      </c>
      <c r="I17" s="18" t="s">
        <v>431</v>
      </c>
      <c r="J17" s="20" t="s">
        <v>431</v>
      </c>
      <c r="K17" s="18" t="n">
        <v>0.58985602</v>
      </c>
      <c r="L17" s="20" t="n">
        <v>0.39159447</v>
      </c>
      <c r="M17" s="18" t="n">
        <v>0</v>
      </c>
      <c r="N17" s="20" t="n">
        <v>0</v>
      </c>
      <c r="O17" s="18" t="n">
        <v>0</v>
      </c>
      <c r="P17" s="20" t="n">
        <v>0</v>
      </c>
      <c r="Q17" s="18" t="n">
        <v>13.78032478</v>
      </c>
      <c r="R17" s="20" t="n">
        <v>2.02876652</v>
      </c>
    </row>
    <row r="18" spans="1:18">
      <c r="A18" s="15" t="s">
        <v>442</v>
      </c>
      <c r="B18" s="17" t="n">
        <v>2826</v>
      </c>
      <c r="C18" s="18">
        <f>(2464.0/B18*100)</f>
        <v/>
      </c>
      <c r="D18" s="19" t="n">
        <v>362</v>
      </c>
      <c r="E18" s="18" t="n">
        <v>21.68702296</v>
      </c>
      <c r="F18" s="20" t="n">
        <v>2.23839016</v>
      </c>
      <c r="G18" s="18" t="n">
        <v>65.40861635</v>
      </c>
      <c r="H18" s="20" t="n">
        <v>2.76093897</v>
      </c>
      <c r="I18" s="18" t="s">
        <v>431</v>
      </c>
      <c r="J18" s="20" t="s">
        <v>431</v>
      </c>
      <c r="K18" s="18" t="n">
        <v>0.33155666</v>
      </c>
      <c r="L18" s="20" t="n">
        <v>0.40844446</v>
      </c>
      <c r="M18" s="18" t="n">
        <v>0</v>
      </c>
      <c r="N18" s="20" t="n">
        <v>0</v>
      </c>
      <c r="O18" s="18" t="n">
        <v>0</v>
      </c>
      <c r="P18" s="20" t="n">
        <v>0</v>
      </c>
      <c r="Q18" s="18" t="n">
        <v>12.57280403</v>
      </c>
      <c r="R18" s="20" t="n">
        <v>2.02787767</v>
      </c>
    </row>
    <row r="19" spans="1:18">
      <c r="A19" s="15" t="s">
        <v>443</v>
      </c>
      <c r="B19" s="17" t="n">
        <v>2808</v>
      </c>
      <c r="C19" s="18">
        <f>(2460.0/B19*100)</f>
        <v/>
      </c>
      <c r="D19" s="19" t="n">
        <v>348</v>
      </c>
      <c r="E19" s="18" t="n">
        <v>23.99262737</v>
      </c>
      <c r="F19" s="20" t="n">
        <v>2.51160617</v>
      </c>
      <c r="G19" s="18" t="n">
        <v>60.43302369</v>
      </c>
      <c r="H19" s="20" t="n">
        <v>2.79743049</v>
      </c>
      <c r="I19" s="18" t="s">
        <v>431</v>
      </c>
      <c r="J19" s="20" t="s">
        <v>431</v>
      </c>
      <c r="K19" s="18" t="n">
        <v>0</v>
      </c>
      <c r="L19" s="20" t="n">
        <v>0</v>
      </c>
      <c r="M19" s="18" t="n">
        <v>0</v>
      </c>
      <c r="N19" s="20" t="n">
        <v>0</v>
      </c>
      <c r="O19" s="18" t="n">
        <v>0</v>
      </c>
      <c r="P19" s="20" t="n">
        <v>0</v>
      </c>
      <c r="Q19" s="18" t="n">
        <v>15.57434895</v>
      </c>
      <c r="R19" s="20" t="n">
        <v>2.34906606</v>
      </c>
    </row>
    <row r="20" spans="1:18">
      <c r="A20" s="15" t="s">
        <v>444</v>
      </c>
      <c r="B20" s="17" t="n">
        <v>1630</v>
      </c>
      <c r="C20" s="18">
        <f>(1424.0/B20*100)</f>
        <v/>
      </c>
      <c r="D20" s="19" t="n">
        <v>206</v>
      </c>
      <c r="E20" s="18" t="n">
        <v>28.35154111</v>
      </c>
      <c r="F20" s="20" t="n">
        <v>3.01702096</v>
      </c>
      <c r="G20" s="18" t="n">
        <v>63.57622768</v>
      </c>
      <c r="H20" s="20" t="n">
        <v>3.27327563</v>
      </c>
      <c r="I20" s="18" t="s">
        <v>431</v>
      </c>
      <c r="J20" s="20" t="s">
        <v>431</v>
      </c>
      <c r="K20" s="18" t="n">
        <v>0</v>
      </c>
      <c r="L20" s="20" t="n">
        <v>0</v>
      </c>
      <c r="M20" s="18" t="n">
        <v>0</v>
      </c>
      <c r="N20" s="20" t="n">
        <v>0</v>
      </c>
      <c r="O20" s="18" t="n">
        <v>0</v>
      </c>
      <c r="P20" s="20" t="n">
        <v>0</v>
      </c>
      <c r="Q20" s="18" t="n">
        <v>8.072231199999999</v>
      </c>
      <c r="R20" s="20" t="n">
        <v>1.60420522</v>
      </c>
    </row>
    <row r="21" spans="1:18">
      <c r="A21" s="15" t="s">
        <v>445</v>
      </c>
      <c r="B21" s="17" t="n">
        <v>2908</v>
      </c>
      <c r="C21" s="18">
        <f>(2442.0/B21*100)</f>
        <v/>
      </c>
      <c r="D21" s="19" t="n">
        <v>466</v>
      </c>
      <c r="E21" s="18" t="n">
        <v>8.53868353</v>
      </c>
      <c r="F21" s="20" t="n">
        <v>1.08378737</v>
      </c>
      <c r="G21" s="18" t="n">
        <v>84.93575465000001</v>
      </c>
      <c r="H21" s="20" t="n">
        <v>1.33584511</v>
      </c>
      <c r="I21" s="18" t="s">
        <v>431</v>
      </c>
      <c r="J21" s="20" t="s">
        <v>431</v>
      </c>
      <c r="K21" s="18" t="n">
        <v>0</v>
      </c>
      <c r="L21" s="20" t="n">
        <v>0</v>
      </c>
      <c r="M21" s="18" t="n">
        <v>0</v>
      </c>
      <c r="N21" s="20" t="n">
        <v>0</v>
      </c>
      <c r="O21" s="18" t="n">
        <v>0</v>
      </c>
      <c r="P21" s="20" t="n">
        <v>0</v>
      </c>
      <c r="Q21" s="18" t="n">
        <v>6.52556181</v>
      </c>
      <c r="R21" s="20" t="n">
        <v>1.1218345</v>
      </c>
    </row>
    <row r="22" spans="1:18">
      <c r="A22" s="15" t="s">
        <v>446</v>
      </c>
      <c r="B22" s="17" t="n">
        <v>2931</v>
      </c>
      <c r="C22" s="18">
        <f>(2570.0/B22*100)</f>
        <v/>
      </c>
      <c r="D22" s="19" t="n">
        <v>361</v>
      </c>
      <c r="E22" s="18" t="n">
        <v>20.48400476</v>
      </c>
      <c r="F22" s="20" t="n">
        <v>2.03891699</v>
      </c>
      <c r="G22" s="18" t="n">
        <v>65.37615714</v>
      </c>
      <c r="H22" s="20" t="n">
        <v>2.46930177</v>
      </c>
      <c r="I22" s="18" t="s">
        <v>431</v>
      </c>
      <c r="J22" s="20" t="s">
        <v>431</v>
      </c>
      <c r="K22" s="18" t="n">
        <v>0.20074652</v>
      </c>
      <c r="L22" s="20" t="n">
        <v>0.20105882</v>
      </c>
      <c r="M22" s="18" t="n">
        <v>0</v>
      </c>
      <c r="N22" s="20" t="n">
        <v>0</v>
      </c>
      <c r="O22" s="18" t="n">
        <v>0</v>
      </c>
      <c r="P22" s="20" t="n">
        <v>0</v>
      </c>
      <c r="Q22" s="18" t="n">
        <v>13.93909158</v>
      </c>
      <c r="R22" s="20" t="n">
        <v>2.00752624</v>
      </c>
    </row>
    <row r="23" spans="1:18">
      <c r="A23" s="15" t="s">
        <v>447</v>
      </c>
      <c r="B23" s="17" t="n">
        <v>5791</v>
      </c>
      <c r="C23" s="18">
        <f>(5100.0/B23*100)</f>
        <v/>
      </c>
      <c r="D23" s="19" t="n">
        <v>691</v>
      </c>
      <c r="E23" s="18" t="n">
        <v>19.80193233</v>
      </c>
      <c r="F23" s="20" t="n">
        <v>2.02524006</v>
      </c>
      <c r="G23" s="18" t="n">
        <v>67.23555576</v>
      </c>
      <c r="H23" s="20" t="n">
        <v>2.65651766</v>
      </c>
      <c r="I23" s="18" t="s">
        <v>431</v>
      </c>
      <c r="J23" s="20" t="s">
        <v>431</v>
      </c>
      <c r="K23" s="18" t="n">
        <v>0.45619364</v>
      </c>
      <c r="L23" s="20" t="n">
        <v>0.44517105</v>
      </c>
      <c r="M23" s="18" t="n">
        <v>0.30347186</v>
      </c>
      <c r="N23" s="20" t="n">
        <v>0.20635938</v>
      </c>
      <c r="O23" s="18" t="n">
        <v>0</v>
      </c>
      <c r="P23" s="20" t="n">
        <v>0</v>
      </c>
      <c r="Q23" s="18" t="n">
        <v>12.20284642</v>
      </c>
      <c r="R23" s="20" t="n">
        <v>1.7926062</v>
      </c>
    </row>
    <row r="24" spans="1:18">
      <c r="A24" s="15" t="s">
        <v>448</v>
      </c>
      <c r="B24" s="17" t="n">
        <v>3338</v>
      </c>
      <c r="C24" s="18">
        <f>(2931.0/B24*100)</f>
        <v/>
      </c>
      <c r="D24" s="19" t="n">
        <v>407</v>
      </c>
      <c r="E24" s="18" t="n">
        <v>13.25192756</v>
      </c>
      <c r="F24" s="20" t="n">
        <v>1.96598361</v>
      </c>
      <c r="G24" s="18" t="n">
        <v>74.23618236999999</v>
      </c>
      <c r="H24" s="20" t="n">
        <v>2.1021483</v>
      </c>
      <c r="I24" s="18" t="s">
        <v>431</v>
      </c>
      <c r="J24" s="20" t="s">
        <v>431</v>
      </c>
      <c r="K24" s="18" t="n">
        <v>0</v>
      </c>
      <c r="L24" s="20" t="n">
        <v>0</v>
      </c>
      <c r="M24" s="18" t="n">
        <v>0</v>
      </c>
      <c r="N24" s="20" t="n">
        <v>0</v>
      </c>
      <c r="O24" s="18" t="n">
        <v>0</v>
      </c>
      <c r="P24" s="20" t="n">
        <v>0</v>
      </c>
      <c r="Q24" s="18" t="n">
        <v>12.51189007</v>
      </c>
      <c r="R24" s="20" t="n">
        <v>1.37638964</v>
      </c>
    </row>
    <row r="25" spans="1:18">
      <c r="A25" s="15" t="s">
        <v>449</v>
      </c>
      <c r="B25" s="17" t="n">
        <v>2912</v>
      </c>
      <c r="C25" s="18">
        <f>(2539.0/B25*100)</f>
        <v/>
      </c>
      <c r="D25" s="19" t="n">
        <v>373</v>
      </c>
      <c r="E25" s="18" t="n">
        <v>10.93266362</v>
      </c>
      <c r="F25" s="20" t="n">
        <v>1.6762117</v>
      </c>
      <c r="G25" s="18" t="n">
        <v>75.93131273</v>
      </c>
      <c r="H25" s="20" t="n">
        <v>2.30051314</v>
      </c>
      <c r="I25" s="18" t="s">
        <v>431</v>
      </c>
      <c r="J25" s="20" t="s">
        <v>431</v>
      </c>
      <c r="K25" s="18" t="n">
        <v>0</v>
      </c>
      <c r="L25" s="20" t="n">
        <v>0</v>
      </c>
      <c r="M25" s="18" t="n">
        <v>0.27488635</v>
      </c>
      <c r="N25" s="20" t="n">
        <v>0.27434924</v>
      </c>
      <c r="O25" s="18" t="n">
        <v>0</v>
      </c>
      <c r="P25" s="20" t="n">
        <v>0</v>
      </c>
      <c r="Q25" s="18" t="n">
        <v>12.8611373</v>
      </c>
      <c r="R25" s="20" t="n">
        <v>1.79667723</v>
      </c>
    </row>
    <row r="26" spans="1:18">
      <c r="A26" s="15" t="s">
        <v>450</v>
      </c>
      <c r="B26" s="17" t="n">
        <v>2450</v>
      </c>
      <c r="C26" s="18">
        <f>(2160.0/B26*100)</f>
        <v/>
      </c>
      <c r="D26" s="19" t="n">
        <v>290</v>
      </c>
      <c r="E26" s="18" t="n">
        <v>20.22240683</v>
      </c>
      <c r="F26" s="20" t="n">
        <v>2.8884249</v>
      </c>
      <c r="G26" s="18" t="n">
        <v>74.30171204</v>
      </c>
      <c r="H26" s="20" t="n">
        <v>3.12368053</v>
      </c>
      <c r="I26" s="18" t="s">
        <v>431</v>
      </c>
      <c r="J26" s="20" t="s">
        <v>431</v>
      </c>
      <c r="K26" s="18" t="n">
        <v>0</v>
      </c>
      <c r="L26" s="20" t="n">
        <v>0</v>
      </c>
      <c r="M26" s="18" t="n">
        <v>0</v>
      </c>
      <c r="N26" s="20" t="n">
        <v>0</v>
      </c>
      <c r="O26" s="18" t="n">
        <v>0</v>
      </c>
      <c r="P26" s="20" t="n">
        <v>0</v>
      </c>
      <c r="Q26" s="18" t="n">
        <v>5.47588113</v>
      </c>
      <c r="R26" s="20" t="n">
        <v>1.32911519</v>
      </c>
    </row>
    <row r="27" spans="1:18">
      <c r="A27" s="15" t="s">
        <v>451</v>
      </c>
      <c r="B27" s="17" t="n">
        <v>2616</v>
      </c>
      <c r="C27" s="18">
        <f>(2281.0/B27*100)</f>
        <v/>
      </c>
      <c r="D27" s="19" t="n">
        <v>335</v>
      </c>
      <c r="E27" s="18" t="n">
        <v>16.67640144</v>
      </c>
      <c r="F27" s="20" t="n">
        <v>2.17794548</v>
      </c>
      <c r="G27" s="18" t="n">
        <v>67.59021678000001</v>
      </c>
      <c r="H27" s="20" t="n">
        <v>2.48643741</v>
      </c>
      <c r="I27" s="18" t="s">
        <v>431</v>
      </c>
      <c r="J27" s="20" t="s">
        <v>431</v>
      </c>
      <c r="K27" s="18" t="n">
        <v>0</v>
      </c>
      <c r="L27" s="20" t="n">
        <v>0</v>
      </c>
      <c r="M27" s="18" t="n">
        <v>0</v>
      </c>
      <c r="N27" s="20" t="n">
        <v>0</v>
      </c>
      <c r="O27" s="18" t="n">
        <v>0</v>
      </c>
      <c r="P27" s="20" t="n">
        <v>0</v>
      </c>
      <c r="Q27" s="18" t="n">
        <v>15.73338178</v>
      </c>
      <c r="R27" s="20" t="n">
        <v>2.14116643</v>
      </c>
    </row>
    <row r="28" spans="1:18">
      <c r="A28" s="15" t="s">
        <v>452</v>
      </c>
      <c r="B28" s="17" t="n">
        <v>3765</v>
      </c>
      <c r="C28" s="18">
        <f>(3340.0/B28*100)</f>
        <v/>
      </c>
      <c r="D28" s="19" t="n">
        <v>425</v>
      </c>
      <c r="E28" s="18" t="n">
        <v>36.04279702</v>
      </c>
      <c r="F28" s="20" t="n">
        <v>2.39193372</v>
      </c>
      <c r="G28" s="18" t="n">
        <v>56.75398501</v>
      </c>
      <c r="H28" s="20" t="n">
        <v>2.58573571</v>
      </c>
      <c r="I28" s="18" t="s">
        <v>431</v>
      </c>
      <c r="J28" s="20" t="s">
        <v>431</v>
      </c>
      <c r="K28" s="18" t="n">
        <v>0</v>
      </c>
      <c r="L28" s="20" t="n">
        <v>0</v>
      </c>
      <c r="M28" s="18" t="n">
        <v>0</v>
      </c>
      <c r="N28" s="20" t="n">
        <v>0</v>
      </c>
      <c r="O28" s="18" t="n">
        <v>0</v>
      </c>
      <c r="P28" s="20" t="n">
        <v>0</v>
      </c>
      <c r="Q28" s="18" t="n">
        <v>7.20321798</v>
      </c>
      <c r="R28" s="20" t="n">
        <v>1.36175369</v>
      </c>
    </row>
    <row r="29" spans="1:18">
      <c r="A29" s="15" t="s">
        <v>453</v>
      </c>
      <c r="B29" s="17" t="n">
        <v>2685</v>
      </c>
      <c r="C29" s="18">
        <f>(2368.0/B29*100)</f>
        <v/>
      </c>
      <c r="D29" s="19" t="n">
        <v>317</v>
      </c>
      <c r="E29" s="18" t="n">
        <v>8.479646170000001</v>
      </c>
      <c r="F29" s="20" t="n">
        <v>1.55754067</v>
      </c>
      <c r="G29" s="18" t="n">
        <v>89.18305854</v>
      </c>
      <c r="H29" s="20" t="n">
        <v>1.7998481</v>
      </c>
      <c r="I29" s="18" t="s">
        <v>431</v>
      </c>
      <c r="J29" s="20" t="s">
        <v>431</v>
      </c>
      <c r="K29" s="18" t="n">
        <v>0</v>
      </c>
      <c r="L29" s="20" t="n">
        <v>0</v>
      </c>
      <c r="M29" s="18" t="n">
        <v>0</v>
      </c>
      <c r="N29" s="20" t="n">
        <v>0</v>
      </c>
      <c r="O29" s="18" t="n">
        <v>0</v>
      </c>
      <c r="P29" s="20" t="n">
        <v>0</v>
      </c>
      <c r="Q29" s="18" t="n">
        <v>2.33729529</v>
      </c>
      <c r="R29" s="20" t="n">
        <v>0.93042867</v>
      </c>
    </row>
    <row r="30" spans="1:18">
      <c r="A30" s="15" t="s">
        <v>454</v>
      </c>
      <c r="B30" s="17" t="n">
        <v>2263</v>
      </c>
      <c r="C30" s="18">
        <f>(1989.0/B30*100)</f>
        <v/>
      </c>
      <c r="D30" s="19" t="n">
        <v>274</v>
      </c>
      <c r="E30" s="18" t="n">
        <v>8.7277314</v>
      </c>
      <c r="F30" s="20" t="n">
        <v>1.8406425</v>
      </c>
      <c r="G30" s="18" t="n">
        <v>84.56892413</v>
      </c>
      <c r="H30" s="20" t="n">
        <v>2.28634217</v>
      </c>
      <c r="I30" s="18" t="s">
        <v>431</v>
      </c>
      <c r="J30" s="20" t="s">
        <v>431</v>
      </c>
      <c r="K30" s="18" t="n">
        <v>0.30879133</v>
      </c>
      <c r="L30" s="20" t="n">
        <v>0.31241769</v>
      </c>
      <c r="M30" s="18" t="n">
        <v>0</v>
      </c>
      <c r="N30" s="20" t="n">
        <v>0</v>
      </c>
      <c r="O30" s="18" t="n">
        <v>0</v>
      </c>
      <c r="P30" s="20" t="n">
        <v>0</v>
      </c>
      <c r="Q30" s="18" t="n">
        <v>6.39455313</v>
      </c>
      <c r="R30" s="20" t="n">
        <v>1.34634866</v>
      </c>
    </row>
    <row r="31" spans="1:18">
      <c r="A31" s="15" t="s">
        <v>455</v>
      </c>
      <c r="B31" s="17" t="n">
        <v>2750</v>
      </c>
      <c r="C31" s="18">
        <f>(2391.0/B31*100)</f>
        <v/>
      </c>
      <c r="D31" s="19" t="n">
        <v>359</v>
      </c>
      <c r="E31" s="18" t="n">
        <v>16.02951789</v>
      </c>
      <c r="F31" s="20" t="n">
        <v>2.09615621</v>
      </c>
      <c r="G31" s="18" t="n">
        <v>77.02195564</v>
      </c>
      <c r="H31" s="20" t="n">
        <v>2.47722715</v>
      </c>
      <c r="I31" s="18" t="s">
        <v>431</v>
      </c>
      <c r="J31" s="20" t="s">
        <v>431</v>
      </c>
      <c r="K31" s="18" t="n">
        <v>0.26210236</v>
      </c>
      <c r="L31" s="20" t="n">
        <v>0.25266287</v>
      </c>
      <c r="M31" s="18" t="n">
        <v>0</v>
      </c>
      <c r="N31" s="20" t="n">
        <v>0</v>
      </c>
      <c r="O31" s="18" t="n">
        <v>0</v>
      </c>
      <c r="P31" s="20" t="n">
        <v>0</v>
      </c>
      <c r="Q31" s="18" t="n">
        <v>6.68642411</v>
      </c>
      <c r="R31" s="20" t="n">
        <v>1.40189143</v>
      </c>
    </row>
    <row r="32" spans="1:18">
      <c r="A32" s="15" t="s">
        <v>456</v>
      </c>
      <c r="B32" s="17" t="n">
        <v>2269</v>
      </c>
      <c r="C32" s="18">
        <f>(1890.0/B32*100)</f>
        <v/>
      </c>
      <c r="D32" s="19" t="n">
        <v>379</v>
      </c>
      <c r="E32" s="18" t="n">
        <v>21.27026598</v>
      </c>
      <c r="F32" s="20" t="n">
        <v>1.81628936</v>
      </c>
      <c r="G32" s="18" t="n">
        <v>67.07535656</v>
      </c>
      <c r="H32" s="20" t="n">
        <v>2.15176768</v>
      </c>
      <c r="I32" s="18" t="s">
        <v>431</v>
      </c>
      <c r="J32" s="20" t="s">
        <v>431</v>
      </c>
      <c r="K32" s="18" t="n">
        <v>0.234923</v>
      </c>
      <c r="L32" s="20" t="n">
        <v>0.23518161</v>
      </c>
      <c r="M32" s="18" t="n">
        <v>0</v>
      </c>
      <c r="N32" s="20" t="n">
        <v>0</v>
      </c>
      <c r="O32" s="18" t="n">
        <v>0</v>
      </c>
      <c r="P32" s="20" t="n">
        <v>0</v>
      </c>
      <c r="Q32" s="18" t="n">
        <v>11.41945446</v>
      </c>
      <c r="R32" s="20" t="n">
        <v>1.61946032</v>
      </c>
    </row>
    <row r="33" spans="1:18">
      <c r="A33" s="15" t="s">
        <v>457</v>
      </c>
      <c r="B33" s="17" t="n">
        <v>3674</v>
      </c>
      <c r="C33" s="18">
        <f>(3208.0/B33*100)</f>
        <v/>
      </c>
      <c r="D33" s="19" t="n">
        <v>466</v>
      </c>
      <c r="E33" s="18" t="n">
        <v>20.50348444</v>
      </c>
      <c r="F33" s="20" t="n">
        <v>2.65594093</v>
      </c>
      <c r="G33" s="18" t="n">
        <v>72.1777345</v>
      </c>
      <c r="H33" s="20" t="n">
        <v>2.9457127</v>
      </c>
      <c r="I33" s="18" t="s">
        <v>431</v>
      </c>
      <c r="J33" s="20" t="s">
        <v>431</v>
      </c>
      <c r="K33" s="18" t="n">
        <v>0.64595733</v>
      </c>
      <c r="L33" s="20" t="n">
        <v>0.52212518</v>
      </c>
      <c r="M33" s="18" t="n">
        <v>0</v>
      </c>
      <c r="N33" s="20" t="n">
        <v>0</v>
      </c>
      <c r="O33" s="18" t="n">
        <v>0</v>
      </c>
      <c r="P33" s="20" t="n">
        <v>0</v>
      </c>
      <c r="Q33" s="18" t="n">
        <v>6.67282373</v>
      </c>
      <c r="R33" s="20" t="n">
        <v>1.31019631</v>
      </c>
    </row>
    <row r="34" spans="1:18">
      <c r="A34" s="15" t="s">
        <v>458</v>
      </c>
      <c r="B34" s="17" t="n">
        <v>3315</v>
      </c>
      <c r="C34" s="18">
        <f>(2913.0/B34*100)</f>
        <v/>
      </c>
      <c r="D34" s="19" t="n">
        <v>402</v>
      </c>
      <c r="E34" s="18" t="n">
        <v>23.04260623</v>
      </c>
      <c r="F34" s="20" t="n">
        <v>2.3780543</v>
      </c>
      <c r="G34" s="18" t="n">
        <v>67.30863818</v>
      </c>
      <c r="H34" s="20" t="n">
        <v>2.22411863</v>
      </c>
      <c r="I34" s="18" t="s">
        <v>431</v>
      </c>
      <c r="J34" s="20" t="s">
        <v>431</v>
      </c>
      <c r="K34" s="18" t="n">
        <v>0</v>
      </c>
      <c r="L34" s="20" t="n">
        <v>0</v>
      </c>
      <c r="M34" s="18" t="n">
        <v>0</v>
      </c>
      <c r="N34" s="20" t="n">
        <v>0</v>
      </c>
      <c r="O34" s="18" t="n">
        <v>0</v>
      </c>
      <c r="P34" s="20" t="n">
        <v>0</v>
      </c>
      <c r="Q34" s="18" t="n">
        <v>9.64875559</v>
      </c>
      <c r="R34" s="20" t="n">
        <v>1.38723089</v>
      </c>
    </row>
    <row r="35" spans="1:18">
      <c r="A35" s="15" t="s">
        <v>459</v>
      </c>
      <c r="B35" s="17" t="n">
        <v>3505</v>
      </c>
      <c r="C35" s="18">
        <f>(3087.0/B35*100)</f>
        <v/>
      </c>
      <c r="D35" s="19" t="n">
        <v>418</v>
      </c>
      <c r="E35" s="18" t="n">
        <v>6.69174877</v>
      </c>
      <c r="F35" s="20" t="n">
        <v>1.31072679</v>
      </c>
      <c r="G35" s="18" t="n">
        <v>88.99974853000001</v>
      </c>
      <c r="H35" s="20" t="n">
        <v>1.68032643</v>
      </c>
      <c r="I35" s="18" t="s">
        <v>431</v>
      </c>
      <c r="J35" s="20" t="s">
        <v>431</v>
      </c>
      <c r="K35" s="18" t="n">
        <v>0</v>
      </c>
      <c r="L35" s="20" t="n">
        <v>0</v>
      </c>
      <c r="M35" s="18" t="n">
        <v>0</v>
      </c>
      <c r="N35" s="20" t="n">
        <v>0</v>
      </c>
      <c r="O35" s="18" t="n">
        <v>0</v>
      </c>
      <c r="P35" s="20" t="n">
        <v>0</v>
      </c>
      <c r="Q35" s="18" t="n">
        <v>4.3085027</v>
      </c>
      <c r="R35" s="20" t="n">
        <v>1.00811882</v>
      </c>
    </row>
    <row r="36" spans="1:18">
      <c r="A36" s="15" t="s">
        <v>460</v>
      </c>
      <c r="B36" s="17" t="n">
        <v>3332</v>
      </c>
      <c r="C36" s="18">
        <f>(2923.0/B36*100)</f>
        <v/>
      </c>
      <c r="D36" s="19" t="n">
        <v>409</v>
      </c>
      <c r="E36" s="18" t="n">
        <v>12.18443694</v>
      </c>
      <c r="F36" s="20" t="n">
        <v>1.65011194</v>
      </c>
      <c r="G36" s="18" t="n">
        <v>79.76706556000001</v>
      </c>
      <c r="H36" s="20" t="n">
        <v>1.95502111</v>
      </c>
      <c r="I36" s="18" t="s">
        <v>431</v>
      </c>
      <c r="J36" s="20" t="s">
        <v>431</v>
      </c>
      <c r="K36" s="18" t="n">
        <v>0.33023117</v>
      </c>
      <c r="L36" s="20" t="n">
        <v>0.22798566</v>
      </c>
      <c r="M36" s="18" t="n">
        <v>0.27598911</v>
      </c>
      <c r="N36" s="20" t="n">
        <v>0.28974356</v>
      </c>
      <c r="O36" s="18" t="n">
        <v>0</v>
      </c>
      <c r="P36" s="20" t="n">
        <v>0</v>
      </c>
      <c r="Q36" s="18" t="n">
        <v>7.44227723</v>
      </c>
      <c r="R36" s="20" t="n">
        <v>1.33462254</v>
      </c>
    </row>
    <row r="37" spans="1:18">
      <c r="A37" s="15" t="s">
        <v>461</v>
      </c>
      <c r="B37" s="17" t="n">
        <v>2727</v>
      </c>
      <c r="C37" s="18">
        <f>(2397.0/B37*100)</f>
        <v/>
      </c>
      <c r="D37" s="19" t="n">
        <v>330</v>
      </c>
      <c r="E37" s="18" t="n">
        <v>16.20810687</v>
      </c>
      <c r="F37" s="20" t="n">
        <v>2.24184179</v>
      </c>
      <c r="G37" s="18" t="n">
        <v>70.99600716</v>
      </c>
      <c r="H37" s="20" t="n">
        <v>2.76542734</v>
      </c>
      <c r="I37" s="18" t="s">
        <v>431</v>
      </c>
      <c r="J37" s="20" t="s">
        <v>431</v>
      </c>
      <c r="K37" s="18" t="n">
        <v>0.32509015</v>
      </c>
      <c r="L37" s="20" t="n">
        <v>0.32439499</v>
      </c>
      <c r="M37" s="18" t="n">
        <v>0</v>
      </c>
      <c r="N37" s="20" t="n">
        <v>0</v>
      </c>
      <c r="O37" s="18" t="n">
        <v>0</v>
      </c>
      <c r="P37" s="20" t="n">
        <v>0</v>
      </c>
      <c r="Q37" s="18" t="n">
        <v>12.47079582</v>
      </c>
      <c r="R37" s="20" t="n">
        <v>2.01149404</v>
      </c>
    </row>
    <row r="38" spans="1:18">
      <c r="A38" s="15" t="s">
        <v>462</v>
      </c>
      <c r="B38" s="17" t="n">
        <v>3053</v>
      </c>
      <c r="C38" s="18">
        <f>(2536.0/B38*100)</f>
        <v/>
      </c>
      <c r="D38" s="19" t="n">
        <v>517</v>
      </c>
      <c r="E38" s="18" t="n">
        <v>15.77054254</v>
      </c>
      <c r="F38" s="20" t="n">
        <v>1.60348285</v>
      </c>
      <c r="G38" s="18" t="n">
        <v>73.54270781</v>
      </c>
      <c r="H38" s="20" t="n">
        <v>2.20030367</v>
      </c>
      <c r="I38" s="18" t="s">
        <v>431</v>
      </c>
      <c r="J38" s="20" t="s">
        <v>431</v>
      </c>
      <c r="K38" s="18" t="n">
        <v>0.16936585</v>
      </c>
      <c r="L38" s="20" t="n">
        <v>0.14786575</v>
      </c>
      <c r="M38" s="18" t="n">
        <v>0.16385853</v>
      </c>
      <c r="N38" s="20" t="n">
        <v>0.16285696</v>
      </c>
      <c r="O38" s="18" t="n">
        <v>0</v>
      </c>
      <c r="P38" s="20" t="n">
        <v>0</v>
      </c>
      <c r="Q38" s="18" t="n">
        <v>10.35352527</v>
      </c>
      <c r="R38" s="20" t="n">
        <v>1.67186084</v>
      </c>
    </row>
    <row r="39" spans="1:18">
      <c r="A39" s="15" t="s">
        <v>463</v>
      </c>
      <c r="B39" s="17" t="n">
        <v>2957</v>
      </c>
      <c r="C39" s="18">
        <f>(2592.0/B39*100)</f>
        <v/>
      </c>
      <c r="D39" s="19" t="n">
        <v>365</v>
      </c>
      <c r="E39" s="18" t="n">
        <v>26.82379604</v>
      </c>
      <c r="F39" s="20" t="n">
        <v>2.41087458</v>
      </c>
      <c r="G39" s="18" t="n">
        <v>57.91646162</v>
      </c>
      <c r="H39" s="20" t="n">
        <v>2.96074728</v>
      </c>
      <c r="I39" s="18" t="s">
        <v>431</v>
      </c>
      <c r="J39" s="20" t="s">
        <v>431</v>
      </c>
      <c r="K39" s="18" t="n">
        <v>0</v>
      </c>
      <c r="L39" s="20" t="n">
        <v>0</v>
      </c>
      <c r="M39" s="18" t="n">
        <v>0.24481936</v>
      </c>
      <c r="N39" s="20" t="n">
        <v>0.2503347</v>
      </c>
      <c r="O39" s="18" t="n">
        <v>0</v>
      </c>
      <c r="P39" s="20" t="n">
        <v>0</v>
      </c>
      <c r="Q39" s="18" t="n">
        <v>15.01492298</v>
      </c>
      <c r="R39" s="20" t="n">
        <v>2.0044789</v>
      </c>
    </row>
    <row r="40" spans="1:18">
      <c r="A40" s="15" t="s">
        <v>464</v>
      </c>
      <c r="B40" s="17" t="n">
        <v>7235</v>
      </c>
      <c r="C40" s="18">
        <f>(6349.0/B40*100)</f>
        <v/>
      </c>
      <c r="D40" s="19" t="n">
        <v>886</v>
      </c>
      <c r="E40" s="18" t="n">
        <v>11.19201032</v>
      </c>
      <c r="F40" s="20" t="n">
        <v>1.65584822</v>
      </c>
      <c r="G40" s="18" t="n">
        <v>79.23766353000001</v>
      </c>
      <c r="H40" s="20" t="n">
        <v>2.20411071</v>
      </c>
      <c r="I40" s="18" t="s">
        <v>431</v>
      </c>
      <c r="J40" s="20" t="s">
        <v>431</v>
      </c>
      <c r="K40" s="18" t="n">
        <v>0.35431915</v>
      </c>
      <c r="L40" s="20" t="n">
        <v>0.24393115</v>
      </c>
      <c r="M40" s="18" t="n">
        <v>0.29417221</v>
      </c>
      <c r="N40" s="20" t="n">
        <v>0.29027763</v>
      </c>
      <c r="O40" s="18" t="n">
        <v>0</v>
      </c>
      <c r="P40" s="20" t="n">
        <v>0</v>
      </c>
      <c r="Q40" s="18" t="n">
        <v>8.92183479</v>
      </c>
      <c r="R40" s="20" t="n">
        <v>1.81824206</v>
      </c>
    </row>
    <row r="41" spans="1:18">
      <c r="A41" s="15" t="s">
        <v>465</v>
      </c>
      <c r="B41" s="17" t="n">
        <v>2858</v>
      </c>
      <c r="C41" s="18">
        <f>(2505.0/B41*100)</f>
        <v/>
      </c>
      <c r="D41" s="19" t="n">
        <v>353</v>
      </c>
      <c r="E41" s="18" t="n">
        <v>15.3244339</v>
      </c>
      <c r="F41" s="20" t="n">
        <v>1.94986431</v>
      </c>
      <c r="G41" s="18" t="n">
        <v>81.35351724</v>
      </c>
      <c r="H41" s="20" t="n">
        <v>2.21591941</v>
      </c>
      <c r="I41" s="18" t="s">
        <v>431</v>
      </c>
      <c r="J41" s="20" t="s">
        <v>431</v>
      </c>
      <c r="K41" s="18" t="n">
        <v>0</v>
      </c>
      <c r="L41" s="20" t="n">
        <v>0</v>
      </c>
      <c r="M41" s="18" t="n">
        <v>0</v>
      </c>
      <c r="N41" s="20" t="n">
        <v>0</v>
      </c>
      <c r="O41" s="18" t="n">
        <v>0</v>
      </c>
      <c r="P41" s="20" t="n">
        <v>0</v>
      </c>
      <c r="Q41" s="18" t="n">
        <v>3.32204886</v>
      </c>
      <c r="R41" s="20" t="n">
        <v>0.99299947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(9774.0/B46*100)</f>
        <v/>
      </c>
      <c r="D46" s="19" t="n">
        <v>1294</v>
      </c>
      <c r="E46" s="18" t="n">
        <v>38.14102055</v>
      </c>
      <c r="F46" s="20" t="n">
        <v>1.85429362</v>
      </c>
      <c r="G46" s="18" t="n">
        <v>36.01241901</v>
      </c>
      <c r="H46" s="20" t="n">
        <v>2.16292918</v>
      </c>
      <c r="I46" s="18" t="s">
        <v>431</v>
      </c>
      <c r="J46" s="20" t="s">
        <v>431</v>
      </c>
      <c r="K46" s="18" t="n">
        <v>0.20293619</v>
      </c>
      <c r="L46" s="20" t="n">
        <v>0.10054091</v>
      </c>
      <c r="M46" s="18" t="n">
        <v>0.27080106</v>
      </c>
      <c r="N46" s="20" t="n">
        <v>0.18073517</v>
      </c>
      <c r="O46" s="18" t="n">
        <v>0</v>
      </c>
      <c r="P46" s="20" t="n">
        <v>0</v>
      </c>
      <c r="Q46" s="18" t="n">
        <v>25.37282318</v>
      </c>
      <c r="R46" s="20" t="n">
        <v>1.61640015</v>
      </c>
    </row>
    <row r="47" spans="1:18">
      <c r="A47" s="15" t="s">
        <v>471</v>
      </c>
      <c r="B47" s="17" t="n">
        <v>3105</v>
      </c>
      <c r="C47" s="18">
        <f>(2725.0/B47*100)</f>
        <v/>
      </c>
      <c r="D47" s="19" t="n">
        <v>380</v>
      </c>
      <c r="E47" s="18" t="n">
        <v>52.65363425</v>
      </c>
      <c r="F47" s="20" t="n">
        <v>2.58338571</v>
      </c>
      <c r="G47" s="18" t="n">
        <v>30.435429</v>
      </c>
      <c r="H47" s="20" t="n">
        <v>2.60540279</v>
      </c>
      <c r="I47" s="18" t="s">
        <v>431</v>
      </c>
      <c r="J47" s="20" t="s">
        <v>431</v>
      </c>
      <c r="K47" s="18" t="n">
        <v>0.24288326</v>
      </c>
      <c r="L47" s="20" t="n">
        <v>0.24915318</v>
      </c>
      <c r="M47" s="18" t="n">
        <v>0</v>
      </c>
      <c r="N47" s="20" t="n">
        <v>0</v>
      </c>
      <c r="O47" s="18" t="n">
        <v>0</v>
      </c>
      <c r="P47" s="20" t="n">
        <v>0</v>
      </c>
      <c r="Q47" s="18" t="n">
        <v>16.66805349</v>
      </c>
      <c r="R47" s="20" t="n">
        <v>2.13878745</v>
      </c>
    </row>
    <row r="48" spans="1:18">
      <c r="A48" s="15" t="s">
        <v>472</v>
      </c>
      <c r="B48" s="17" t="n">
        <v>5159</v>
      </c>
      <c r="C48" s="18">
        <f>(4501.0/B48*100)</f>
        <v/>
      </c>
      <c r="D48" s="19" t="n">
        <v>658</v>
      </c>
      <c r="E48" s="18" t="n">
        <v>17.71786419</v>
      </c>
      <c r="F48" s="20" t="n">
        <v>1.73167082</v>
      </c>
      <c r="G48" s="18" t="n">
        <v>65.73068716</v>
      </c>
      <c r="H48" s="20" t="n">
        <v>2.44428695</v>
      </c>
      <c r="I48" s="18" t="s">
        <v>431</v>
      </c>
      <c r="J48" s="20" t="s">
        <v>431</v>
      </c>
      <c r="K48" s="18" t="n">
        <v>0.20238115</v>
      </c>
      <c r="L48" s="20" t="n">
        <v>0.20216657</v>
      </c>
      <c r="M48" s="18" t="n">
        <v>0</v>
      </c>
      <c r="N48" s="20" t="n">
        <v>0</v>
      </c>
      <c r="O48" s="18" t="n">
        <v>0</v>
      </c>
      <c r="P48" s="20" t="n">
        <v>0</v>
      </c>
      <c r="Q48" s="18" t="n">
        <v>16.34906751</v>
      </c>
      <c r="R48" s="20" t="n">
        <v>2.15290477</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(4974.0/B50*100)</f>
        <v/>
      </c>
      <c r="D50" s="19" t="n">
        <v>663</v>
      </c>
      <c r="E50" s="18" t="n">
        <v>35.77908653</v>
      </c>
      <c r="F50" s="20" t="n">
        <v>2.60126347</v>
      </c>
      <c r="G50" s="18" t="n">
        <v>54.72801361</v>
      </c>
      <c r="H50" s="20" t="n">
        <v>2.62525155</v>
      </c>
      <c r="I50" s="18" t="s">
        <v>431</v>
      </c>
      <c r="J50" s="20" t="s">
        <v>431</v>
      </c>
      <c r="K50" s="18" t="n">
        <v>0.90277536</v>
      </c>
      <c r="L50" s="20" t="n">
        <v>0.51924733</v>
      </c>
      <c r="M50" s="18" t="n">
        <v>0.05480024</v>
      </c>
      <c r="N50" s="20" t="n">
        <v>0.05366326</v>
      </c>
      <c r="O50" s="18" t="n">
        <v>0</v>
      </c>
      <c r="P50" s="20" t="n">
        <v>0</v>
      </c>
      <c r="Q50" s="18" t="n">
        <v>8.535324259999999</v>
      </c>
      <c r="R50" s="20" t="n">
        <v>1.6066848</v>
      </c>
    </row>
    <row r="51" spans="1:18">
      <c r="A51" s="15" t="s">
        <v>475</v>
      </c>
      <c r="B51" s="17" t="n">
        <v>3372</v>
      </c>
      <c r="C51" s="18">
        <f>(3038.0/B51*100)</f>
        <v/>
      </c>
      <c r="D51" s="19" t="n">
        <v>334</v>
      </c>
      <c r="E51" s="18" t="n">
        <v>28.7655292</v>
      </c>
      <c r="F51" s="20" t="n">
        <v>3.06179025</v>
      </c>
      <c r="G51" s="18" t="n">
        <v>56.42101833</v>
      </c>
      <c r="H51" s="20" t="n">
        <v>3.53343947</v>
      </c>
      <c r="I51" s="18" t="s">
        <v>431</v>
      </c>
      <c r="J51" s="20" t="s">
        <v>431</v>
      </c>
      <c r="K51" s="18" t="n">
        <v>0.44033583</v>
      </c>
      <c r="L51" s="20" t="n">
        <v>0.39426064</v>
      </c>
      <c r="M51" s="18" t="n">
        <v>0</v>
      </c>
      <c r="N51" s="20" t="n">
        <v>0</v>
      </c>
      <c r="O51" s="18" t="n">
        <v>0</v>
      </c>
      <c r="P51" s="20" t="n">
        <v>0</v>
      </c>
      <c r="Q51" s="18" t="n">
        <v>14.37311664</v>
      </c>
      <c r="R51" s="20" t="n">
        <v>2.18365525</v>
      </c>
    </row>
    <row r="52" spans="1:18">
      <c r="A52" s="15" t="s">
        <v>476</v>
      </c>
      <c r="B52" s="17" t="n">
        <v>2796</v>
      </c>
      <c r="C52" s="18">
        <f>(2447.0/B52*100)</f>
        <v/>
      </c>
      <c r="D52" s="19" t="n">
        <v>349</v>
      </c>
      <c r="E52" s="18" t="n">
        <v>17.47803592</v>
      </c>
      <c r="F52" s="20" t="n">
        <v>2.32080576</v>
      </c>
      <c r="G52" s="18" t="n">
        <v>69.22852632999999</v>
      </c>
      <c r="H52" s="20" t="n">
        <v>3.15679653</v>
      </c>
      <c r="I52" s="18" t="s">
        <v>431</v>
      </c>
      <c r="J52" s="20" t="s">
        <v>431</v>
      </c>
      <c r="K52" s="18" t="n">
        <v>0</v>
      </c>
      <c r="L52" s="20" t="n">
        <v>0</v>
      </c>
      <c r="M52" s="18" t="n">
        <v>0</v>
      </c>
      <c r="N52" s="20" t="n">
        <v>0</v>
      </c>
      <c r="O52" s="18" t="n">
        <v>0</v>
      </c>
      <c r="P52" s="20" t="n">
        <v>0</v>
      </c>
      <c r="Q52" s="18" t="n">
        <v>13.29343774</v>
      </c>
      <c r="R52" s="20" t="n">
        <v>2.06785368</v>
      </c>
    </row>
    <row r="53" spans="1:18">
      <c r="A53" s="15" t="s">
        <v>477</v>
      </c>
      <c r="B53" s="17" t="n">
        <v>2811</v>
      </c>
      <c r="C53" s="18">
        <f>(2460.0/B53*100)</f>
        <v/>
      </c>
      <c r="D53" s="19" t="n">
        <v>351</v>
      </c>
      <c r="E53" s="18" t="n">
        <v>22.73695102</v>
      </c>
      <c r="F53" s="20" t="n">
        <v>2.44517107</v>
      </c>
      <c r="G53" s="18" t="n">
        <v>58.23155644</v>
      </c>
      <c r="H53" s="20" t="n">
        <v>2.85120229</v>
      </c>
      <c r="I53" s="18" t="s">
        <v>431</v>
      </c>
      <c r="J53" s="20" t="s">
        <v>431</v>
      </c>
      <c r="K53" s="18" t="n">
        <v>0</v>
      </c>
      <c r="L53" s="20" t="n">
        <v>0</v>
      </c>
      <c r="M53" s="18" t="n">
        <v>0</v>
      </c>
      <c r="N53" s="20" t="n">
        <v>0</v>
      </c>
      <c r="O53" s="18" t="n">
        <v>0</v>
      </c>
      <c r="P53" s="20" t="n">
        <v>0</v>
      </c>
      <c r="Q53" s="18" t="n">
        <v>19.03149254</v>
      </c>
      <c r="R53" s="20" t="n">
        <v>2.11696862</v>
      </c>
    </row>
    <row r="54" spans="1:18">
      <c r="A54" s="15" t="s">
        <v>478</v>
      </c>
      <c r="B54" s="17" t="n">
        <v>2266</v>
      </c>
      <c r="C54" s="18">
        <f>(1857.0/B54*100)</f>
        <v/>
      </c>
      <c r="D54" s="19" t="n">
        <v>409</v>
      </c>
      <c r="E54" s="18" t="n">
        <v>37.5647085</v>
      </c>
      <c r="F54" s="20" t="n">
        <v>2.83112457</v>
      </c>
      <c r="G54" s="18" t="n">
        <v>36.85672703</v>
      </c>
      <c r="H54" s="20" t="n">
        <v>2.53621611</v>
      </c>
      <c r="I54" s="18" t="s">
        <v>431</v>
      </c>
      <c r="J54" s="20" t="s">
        <v>431</v>
      </c>
      <c r="K54" s="18" t="n">
        <v>6.69033994</v>
      </c>
      <c r="L54" s="20" t="n">
        <v>1.15140036</v>
      </c>
      <c r="M54" s="18" t="n">
        <v>0.24346317</v>
      </c>
      <c r="N54" s="20" t="n">
        <v>0.23462787</v>
      </c>
      <c r="O54" s="18" t="n">
        <v>0</v>
      </c>
      <c r="P54" s="20" t="n">
        <v>0</v>
      </c>
      <c r="Q54" s="18" t="n">
        <v>18.64476135</v>
      </c>
      <c r="R54" s="20" t="n">
        <v>1.91057485</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(2351.0/B56*100)</f>
        <v/>
      </c>
      <c r="D56" s="19" t="n">
        <v>333</v>
      </c>
      <c r="E56" s="18" t="n">
        <v>7.96933098</v>
      </c>
      <c r="F56" s="20" t="n">
        <v>1.63506317</v>
      </c>
      <c r="G56" s="18" t="n">
        <v>81.42485221</v>
      </c>
      <c r="H56" s="20" t="n">
        <v>2.15104533</v>
      </c>
      <c r="I56" s="18" t="s">
        <v>431</v>
      </c>
      <c r="J56" s="20" t="s">
        <v>431</v>
      </c>
      <c r="K56" s="18" t="n">
        <v>0</v>
      </c>
      <c r="L56" s="20" t="n">
        <v>0</v>
      </c>
      <c r="M56" s="18" t="n">
        <v>0</v>
      </c>
      <c r="N56" s="20" t="n">
        <v>0</v>
      </c>
      <c r="O56" s="18" t="n">
        <v>0</v>
      </c>
      <c r="P56" s="20" t="n">
        <v>0</v>
      </c>
      <c r="Q56" s="18" t="n">
        <v>10.60581681</v>
      </c>
      <c r="R56" s="20" t="n">
        <v>1.93912173</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(2918.0/B61*100)</f>
        <v/>
      </c>
      <c r="D61" s="19" t="n">
        <v>406</v>
      </c>
      <c r="E61" s="18" t="n">
        <v>22.88623262</v>
      </c>
      <c r="F61" s="20" t="n">
        <v>2.30597986</v>
      </c>
      <c r="G61" s="18" t="n">
        <v>65.69984436999999</v>
      </c>
      <c r="H61" s="20" t="n">
        <v>2.66797135</v>
      </c>
      <c r="I61" s="18" t="s">
        <v>431</v>
      </c>
      <c r="J61" s="20" t="s">
        <v>431</v>
      </c>
      <c r="K61" s="18" t="n">
        <v>0.25385066</v>
      </c>
      <c r="L61" s="20" t="n">
        <v>0.17698424</v>
      </c>
      <c r="M61" s="18" t="n">
        <v>0</v>
      </c>
      <c r="N61" s="20" t="n">
        <v>0</v>
      </c>
      <c r="O61" s="18" t="n">
        <v>0</v>
      </c>
      <c r="P61" s="20" t="n">
        <v>0</v>
      </c>
      <c r="Q61" s="18" t="n">
        <v>11.16007235</v>
      </c>
      <c r="R61" s="20" t="n">
        <v>1.52639422</v>
      </c>
    </row>
    <row r="62" spans="1:18">
      <c r="A62" s="15" t="s">
        <v>486</v>
      </c>
      <c r="B62" s="17" t="n">
        <v>2246</v>
      </c>
      <c r="C62" s="18">
        <f>(1979.0/B62*100)</f>
        <v/>
      </c>
      <c r="D62" s="19" t="n">
        <v>267</v>
      </c>
      <c r="E62" s="18" t="n">
        <v>17.23687614</v>
      </c>
      <c r="F62" s="20" t="n">
        <v>2.42894106</v>
      </c>
      <c r="G62" s="18" t="n">
        <v>76.00162186999999</v>
      </c>
      <c r="H62" s="20" t="n">
        <v>2.72532329</v>
      </c>
      <c r="I62" s="18" t="s">
        <v>431</v>
      </c>
      <c r="J62" s="20" t="s">
        <v>431</v>
      </c>
      <c r="K62" s="18" t="n">
        <v>0</v>
      </c>
      <c r="L62" s="20" t="n">
        <v>0</v>
      </c>
      <c r="M62" s="18" t="n">
        <v>0</v>
      </c>
      <c r="N62" s="20" t="n">
        <v>0</v>
      </c>
      <c r="O62" s="18" t="n">
        <v>0</v>
      </c>
      <c r="P62" s="20" t="n">
        <v>0</v>
      </c>
      <c r="Q62" s="18" t="n">
        <v>6.76150199</v>
      </c>
      <c r="R62" s="20" t="n">
        <v>1.70950681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(2531.0/B66*100)</f>
        <v/>
      </c>
      <c r="D66" s="19" t="n">
        <v>363</v>
      </c>
      <c r="E66" s="18" t="n">
        <v>16.64885745</v>
      </c>
      <c r="F66" s="20" t="n">
        <v>1.66254577</v>
      </c>
      <c r="G66" s="18" t="n">
        <v>55.39407485</v>
      </c>
      <c r="H66" s="20" t="n">
        <v>2.65302445</v>
      </c>
      <c r="I66" s="18" t="s">
        <v>431</v>
      </c>
      <c r="J66" s="20" t="s">
        <v>431</v>
      </c>
      <c r="K66" s="18" t="n">
        <v>1.10635689</v>
      </c>
      <c r="L66" s="20" t="n">
        <v>0.55447136</v>
      </c>
      <c r="M66" s="18" t="n">
        <v>0.55062771</v>
      </c>
      <c r="N66" s="20" t="n">
        <v>0.38914138</v>
      </c>
      <c r="O66" s="18" t="n">
        <v>0</v>
      </c>
      <c r="P66" s="20" t="n">
        <v>0</v>
      </c>
      <c r="Q66" s="18" t="n">
        <v>26.30008311</v>
      </c>
      <c r="R66" s="20" t="n">
        <v>2.32552283</v>
      </c>
    </row>
    <row r="67" spans="1:18">
      <c r="A67" s="15" t="s">
        <v>491</v>
      </c>
      <c r="B67" s="17" t="n">
        <v>3511</v>
      </c>
      <c r="C67" s="18">
        <f>(3104.0/B67*100)</f>
        <v/>
      </c>
      <c r="D67" s="19" t="n">
        <v>407</v>
      </c>
      <c r="E67" s="18" t="n">
        <v>47.25002818</v>
      </c>
      <c r="F67" s="20" t="n">
        <v>2.51813142</v>
      </c>
      <c r="G67" s="18" t="n">
        <v>36.9874861</v>
      </c>
      <c r="H67" s="20" t="n">
        <v>2.41497514</v>
      </c>
      <c r="I67" s="18" t="s">
        <v>431</v>
      </c>
      <c r="J67" s="20" t="s">
        <v>431</v>
      </c>
      <c r="K67" s="18" t="n">
        <v>0</v>
      </c>
      <c r="L67" s="20" t="n">
        <v>0</v>
      </c>
      <c r="M67" s="18" t="n">
        <v>0</v>
      </c>
      <c r="N67" s="20" t="n">
        <v>0</v>
      </c>
      <c r="O67" s="18" t="n">
        <v>0</v>
      </c>
      <c r="P67" s="20" t="n">
        <v>0</v>
      </c>
      <c r="Q67" s="18" t="n">
        <v>15.76248572</v>
      </c>
      <c r="R67" s="20" t="n">
        <v>1.88641143</v>
      </c>
    </row>
    <row r="68" spans="1:18">
      <c r="A68" s="15" t="s">
        <v>492</v>
      </c>
      <c r="B68" s="17" t="n">
        <v>6049</v>
      </c>
      <c r="C68" s="18">
        <f>(5049.0/B68*100)</f>
        <v/>
      </c>
      <c r="D68" s="19" t="n">
        <v>1000</v>
      </c>
      <c r="E68" s="18" t="n">
        <v>31.05647967</v>
      </c>
      <c r="F68" s="20" t="n">
        <v>1.51276639</v>
      </c>
      <c r="G68" s="18" t="n">
        <v>40.06826657</v>
      </c>
      <c r="H68" s="20" t="n">
        <v>1.70239486</v>
      </c>
      <c r="I68" s="18" t="s">
        <v>431</v>
      </c>
      <c r="J68" s="20" t="s">
        <v>431</v>
      </c>
      <c r="K68" s="18" t="n">
        <v>2.19661011</v>
      </c>
      <c r="L68" s="20" t="n">
        <v>0.47369168</v>
      </c>
      <c r="M68" s="18" t="n">
        <v>0.0978487</v>
      </c>
      <c r="N68" s="20" t="n">
        <v>0.097714</v>
      </c>
      <c r="O68" s="18" t="n">
        <v>0</v>
      </c>
      <c r="P68" s="20" t="n">
        <v>0</v>
      </c>
      <c r="Q68" s="18" t="n">
        <v>26.58079495</v>
      </c>
      <c r="R68" s="20" t="n">
        <v>1.19959071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(2573.0/B70*100)</f>
        <v/>
      </c>
      <c r="D70" s="19" t="n">
        <v>356</v>
      </c>
      <c r="E70" s="18" t="n">
        <v>22.23259401</v>
      </c>
      <c r="F70" s="20" t="n">
        <v>2.64454559</v>
      </c>
      <c r="G70" s="18" t="n">
        <v>67.5311384</v>
      </c>
      <c r="H70" s="20" t="n">
        <v>2.84861861</v>
      </c>
      <c r="I70" s="18" t="s">
        <v>431</v>
      </c>
      <c r="J70" s="20" t="s">
        <v>431</v>
      </c>
      <c r="K70" s="18" t="n">
        <v>0</v>
      </c>
      <c r="L70" s="20" t="n">
        <v>0</v>
      </c>
      <c r="M70" s="18" t="n">
        <v>0</v>
      </c>
      <c r="N70" s="20" t="n">
        <v>0</v>
      </c>
      <c r="O70" s="18" t="n">
        <v>0</v>
      </c>
      <c r="P70" s="20" t="n">
        <v>0</v>
      </c>
      <c r="Q70" s="18" t="n">
        <v>10.23626759</v>
      </c>
      <c r="R70" s="20" t="n">
        <v>1.72687524</v>
      </c>
    </row>
    <row r="71" spans="1:18">
      <c r="A71" s="15" t="s">
        <v>495</v>
      </c>
      <c r="B71" s="17" t="n">
        <v>3142</v>
      </c>
      <c r="C71" s="18">
        <f>(2756.0/B71*100)</f>
        <v/>
      </c>
      <c r="D71" s="19" t="n">
        <v>386</v>
      </c>
      <c r="E71" s="18" t="n">
        <v>14.85138114</v>
      </c>
      <c r="F71" s="20" t="n">
        <v>1.52143951</v>
      </c>
      <c r="G71" s="18" t="n">
        <v>80.42850994</v>
      </c>
      <c r="H71" s="20" t="n">
        <v>1.79479255</v>
      </c>
      <c r="I71" s="18" t="s">
        <v>431</v>
      </c>
      <c r="J71" s="20" t="s">
        <v>431</v>
      </c>
      <c r="K71" s="18" t="n">
        <v>0.23721286</v>
      </c>
      <c r="L71" s="20" t="n">
        <v>0.23975729</v>
      </c>
      <c r="M71" s="18" t="n">
        <v>0.13461138</v>
      </c>
      <c r="N71" s="20" t="n">
        <v>0.13450588</v>
      </c>
      <c r="O71" s="18" t="n">
        <v>0</v>
      </c>
      <c r="P71" s="20" t="n">
        <v>0</v>
      </c>
      <c r="Q71" s="18" t="n">
        <v>4.34828469</v>
      </c>
      <c r="R71" s="20" t="n">
        <v>0.91710258</v>
      </c>
    </row>
    <row r="72" spans="1:18">
      <c r="A72" s="15" t="s">
        <v>496</v>
      </c>
      <c r="B72" s="17" t="n">
        <v>3889</v>
      </c>
      <c r="C72" s="18">
        <f>(3423.0/B72*100)</f>
        <v/>
      </c>
      <c r="D72" s="19" t="n">
        <v>466</v>
      </c>
      <c r="E72" s="18" t="n">
        <v>15.61087464</v>
      </c>
      <c r="F72" s="20" t="n">
        <v>1.74962438</v>
      </c>
      <c r="G72" s="18" t="n">
        <v>73.87469163</v>
      </c>
      <c r="H72" s="20" t="n">
        <v>2.05740028</v>
      </c>
      <c r="I72" s="18" t="s">
        <v>431</v>
      </c>
      <c r="J72" s="20" t="s">
        <v>431</v>
      </c>
      <c r="K72" s="18" t="n">
        <v>0.17514504</v>
      </c>
      <c r="L72" s="20" t="n">
        <v>0.17571974</v>
      </c>
      <c r="M72" s="18" t="n">
        <v>0</v>
      </c>
      <c r="N72" s="20" t="n">
        <v>0</v>
      </c>
      <c r="O72" s="18" t="n">
        <v>0</v>
      </c>
      <c r="P72" s="20" t="n">
        <v>0</v>
      </c>
      <c r="Q72" s="18" t="n">
        <v>10.3392887</v>
      </c>
      <c r="R72" s="20" t="n">
        <v>1.39798709</v>
      </c>
    </row>
    <row r="73" spans="1:18">
      <c r="A73" s="15" t="s">
        <v>497</v>
      </c>
      <c r="B73" s="17" t="n">
        <v>3597</v>
      </c>
      <c r="C73" s="18">
        <f>(3154.0/B73*100)</f>
        <v/>
      </c>
      <c r="D73" s="19" t="n">
        <v>443</v>
      </c>
      <c r="E73" s="18" t="n">
        <v>37.15434537</v>
      </c>
      <c r="F73" s="20" t="n">
        <v>3.06173504</v>
      </c>
      <c r="G73" s="18" t="n">
        <v>56.48897627</v>
      </c>
      <c r="H73" s="20" t="n">
        <v>3.12482063</v>
      </c>
      <c r="I73" s="18" t="s">
        <v>431</v>
      </c>
      <c r="J73" s="20" t="s">
        <v>431</v>
      </c>
      <c r="K73" s="18" t="n">
        <v>0</v>
      </c>
      <c r="L73" s="20" t="n">
        <v>0</v>
      </c>
      <c r="M73" s="18" t="n">
        <v>0.011069</v>
      </c>
      <c r="N73" s="20" t="n">
        <v>0.01067596</v>
      </c>
      <c r="O73" s="18" t="n">
        <v>0</v>
      </c>
      <c r="P73" s="20" t="n">
        <v>0</v>
      </c>
      <c r="Q73" s="18" t="n">
        <v>6.34560936</v>
      </c>
      <c r="R73" s="20" t="n">
        <v>1.48438774</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(2130.0/B75*100)</f>
        <v/>
      </c>
      <c r="D75" s="19" t="n">
        <v>276</v>
      </c>
      <c r="E75" s="18" t="n">
        <v>28.96443704</v>
      </c>
      <c r="F75" s="20" t="n">
        <v>2.83910766</v>
      </c>
      <c r="G75" s="18" t="n">
        <v>38.91115537</v>
      </c>
      <c r="H75" s="20" t="n">
        <v>3.35856594</v>
      </c>
      <c r="I75" s="18" t="s">
        <v>431</v>
      </c>
      <c r="J75" s="20" t="s">
        <v>431</v>
      </c>
      <c r="K75" s="18" t="n">
        <v>1.28488142</v>
      </c>
      <c r="L75" s="20" t="n">
        <v>0.62439552</v>
      </c>
      <c r="M75" s="18" t="n">
        <v>0</v>
      </c>
      <c r="N75" s="20" t="n">
        <v>0</v>
      </c>
      <c r="O75" s="18" t="n">
        <v>0</v>
      </c>
      <c r="P75" s="20" t="n">
        <v>0</v>
      </c>
      <c r="Q75" s="18" t="n">
        <v>30.83952617</v>
      </c>
      <c r="R75" s="20" t="n">
        <v>2.87660304</v>
      </c>
    </row>
    <row r="76" spans="1:18">
      <c r="A76" s="15" t="s">
        <v>500</v>
      </c>
      <c r="B76" s="17" t="n">
        <v>7052</v>
      </c>
      <c r="C76" s="18">
        <f>(6207.0/B76*100)</f>
        <v/>
      </c>
      <c r="D76" s="19" t="n">
        <v>845</v>
      </c>
      <c r="E76" s="18" t="n">
        <v>33.0130655</v>
      </c>
      <c r="F76" s="20" t="n">
        <v>1.755596</v>
      </c>
      <c r="G76" s="18" t="n">
        <v>47.79750043</v>
      </c>
      <c r="H76" s="20" t="n">
        <v>1.9365516</v>
      </c>
      <c r="I76" s="18" t="s">
        <v>431</v>
      </c>
      <c r="J76" s="20" t="s">
        <v>431</v>
      </c>
      <c r="K76" s="18" t="n">
        <v>0.70539305</v>
      </c>
      <c r="L76" s="20" t="n">
        <v>0.31844495</v>
      </c>
      <c r="M76" s="18" t="n">
        <v>0.37742019</v>
      </c>
      <c r="N76" s="20" t="n">
        <v>0.23738088</v>
      </c>
      <c r="O76" s="18" t="n">
        <v>0</v>
      </c>
      <c r="P76" s="20" t="n">
        <v>0</v>
      </c>
      <c r="Q76" s="18" t="n">
        <v>18.10662083</v>
      </c>
      <c r="R76" s="20" t="n">
        <v>1.86858555</v>
      </c>
    </row>
    <row r="77" spans="1:18">
      <c r="A77" s="15" t="s">
        <v>501</v>
      </c>
      <c r="B77" s="17" t="n">
        <v>2908</v>
      </c>
      <c r="C77" s="18">
        <f>(2575.0/B77*100)</f>
        <v/>
      </c>
      <c r="D77" s="19" t="n">
        <v>333</v>
      </c>
      <c r="E77" s="18" t="n">
        <v>32.34408923</v>
      </c>
      <c r="F77" s="20" t="n">
        <v>2.58606335</v>
      </c>
      <c r="G77" s="18" t="n">
        <v>49.4807627</v>
      </c>
      <c r="H77" s="20" t="n">
        <v>3.10203615</v>
      </c>
      <c r="I77" s="18" t="s">
        <v>431</v>
      </c>
      <c r="J77" s="20" t="s">
        <v>431</v>
      </c>
      <c r="K77" s="18" t="n">
        <v>0.87282812</v>
      </c>
      <c r="L77" s="20" t="n">
        <v>0.61085641</v>
      </c>
      <c r="M77" s="18" t="n">
        <v>0</v>
      </c>
      <c r="N77" s="20" t="n">
        <v>0</v>
      </c>
      <c r="O77" s="18" t="n">
        <v>0</v>
      </c>
      <c r="P77" s="20" t="n">
        <v>0</v>
      </c>
      <c r="Q77" s="18" t="n">
        <v>17.30231995</v>
      </c>
      <c r="R77" s="20" t="n">
        <v>2.29926165</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(3653.0/B81*100)</f>
        <v/>
      </c>
      <c r="D81" s="19" t="n">
        <v>510</v>
      </c>
      <c r="E81" s="18" t="n">
        <v>32.10724693</v>
      </c>
      <c r="F81" s="20" t="n">
        <v>2.9842957</v>
      </c>
      <c r="G81" s="18" t="n">
        <v>60.72452191</v>
      </c>
      <c r="H81" s="20" t="n">
        <v>3.25163326</v>
      </c>
      <c r="I81" s="18" t="s">
        <v>431</v>
      </c>
      <c r="J81" s="20" t="s">
        <v>431</v>
      </c>
      <c r="K81" s="18" t="n">
        <v>0.21457083</v>
      </c>
      <c r="L81" s="20" t="n">
        <v>0.15090195</v>
      </c>
      <c r="M81" s="18" t="n">
        <v>0</v>
      </c>
      <c r="N81" s="20" t="n">
        <v>0</v>
      </c>
      <c r="O81" s="18" t="n">
        <v>0</v>
      </c>
      <c r="P81" s="20" t="n">
        <v>0</v>
      </c>
      <c r="Q81" s="18" t="n">
        <v>6.95366033</v>
      </c>
      <c r="R81" s="20" t="n">
        <v>1.53406278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(6459.0/B7*100)</f>
        <v/>
      </c>
      <c r="D7" s="19" t="n">
        <v>908</v>
      </c>
      <c r="E7" s="18" t="n">
        <v>13.73020727</v>
      </c>
      <c r="F7" s="20" t="n">
        <v>1.44405176</v>
      </c>
      <c r="G7" s="18" t="n">
        <v>84.91213632</v>
      </c>
      <c r="H7" s="20" t="n">
        <v>1.50006018</v>
      </c>
      <c r="I7" s="18" t="s">
        <v>431</v>
      </c>
      <c r="J7" s="20" t="s">
        <v>431</v>
      </c>
      <c r="K7" s="18" t="n">
        <v>0.20437926</v>
      </c>
      <c r="L7" s="20" t="n">
        <v>0.20004793</v>
      </c>
      <c r="M7" s="18" t="n">
        <v>0</v>
      </c>
      <c r="N7" s="20" t="n">
        <v>0</v>
      </c>
      <c r="O7" s="18" t="n">
        <v>0</v>
      </c>
      <c r="P7" s="20" t="n">
        <v>0</v>
      </c>
      <c r="Q7" s="18" t="n">
        <v>1.15327715</v>
      </c>
      <c r="R7" s="20" t="n">
        <v>0.43298779</v>
      </c>
    </row>
    <row r="8" spans="1:18">
      <c r="A8" s="15" t="s">
        <v>432</v>
      </c>
      <c r="B8" s="17" t="n">
        <v>3564</v>
      </c>
      <c r="C8" s="18">
        <f>(3139.0/B8*100)</f>
        <v/>
      </c>
      <c r="D8" s="19" t="n">
        <v>425</v>
      </c>
      <c r="E8" s="18" t="n">
        <v>12.92991948</v>
      </c>
      <c r="F8" s="20" t="n">
        <v>1.69932651</v>
      </c>
      <c r="G8" s="18" t="n">
        <v>85.7461936</v>
      </c>
      <c r="H8" s="20" t="n">
        <v>1.73585841</v>
      </c>
      <c r="I8" s="18" t="s">
        <v>431</v>
      </c>
      <c r="J8" s="20" t="s">
        <v>431</v>
      </c>
      <c r="K8" s="18" t="n">
        <v>0</v>
      </c>
      <c r="L8" s="20" t="n">
        <v>0</v>
      </c>
      <c r="M8" s="18" t="n">
        <v>0</v>
      </c>
      <c r="N8" s="20" t="n">
        <v>0</v>
      </c>
      <c r="O8" s="18" t="n">
        <v>0</v>
      </c>
      <c r="P8" s="20" t="n">
        <v>0</v>
      </c>
      <c r="Q8" s="18" t="n">
        <v>1.32388691</v>
      </c>
      <c r="R8" s="20" t="n">
        <v>0.48188563</v>
      </c>
    </row>
    <row r="9" spans="1:18">
      <c r="A9" s="15" t="s">
        <v>433</v>
      </c>
      <c r="B9" s="17" t="n">
        <v>4899</v>
      </c>
      <c r="C9" s="18">
        <f>(4326.0/B9*100)</f>
        <v/>
      </c>
      <c r="D9" s="19" t="n">
        <v>573</v>
      </c>
      <c r="E9" s="18" t="n">
        <v>11.54975188</v>
      </c>
      <c r="F9" s="20" t="n">
        <v>1.41201394</v>
      </c>
      <c r="G9" s="18" t="n">
        <v>87.9798181</v>
      </c>
      <c r="H9" s="20" t="n">
        <v>1.43270247</v>
      </c>
      <c r="I9" s="18" t="s">
        <v>431</v>
      </c>
      <c r="J9" s="20" t="s">
        <v>431</v>
      </c>
      <c r="K9" s="18" t="n">
        <v>0.15531477</v>
      </c>
      <c r="L9" s="20" t="n">
        <v>0.15068599</v>
      </c>
      <c r="M9" s="18" t="n">
        <v>0</v>
      </c>
      <c r="N9" s="20" t="n">
        <v>0</v>
      </c>
      <c r="O9" s="18" t="n">
        <v>0</v>
      </c>
      <c r="P9" s="20" t="n">
        <v>0</v>
      </c>
      <c r="Q9" s="18" t="n">
        <v>0.31511524</v>
      </c>
      <c r="R9" s="20" t="n">
        <v>0.22079167</v>
      </c>
    </row>
    <row r="10" spans="1:18">
      <c r="A10" s="15" t="s">
        <v>434</v>
      </c>
      <c r="B10" s="17" t="n">
        <v>10036</v>
      </c>
      <c r="C10" s="18">
        <f>(8831.0/B10*100)</f>
        <v/>
      </c>
      <c r="D10" s="19" t="n">
        <v>1205</v>
      </c>
      <c r="E10" s="18" t="n">
        <v>12.53945764</v>
      </c>
      <c r="F10" s="20" t="n">
        <v>1.34884136</v>
      </c>
      <c r="G10" s="18" t="n">
        <v>87.25926319</v>
      </c>
      <c r="H10" s="20" t="n">
        <v>1.35922454</v>
      </c>
      <c r="I10" s="18" t="s">
        <v>431</v>
      </c>
      <c r="J10" s="20" t="s">
        <v>431</v>
      </c>
      <c r="K10" s="18" t="n">
        <v>0</v>
      </c>
      <c r="L10" s="20" t="n">
        <v>0</v>
      </c>
      <c r="M10" s="18" t="n">
        <v>0</v>
      </c>
      <c r="N10" s="20" t="n">
        <v>0</v>
      </c>
      <c r="O10" s="18" t="n">
        <v>0</v>
      </c>
      <c r="P10" s="20" t="n">
        <v>0</v>
      </c>
      <c r="Q10" s="18" t="n">
        <v>0.20127917</v>
      </c>
      <c r="R10" s="20" t="n">
        <v>0.10613874</v>
      </c>
    </row>
    <row r="11" spans="1:18">
      <c r="A11" s="15" t="s">
        <v>435</v>
      </c>
      <c r="B11" s="17" t="n">
        <v>3553</v>
      </c>
      <c r="C11" s="18">
        <f>(3122.0/B11*100)</f>
        <v/>
      </c>
      <c r="D11" s="19" t="n">
        <v>431</v>
      </c>
      <c r="E11" s="18" t="n">
        <v>10.91546748</v>
      </c>
      <c r="F11" s="20" t="n">
        <v>1.69703846</v>
      </c>
      <c r="G11" s="18" t="n">
        <v>88.44002875</v>
      </c>
      <c r="H11" s="20" t="n">
        <v>1.74985999</v>
      </c>
      <c r="I11" s="18" t="s">
        <v>431</v>
      </c>
      <c r="J11" s="20" t="s">
        <v>431</v>
      </c>
      <c r="K11" s="18" t="n">
        <v>0</v>
      </c>
      <c r="L11" s="20" t="n">
        <v>0</v>
      </c>
      <c r="M11" s="18" t="n">
        <v>0</v>
      </c>
      <c r="N11" s="20" t="n">
        <v>0</v>
      </c>
      <c r="O11" s="18" t="n">
        <v>0</v>
      </c>
      <c r="P11" s="20" t="n">
        <v>0</v>
      </c>
      <c r="Q11" s="18" t="n">
        <v>0.64450377</v>
      </c>
      <c r="R11" s="20" t="n">
        <v>0.51899498</v>
      </c>
    </row>
    <row r="12" spans="1:18">
      <c r="A12" s="15" t="s">
        <v>436</v>
      </c>
      <c r="B12" s="17" t="n">
        <v>3472</v>
      </c>
      <c r="C12" s="18">
        <f>(3049.0/B12*100)</f>
        <v/>
      </c>
      <c r="D12" s="19" t="n">
        <v>423</v>
      </c>
      <c r="E12" s="18" t="n">
        <v>12.76915718</v>
      </c>
      <c r="F12" s="20" t="n">
        <v>1.76507574</v>
      </c>
      <c r="G12" s="18" t="n">
        <v>87.11919905000001</v>
      </c>
      <c r="H12" s="20" t="n">
        <v>1.76814258</v>
      </c>
      <c r="I12" s="18" t="s">
        <v>431</v>
      </c>
      <c r="J12" s="20" t="s">
        <v>431</v>
      </c>
      <c r="K12" s="18" t="n">
        <v>0</v>
      </c>
      <c r="L12" s="20" t="n">
        <v>0</v>
      </c>
      <c r="M12" s="18" t="n">
        <v>0</v>
      </c>
      <c r="N12" s="20" t="n">
        <v>0</v>
      </c>
      <c r="O12" s="18" t="n">
        <v>0</v>
      </c>
      <c r="P12" s="20" t="n">
        <v>0</v>
      </c>
      <c r="Q12" s="18" t="n">
        <v>0.11164377</v>
      </c>
      <c r="R12" s="20" t="n">
        <v>0.11093917</v>
      </c>
    </row>
    <row r="13" spans="1:18">
      <c r="A13" s="15" t="s">
        <v>437</v>
      </c>
      <c r="B13" s="17" t="n">
        <v>3559</v>
      </c>
      <c r="C13" s="18">
        <f>(3156.0/B13*100)</f>
        <v/>
      </c>
      <c r="D13" s="19" t="n">
        <v>403</v>
      </c>
      <c r="E13" s="18" t="n">
        <v>14.01934479</v>
      </c>
      <c r="F13" s="20" t="n">
        <v>2.22551684</v>
      </c>
      <c r="G13" s="18" t="n">
        <v>85.29229112</v>
      </c>
      <c r="H13" s="20" t="n">
        <v>2.26157469</v>
      </c>
      <c r="I13" s="18" t="s">
        <v>431</v>
      </c>
      <c r="J13" s="20" t="s">
        <v>431</v>
      </c>
      <c r="K13" s="18" t="n">
        <v>0.47225543</v>
      </c>
      <c r="L13" s="20" t="n">
        <v>0.24447442</v>
      </c>
      <c r="M13" s="18" t="n">
        <v>0</v>
      </c>
      <c r="N13" s="20" t="n">
        <v>0</v>
      </c>
      <c r="O13" s="18" t="n">
        <v>0</v>
      </c>
      <c r="P13" s="20" t="n">
        <v>0</v>
      </c>
      <c r="Q13" s="18" t="n">
        <v>0.21610866</v>
      </c>
      <c r="R13" s="20" t="n">
        <v>0.12492886</v>
      </c>
    </row>
    <row r="14" spans="1:18">
      <c r="A14" s="15" t="s">
        <v>438</v>
      </c>
      <c r="B14" s="17" t="n">
        <v>2799</v>
      </c>
      <c r="C14" s="18">
        <f>(2447.0/B14*100)</f>
        <v/>
      </c>
      <c r="D14" s="19" t="n">
        <v>352</v>
      </c>
      <c r="E14" s="18" t="n">
        <v>7.82887332</v>
      </c>
      <c r="F14" s="20" t="n">
        <v>1.6078655</v>
      </c>
      <c r="G14" s="18" t="n">
        <v>91.66136289000001</v>
      </c>
      <c r="H14" s="20" t="n">
        <v>1.65689488</v>
      </c>
      <c r="I14" s="18" t="s">
        <v>431</v>
      </c>
      <c r="J14" s="20" t="s">
        <v>431</v>
      </c>
      <c r="K14" s="18" t="n">
        <v>0.20678472</v>
      </c>
      <c r="L14" s="20" t="n">
        <v>0.2064504</v>
      </c>
      <c r="M14" s="18" t="n">
        <v>0</v>
      </c>
      <c r="N14" s="20" t="n">
        <v>0</v>
      </c>
      <c r="O14" s="18" t="n">
        <v>0</v>
      </c>
      <c r="P14" s="20" t="n">
        <v>0</v>
      </c>
      <c r="Q14" s="18" t="n">
        <v>0.30297907</v>
      </c>
      <c r="R14" s="20" t="n">
        <v>0.30474032</v>
      </c>
    </row>
    <row r="15" spans="1:18">
      <c r="A15" s="15" t="s">
        <v>439</v>
      </c>
      <c r="B15" s="17" t="n">
        <v>3019</v>
      </c>
      <c r="C15" s="18">
        <f>(2669.0/B15*100)</f>
        <v/>
      </c>
      <c r="D15" s="19" t="n">
        <v>350</v>
      </c>
      <c r="E15" s="18" t="n">
        <v>12.40026028</v>
      </c>
      <c r="F15" s="20" t="n">
        <v>1.74732933</v>
      </c>
      <c r="G15" s="18" t="n">
        <v>87.2502144</v>
      </c>
      <c r="H15" s="20" t="n">
        <v>1.73022021</v>
      </c>
      <c r="I15" s="18" t="s">
        <v>431</v>
      </c>
      <c r="J15" s="20" t="s">
        <v>431</v>
      </c>
      <c r="K15" s="18" t="n">
        <v>0</v>
      </c>
      <c r="L15" s="20" t="n">
        <v>0</v>
      </c>
      <c r="M15" s="18" t="n">
        <v>0</v>
      </c>
      <c r="N15" s="20" t="n">
        <v>0</v>
      </c>
      <c r="O15" s="18" t="n">
        <v>0</v>
      </c>
      <c r="P15" s="20" t="n">
        <v>0</v>
      </c>
      <c r="Q15" s="18" t="n">
        <v>0.34952532</v>
      </c>
      <c r="R15" s="20" t="n">
        <v>0.33889579</v>
      </c>
    </row>
    <row r="16" spans="1:18">
      <c r="A16" s="15" t="s">
        <v>440</v>
      </c>
      <c r="B16" s="17" t="n">
        <v>2997</v>
      </c>
      <c r="C16" s="18">
        <f>(2621.0/B16*100)</f>
        <v/>
      </c>
      <c r="D16" s="19" t="n">
        <v>376</v>
      </c>
      <c r="E16" s="18" t="n">
        <v>14.3854104</v>
      </c>
      <c r="F16" s="20" t="n">
        <v>1.60866906</v>
      </c>
      <c r="G16" s="18" t="n">
        <v>83.37853706999999</v>
      </c>
      <c r="H16" s="20" t="n">
        <v>1.68739737</v>
      </c>
      <c r="I16" s="18" t="s">
        <v>431</v>
      </c>
      <c r="J16" s="20" t="s">
        <v>431</v>
      </c>
      <c r="K16" s="18" t="n">
        <v>0.66128108</v>
      </c>
      <c r="L16" s="20" t="n">
        <v>0.48980691</v>
      </c>
      <c r="M16" s="18" t="n">
        <v>0</v>
      </c>
      <c r="N16" s="20" t="n">
        <v>0</v>
      </c>
      <c r="O16" s="18" t="n">
        <v>0</v>
      </c>
      <c r="P16" s="20" t="n">
        <v>0</v>
      </c>
      <c r="Q16" s="18" t="n">
        <v>1.57477145</v>
      </c>
      <c r="R16" s="20" t="n">
        <v>0.78407092</v>
      </c>
    </row>
    <row r="17" spans="1:18">
      <c r="A17" s="15" t="s">
        <v>441</v>
      </c>
      <c r="B17" s="17" t="n">
        <v>3307</v>
      </c>
      <c r="C17" s="18">
        <f>(2907.0/B17*100)</f>
        <v/>
      </c>
      <c r="D17" s="19" t="n">
        <v>400</v>
      </c>
      <c r="E17" s="18" t="n">
        <v>9.364470369999999</v>
      </c>
      <c r="F17" s="20" t="n">
        <v>1.38433091</v>
      </c>
      <c r="G17" s="18" t="n">
        <v>89.41743051</v>
      </c>
      <c r="H17" s="20" t="n">
        <v>1.56518412</v>
      </c>
      <c r="I17" s="18" t="s">
        <v>431</v>
      </c>
      <c r="J17" s="20" t="s">
        <v>431</v>
      </c>
      <c r="K17" s="18" t="n">
        <v>0.58985602</v>
      </c>
      <c r="L17" s="20" t="n">
        <v>0.39159447</v>
      </c>
      <c r="M17" s="18" t="n">
        <v>0</v>
      </c>
      <c r="N17" s="20" t="n">
        <v>0</v>
      </c>
      <c r="O17" s="18" t="n">
        <v>0</v>
      </c>
      <c r="P17" s="20" t="n">
        <v>0</v>
      </c>
      <c r="Q17" s="18" t="n">
        <v>0.6282431000000001</v>
      </c>
      <c r="R17" s="20" t="n">
        <v>0.39202465</v>
      </c>
    </row>
    <row r="18" spans="1:18">
      <c r="A18" s="15" t="s">
        <v>442</v>
      </c>
      <c r="B18" s="17" t="n">
        <v>2826</v>
      </c>
      <c r="C18" s="18">
        <f>(2464.0/B18*100)</f>
        <v/>
      </c>
      <c r="D18" s="19" t="n">
        <v>362</v>
      </c>
      <c r="E18" s="18" t="n">
        <v>21.71394994</v>
      </c>
      <c r="F18" s="20" t="n">
        <v>2.51865107</v>
      </c>
      <c r="G18" s="18" t="n">
        <v>77.18291526</v>
      </c>
      <c r="H18" s="20" t="n">
        <v>2.6320852</v>
      </c>
      <c r="I18" s="18" t="s">
        <v>431</v>
      </c>
      <c r="J18" s="20" t="s">
        <v>431</v>
      </c>
      <c r="K18" s="18" t="n">
        <v>0.33155666</v>
      </c>
      <c r="L18" s="20" t="n">
        <v>0.40844446</v>
      </c>
      <c r="M18" s="18" t="n">
        <v>0</v>
      </c>
      <c r="N18" s="20" t="n">
        <v>0</v>
      </c>
      <c r="O18" s="18" t="n">
        <v>0</v>
      </c>
      <c r="P18" s="20" t="n">
        <v>0</v>
      </c>
      <c r="Q18" s="18" t="n">
        <v>0.77157814</v>
      </c>
      <c r="R18" s="20" t="n">
        <v>0.59395147</v>
      </c>
    </row>
    <row r="19" spans="1:18">
      <c r="A19" s="15" t="s">
        <v>443</v>
      </c>
      <c r="B19" s="17" t="n">
        <v>2808</v>
      </c>
      <c r="C19" s="18">
        <f>(2460.0/B19*100)</f>
        <v/>
      </c>
      <c r="D19" s="19" t="n">
        <v>348</v>
      </c>
      <c r="E19" s="18" t="n">
        <v>16.42028909</v>
      </c>
      <c r="F19" s="20" t="n">
        <v>2.22036425</v>
      </c>
      <c r="G19" s="18" t="n">
        <v>83.35321236999999</v>
      </c>
      <c r="H19" s="20" t="n">
        <v>2.19832808</v>
      </c>
      <c r="I19" s="18" t="s">
        <v>431</v>
      </c>
      <c r="J19" s="20" t="s">
        <v>431</v>
      </c>
      <c r="K19" s="18" t="n">
        <v>0</v>
      </c>
      <c r="L19" s="20" t="n">
        <v>0</v>
      </c>
      <c r="M19" s="18" t="n">
        <v>0</v>
      </c>
      <c r="N19" s="20" t="n">
        <v>0</v>
      </c>
      <c r="O19" s="18" t="n">
        <v>0</v>
      </c>
      <c r="P19" s="20" t="n">
        <v>0</v>
      </c>
      <c r="Q19" s="18" t="n">
        <v>0.22649855</v>
      </c>
      <c r="R19" s="20" t="n">
        <v>0.22448891</v>
      </c>
    </row>
    <row r="20" spans="1:18">
      <c r="A20" s="15" t="s">
        <v>444</v>
      </c>
      <c r="B20" s="17" t="n">
        <v>1630</v>
      </c>
      <c r="C20" s="18">
        <f>(1425.0/B20*100)</f>
        <v/>
      </c>
      <c r="D20" s="19" t="n">
        <v>205</v>
      </c>
      <c r="E20" s="18" t="n">
        <v>16.99202572</v>
      </c>
      <c r="F20" s="20" t="n">
        <v>2.91967852</v>
      </c>
      <c r="G20" s="18" t="n">
        <v>82.49040857999999</v>
      </c>
      <c r="H20" s="20" t="n">
        <v>2.85520088</v>
      </c>
      <c r="I20" s="18" t="s">
        <v>431</v>
      </c>
      <c r="J20" s="20" t="s">
        <v>431</v>
      </c>
      <c r="K20" s="18" t="n">
        <v>0</v>
      </c>
      <c r="L20" s="20" t="n">
        <v>0</v>
      </c>
      <c r="M20" s="18" t="n">
        <v>0</v>
      </c>
      <c r="N20" s="20" t="n">
        <v>0</v>
      </c>
      <c r="O20" s="18" t="n">
        <v>0</v>
      </c>
      <c r="P20" s="20" t="n">
        <v>0</v>
      </c>
      <c r="Q20" s="18" t="n">
        <v>0.5175657</v>
      </c>
      <c r="R20" s="20" t="n">
        <v>0.5196084</v>
      </c>
    </row>
    <row r="21" spans="1:18">
      <c r="A21" s="15" t="s">
        <v>445</v>
      </c>
      <c r="B21" s="17" t="n">
        <v>2908</v>
      </c>
      <c r="C21" s="18">
        <f>(2442.0/B21*100)</f>
        <v/>
      </c>
      <c r="D21" s="19" t="n">
        <v>466</v>
      </c>
      <c r="E21" s="18" t="n">
        <v>8.50635138</v>
      </c>
      <c r="F21" s="20" t="n">
        <v>1.35787959</v>
      </c>
      <c r="G21" s="18" t="n">
        <v>91.34636876</v>
      </c>
      <c r="H21" s="20" t="n">
        <v>1.37152671</v>
      </c>
      <c r="I21" s="18" t="s">
        <v>431</v>
      </c>
      <c r="J21" s="20" t="s">
        <v>431</v>
      </c>
      <c r="K21" s="18" t="n">
        <v>0</v>
      </c>
      <c r="L21" s="20" t="n">
        <v>0</v>
      </c>
      <c r="M21" s="18" t="n">
        <v>0</v>
      </c>
      <c r="N21" s="20" t="n">
        <v>0</v>
      </c>
      <c r="O21" s="18" t="n">
        <v>0</v>
      </c>
      <c r="P21" s="20" t="n">
        <v>0</v>
      </c>
      <c r="Q21" s="18" t="n">
        <v>0.14727986</v>
      </c>
      <c r="R21" s="20" t="n">
        <v>0.11932061</v>
      </c>
    </row>
    <row r="22" spans="1:18">
      <c r="A22" s="15" t="s">
        <v>446</v>
      </c>
      <c r="B22" s="17" t="n">
        <v>2931</v>
      </c>
      <c r="C22" s="18">
        <f>(2583.0/B22*100)</f>
        <v/>
      </c>
      <c r="D22" s="19" t="n">
        <v>348</v>
      </c>
      <c r="E22" s="18" t="n">
        <v>16.23213356</v>
      </c>
      <c r="F22" s="20" t="n">
        <v>2.17585819</v>
      </c>
      <c r="G22" s="18" t="n">
        <v>82.8915484</v>
      </c>
      <c r="H22" s="20" t="n">
        <v>2.45527153</v>
      </c>
      <c r="I22" s="18" t="s">
        <v>431</v>
      </c>
      <c r="J22" s="20" t="s">
        <v>431</v>
      </c>
      <c r="K22" s="18" t="n">
        <v>0.21604443</v>
      </c>
      <c r="L22" s="20" t="n">
        <v>0.21640954</v>
      </c>
      <c r="M22" s="18" t="n">
        <v>0</v>
      </c>
      <c r="N22" s="20" t="n">
        <v>0</v>
      </c>
      <c r="O22" s="18" t="n">
        <v>0</v>
      </c>
      <c r="P22" s="20" t="n">
        <v>0</v>
      </c>
      <c r="Q22" s="18" t="n">
        <v>0.6602736</v>
      </c>
      <c r="R22" s="20" t="n">
        <v>0.51324467</v>
      </c>
    </row>
    <row r="23" spans="1:18">
      <c r="A23" s="15" t="s">
        <v>447</v>
      </c>
      <c r="B23" s="17" t="n">
        <v>5791</v>
      </c>
      <c r="C23" s="18">
        <f>(5100.0/B23*100)</f>
        <v/>
      </c>
      <c r="D23" s="19" t="n">
        <v>691</v>
      </c>
      <c r="E23" s="18" t="n">
        <v>8.708212489999999</v>
      </c>
      <c r="F23" s="20" t="n">
        <v>1.58836202</v>
      </c>
      <c r="G23" s="18" t="n">
        <v>89.84879433</v>
      </c>
      <c r="H23" s="20" t="n">
        <v>1.72017586</v>
      </c>
      <c r="I23" s="18" t="s">
        <v>431</v>
      </c>
      <c r="J23" s="20" t="s">
        <v>431</v>
      </c>
      <c r="K23" s="18" t="n">
        <v>0.45556382</v>
      </c>
      <c r="L23" s="20" t="n">
        <v>0.44460176</v>
      </c>
      <c r="M23" s="18" t="n">
        <v>0</v>
      </c>
      <c r="N23" s="20" t="n">
        <v>0</v>
      </c>
      <c r="O23" s="18" t="n">
        <v>0</v>
      </c>
      <c r="P23" s="20" t="n">
        <v>0</v>
      </c>
      <c r="Q23" s="18" t="n">
        <v>0.98742936</v>
      </c>
      <c r="R23" s="20" t="n">
        <v>0.67360118</v>
      </c>
    </row>
    <row r="24" spans="1:18">
      <c r="A24" s="15" t="s">
        <v>448</v>
      </c>
      <c r="B24" s="17" t="n">
        <v>3338</v>
      </c>
      <c r="C24" s="18">
        <f>(2931.0/B24*100)</f>
        <v/>
      </c>
      <c r="D24" s="19" t="n">
        <v>407</v>
      </c>
      <c r="E24" s="18" t="n">
        <v>21.66828854</v>
      </c>
      <c r="F24" s="20" t="n">
        <v>2.21017083</v>
      </c>
      <c r="G24" s="18" t="n">
        <v>77.10450387</v>
      </c>
      <c r="H24" s="20" t="n">
        <v>2.40689108</v>
      </c>
      <c r="I24" s="18" t="s">
        <v>431</v>
      </c>
      <c r="J24" s="20" t="s">
        <v>431</v>
      </c>
      <c r="K24" s="18" t="n">
        <v>0</v>
      </c>
      <c r="L24" s="20" t="n">
        <v>0</v>
      </c>
      <c r="M24" s="18" t="n">
        <v>0</v>
      </c>
      <c r="N24" s="20" t="n">
        <v>0</v>
      </c>
      <c r="O24" s="18" t="n">
        <v>0</v>
      </c>
      <c r="P24" s="20" t="n">
        <v>0</v>
      </c>
      <c r="Q24" s="18" t="n">
        <v>1.22720759</v>
      </c>
      <c r="R24" s="20" t="n">
        <v>0.54014839</v>
      </c>
    </row>
    <row r="25" spans="1:18">
      <c r="A25" s="15" t="s">
        <v>449</v>
      </c>
      <c r="B25" s="17" t="n">
        <v>2912</v>
      </c>
      <c r="C25" s="18">
        <f>(2541.0/B25*100)</f>
        <v/>
      </c>
      <c r="D25" s="19" t="n">
        <v>371</v>
      </c>
      <c r="E25" s="18" t="n">
        <v>16.81229885</v>
      </c>
      <c r="F25" s="20" t="n">
        <v>2.2060004</v>
      </c>
      <c r="G25" s="18" t="n">
        <v>82.33692195</v>
      </c>
      <c r="H25" s="20" t="n">
        <v>2.33338718</v>
      </c>
      <c r="I25" s="18" t="s">
        <v>431</v>
      </c>
      <c r="J25" s="20" t="s">
        <v>431</v>
      </c>
      <c r="K25" s="18" t="n">
        <v>0</v>
      </c>
      <c r="L25" s="20" t="n">
        <v>0</v>
      </c>
      <c r="M25" s="18" t="n">
        <v>0</v>
      </c>
      <c r="N25" s="20" t="n">
        <v>0</v>
      </c>
      <c r="O25" s="18" t="n">
        <v>0</v>
      </c>
      <c r="P25" s="20" t="n">
        <v>0</v>
      </c>
      <c r="Q25" s="18" t="n">
        <v>0.85077921</v>
      </c>
      <c r="R25" s="20" t="n">
        <v>0.49336278</v>
      </c>
    </row>
    <row r="26" spans="1:18">
      <c r="A26" s="15" t="s">
        <v>450</v>
      </c>
      <c r="B26" s="17" t="n">
        <v>2450</v>
      </c>
      <c r="C26" s="18">
        <f>(2160.0/B26*100)</f>
        <v/>
      </c>
      <c r="D26" s="19" t="n">
        <v>290</v>
      </c>
      <c r="E26" s="18" t="n">
        <v>8.47332961</v>
      </c>
      <c r="F26" s="20" t="n">
        <v>1.95531527</v>
      </c>
      <c r="G26" s="18" t="n">
        <v>90.28282317999999</v>
      </c>
      <c r="H26" s="20" t="n">
        <v>2.08094553</v>
      </c>
      <c r="I26" s="18" t="s">
        <v>431</v>
      </c>
      <c r="J26" s="20" t="s">
        <v>431</v>
      </c>
      <c r="K26" s="18" t="n">
        <v>0</v>
      </c>
      <c r="L26" s="20" t="n">
        <v>0</v>
      </c>
      <c r="M26" s="18" t="n">
        <v>0</v>
      </c>
      <c r="N26" s="20" t="n">
        <v>0</v>
      </c>
      <c r="O26" s="18" t="n">
        <v>0</v>
      </c>
      <c r="P26" s="20" t="n">
        <v>0</v>
      </c>
      <c r="Q26" s="18" t="n">
        <v>1.24384721</v>
      </c>
      <c r="R26" s="20" t="n">
        <v>0.77758852</v>
      </c>
    </row>
    <row r="27" spans="1:18">
      <c r="A27" s="15" t="s">
        <v>451</v>
      </c>
      <c r="B27" s="17" t="n">
        <v>2616</v>
      </c>
      <c r="C27" s="18">
        <f>(2281.0/B27*100)</f>
        <v/>
      </c>
      <c r="D27" s="19" t="n">
        <v>335</v>
      </c>
      <c r="E27" s="18" t="n">
        <v>13.92317532</v>
      </c>
      <c r="F27" s="20" t="n">
        <v>1.72785468</v>
      </c>
      <c r="G27" s="18" t="n">
        <v>84.87440407</v>
      </c>
      <c r="H27" s="20" t="n">
        <v>1.85410642</v>
      </c>
      <c r="I27" s="18" t="s">
        <v>431</v>
      </c>
      <c r="J27" s="20" t="s">
        <v>431</v>
      </c>
      <c r="K27" s="18" t="n">
        <v>0</v>
      </c>
      <c r="L27" s="20" t="n">
        <v>0</v>
      </c>
      <c r="M27" s="18" t="n">
        <v>0</v>
      </c>
      <c r="N27" s="20" t="n">
        <v>0</v>
      </c>
      <c r="O27" s="18" t="n">
        <v>0</v>
      </c>
      <c r="P27" s="20" t="n">
        <v>0</v>
      </c>
      <c r="Q27" s="18" t="n">
        <v>1.20242061</v>
      </c>
      <c r="R27" s="20" t="n">
        <v>0.58787292</v>
      </c>
    </row>
    <row r="28" spans="1:18">
      <c r="A28" s="15" t="s">
        <v>452</v>
      </c>
      <c r="B28" s="17" t="n">
        <v>3765</v>
      </c>
      <c r="C28" s="18">
        <f>(3340.0/B28*100)</f>
        <v/>
      </c>
      <c r="D28" s="19" t="n">
        <v>425</v>
      </c>
      <c r="E28" s="18" t="n">
        <v>27.28843063</v>
      </c>
      <c r="F28" s="20" t="n">
        <v>2.50692174</v>
      </c>
      <c r="G28" s="18" t="n">
        <v>72.03318154999999</v>
      </c>
      <c r="H28" s="20" t="n">
        <v>2.59941465</v>
      </c>
      <c r="I28" s="18" t="s">
        <v>431</v>
      </c>
      <c r="J28" s="20" t="s">
        <v>431</v>
      </c>
      <c r="K28" s="18" t="n">
        <v>0</v>
      </c>
      <c r="L28" s="20" t="n">
        <v>0</v>
      </c>
      <c r="M28" s="18" t="n">
        <v>0</v>
      </c>
      <c r="N28" s="20" t="n">
        <v>0</v>
      </c>
      <c r="O28" s="18" t="n">
        <v>0</v>
      </c>
      <c r="P28" s="20" t="n">
        <v>0</v>
      </c>
      <c r="Q28" s="18" t="n">
        <v>0.67838782</v>
      </c>
      <c r="R28" s="20" t="n">
        <v>0.49871517</v>
      </c>
    </row>
    <row r="29" spans="1:18">
      <c r="A29" s="15" t="s">
        <v>453</v>
      </c>
      <c r="B29" s="17" t="n">
        <v>2685</v>
      </c>
      <c r="C29" s="18">
        <f>(2368.0/B29*100)</f>
        <v/>
      </c>
      <c r="D29" s="19" t="n">
        <v>317</v>
      </c>
      <c r="E29" s="18" t="n">
        <v>17.52170135</v>
      </c>
      <c r="F29" s="20" t="n">
        <v>2.27774009</v>
      </c>
      <c r="G29" s="18" t="n">
        <v>81.69330254</v>
      </c>
      <c r="H29" s="20" t="n">
        <v>2.25233887</v>
      </c>
      <c r="I29" s="18" t="s">
        <v>431</v>
      </c>
      <c r="J29" s="20" t="s">
        <v>431</v>
      </c>
      <c r="K29" s="18" t="n">
        <v>0</v>
      </c>
      <c r="L29" s="20" t="n">
        <v>0</v>
      </c>
      <c r="M29" s="18" t="n">
        <v>0</v>
      </c>
      <c r="N29" s="20" t="n">
        <v>0</v>
      </c>
      <c r="O29" s="18" t="n">
        <v>0</v>
      </c>
      <c r="P29" s="20" t="n">
        <v>0</v>
      </c>
      <c r="Q29" s="18" t="n">
        <v>0.78499611</v>
      </c>
      <c r="R29" s="20" t="n">
        <v>0.55635869</v>
      </c>
    </row>
    <row r="30" spans="1:18">
      <c r="A30" s="15" t="s">
        <v>454</v>
      </c>
      <c r="B30" s="17" t="n">
        <v>2263</v>
      </c>
      <c r="C30" s="18">
        <f>(1990.0/B30*100)</f>
        <v/>
      </c>
      <c r="D30" s="19" t="n">
        <v>273</v>
      </c>
      <c r="E30" s="18" t="n">
        <v>14.94405314</v>
      </c>
      <c r="F30" s="20" t="n">
        <v>2.24505038</v>
      </c>
      <c r="G30" s="18" t="n">
        <v>84.39102941</v>
      </c>
      <c r="H30" s="20" t="n">
        <v>2.26813761</v>
      </c>
      <c r="I30" s="18" t="s">
        <v>431</v>
      </c>
      <c r="J30" s="20" t="s">
        <v>431</v>
      </c>
      <c r="K30" s="18" t="n">
        <v>0.3103122</v>
      </c>
      <c r="L30" s="20" t="n">
        <v>0.31402723</v>
      </c>
      <c r="M30" s="18" t="n">
        <v>0</v>
      </c>
      <c r="N30" s="20" t="n">
        <v>0</v>
      </c>
      <c r="O30" s="18" t="n">
        <v>0</v>
      </c>
      <c r="P30" s="20" t="n">
        <v>0</v>
      </c>
      <c r="Q30" s="18" t="n">
        <v>0.35460525</v>
      </c>
      <c r="R30" s="20" t="n">
        <v>0.36662896</v>
      </c>
    </row>
    <row r="31" spans="1:18">
      <c r="A31" s="15" t="s">
        <v>455</v>
      </c>
      <c r="B31" s="17" t="n">
        <v>2750</v>
      </c>
      <c r="C31" s="18">
        <f>(2394.0/B31*100)</f>
        <v/>
      </c>
      <c r="D31" s="19" t="n">
        <v>356</v>
      </c>
      <c r="E31" s="18" t="n">
        <v>16.32937254</v>
      </c>
      <c r="F31" s="20" t="n">
        <v>2.01797568</v>
      </c>
      <c r="G31" s="18" t="n">
        <v>82.81338337</v>
      </c>
      <c r="H31" s="20" t="n">
        <v>2.01483129</v>
      </c>
      <c r="I31" s="18" t="s">
        <v>431</v>
      </c>
      <c r="J31" s="20" t="s">
        <v>431</v>
      </c>
      <c r="K31" s="18" t="n">
        <v>0.2641764</v>
      </c>
      <c r="L31" s="20" t="n">
        <v>0.25467764</v>
      </c>
      <c r="M31" s="18" t="n">
        <v>0</v>
      </c>
      <c r="N31" s="20" t="n">
        <v>0</v>
      </c>
      <c r="O31" s="18" t="n">
        <v>0</v>
      </c>
      <c r="P31" s="20" t="n">
        <v>0</v>
      </c>
      <c r="Q31" s="18" t="n">
        <v>0.59306769</v>
      </c>
      <c r="R31" s="20" t="n">
        <v>0.44102722</v>
      </c>
    </row>
    <row r="32" spans="1:18">
      <c r="A32" s="15" t="s">
        <v>456</v>
      </c>
      <c r="B32" s="17" t="n">
        <v>2269</v>
      </c>
      <c r="C32" s="18">
        <f>(1891.0/B32*100)</f>
        <v/>
      </c>
      <c r="D32" s="19" t="n">
        <v>378</v>
      </c>
      <c r="E32" s="18" t="n">
        <v>11.600141</v>
      </c>
      <c r="F32" s="20" t="n">
        <v>1.65564341</v>
      </c>
      <c r="G32" s="18" t="n">
        <v>87.65603271000001</v>
      </c>
      <c r="H32" s="20" t="n">
        <v>1.69746876</v>
      </c>
      <c r="I32" s="18" t="s">
        <v>431</v>
      </c>
      <c r="J32" s="20" t="s">
        <v>431</v>
      </c>
      <c r="K32" s="18" t="n">
        <v>0.23549774</v>
      </c>
      <c r="L32" s="20" t="n">
        <v>0.23576147</v>
      </c>
      <c r="M32" s="18" t="n">
        <v>0</v>
      </c>
      <c r="N32" s="20" t="n">
        <v>0</v>
      </c>
      <c r="O32" s="18" t="n">
        <v>0</v>
      </c>
      <c r="P32" s="20" t="n">
        <v>0</v>
      </c>
      <c r="Q32" s="18" t="n">
        <v>0.50832855</v>
      </c>
      <c r="R32" s="20" t="n">
        <v>0.36169298</v>
      </c>
    </row>
    <row r="33" spans="1:18">
      <c r="A33" s="15" t="s">
        <v>457</v>
      </c>
      <c r="B33" s="17" t="n">
        <v>3674</v>
      </c>
      <c r="C33" s="18">
        <f>(3209.0/B33*100)</f>
        <v/>
      </c>
      <c r="D33" s="19" t="n">
        <v>465</v>
      </c>
      <c r="E33" s="18" t="n">
        <v>9.681742809999999</v>
      </c>
      <c r="F33" s="20" t="n">
        <v>1.37930756</v>
      </c>
      <c r="G33" s="18" t="n">
        <v>88.57716004</v>
      </c>
      <c r="H33" s="20" t="n">
        <v>1.56704123</v>
      </c>
      <c r="I33" s="18" t="s">
        <v>431</v>
      </c>
      <c r="J33" s="20" t="s">
        <v>431</v>
      </c>
      <c r="K33" s="18" t="n">
        <v>0.64607489</v>
      </c>
      <c r="L33" s="20" t="n">
        <v>0.52222184</v>
      </c>
      <c r="M33" s="18" t="n">
        <v>0</v>
      </c>
      <c r="N33" s="20" t="n">
        <v>0</v>
      </c>
      <c r="O33" s="18" t="n">
        <v>0</v>
      </c>
      <c r="P33" s="20" t="n">
        <v>0</v>
      </c>
      <c r="Q33" s="18" t="n">
        <v>1.09502226</v>
      </c>
      <c r="R33" s="20" t="n">
        <v>0.45051019</v>
      </c>
    </row>
    <row r="34" spans="1:18">
      <c r="A34" s="15" t="s">
        <v>458</v>
      </c>
      <c r="B34" s="17" t="n">
        <v>3315</v>
      </c>
      <c r="C34" s="18">
        <f>(2914.0/B34*100)</f>
        <v/>
      </c>
      <c r="D34" s="19" t="n">
        <v>401</v>
      </c>
      <c r="E34" s="18" t="n">
        <v>15.60903241</v>
      </c>
      <c r="F34" s="20" t="n">
        <v>1.89711067</v>
      </c>
      <c r="G34" s="18" t="n">
        <v>84.00481082</v>
      </c>
      <c r="H34" s="20" t="n">
        <v>1.89818546</v>
      </c>
      <c r="I34" s="18" t="s">
        <v>431</v>
      </c>
      <c r="J34" s="20" t="s">
        <v>431</v>
      </c>
      <c r="K34" s="18" t="n">
        <v>0</v>
      </c>
      <c r="L34" s="20" t="n">
        <v>0</v>
      </c>
      <c r="M34" s="18" t="n">
        <v>0</v>
      </c>
      <c r="N34" s="20" t="n">
        <v>0</v>
      </c>
      <c r="O34" s="18" t="n">
        <v>0</v>
      </c>
      <c r="P34" s="20" t="n">
        <v>0</v>
      </c>
      <c r="Q34" s="18" t="n">
        <v>0.38615678</v>
      </c>
      <c r="R34" s="20" t="n">
        <v>0.27596159</v>
      </c>
    </row>
    <row r="35" spans="1:18">
      <c r="A35" s="15" t="s">
        <v>459</v>
      </c>
      <c r="B35" s="17" t="n">
        <v>3505</v>
      </c>
      <c r="C35" s="18">
        <f>(3087.0/B35*100)</f>
        <v/>
      </c>
      <c r="D35" s="19" t="n">
        <v>418</v>
      </c>
      <c r="E35" s="18" t="n">
        <v>7.83065027</v>
      </c>
      <c r="F35" s="20" t="n">
        <v>1.81813032</v>
      </c>
      <c r="G35" s="18" t="n">
        <v>91.73810165</v>
      </c>
      <c r="H35" s="20" t="n">
        <v>1.82574015</v>
      </c>
      <c r="I35" s="18" t="s">
        <v>431</v>
      </c>
      <c r="J35" s="20" t="s">
        <v>431</v>
      </c>
      <c r="K35" s="18" t="n">
        <v>0</v>
      </c>
      <c r="L35" s="20" t="n">
        <v>0</v>
      </c>
      <c r="M35" s="18" t="n">
        <v>0</v>
      </c>
      <c r="N35" s="20" t="n">
        <v>0</v>
      </c>
      <c r="O35" s="18" t="n">
        <v>0</v>
      </c>
      <c r="P35" s="20" t="n">
        <v>0</v>
      </c>
      <c r="Q35" s="18" t="n">
        <v>0.43124808</v>
      </c>
      <c r="R35" s="20" t="n">
        <v>0.21745314</v>
      </c>
    </row>
    <row r="36" spans="1:18">
      <c r="A36" s="15" t="s">
        <v>460</v>
      </c>
      <c r="B36" s="17" t="n">
        <v>3332</v>
      </c>
      <c r="C36" s="18">
        <f>(2924.0/B36*100)</f>
        <v/>
      </c>
      <c r="D36" s="19" t="n">
        <v>408</v>
      </c>
      <c r="E36" s="18" t="n">
        <v>11.02813814</v>
      </c>
      <c r="F36" s="20" t="n">
        <v>1.74588912</v>
      </c>
      <c r="G36" s="18" t="n">
        <v>87.38150555</v>
      </c>
      <c r="H36" s="20" t="n">
        <v>1.83688705</v>
      </c>
      <c r="I36" s="18" t="s">
        <v>431</v>
      </c>
      <c r="J36" s="20" t="s">
        <v>431</v>
      </c>
      <c r="K36" s="18" t="n">
        <v>0.33111283</v>
      </c>
      <c r="L36" s="20" t="n">
        <v>0.22860838</v>
      </c>
      <c r="M36" s="18" t="n">
        <v>0</v>
      </c>
      <c r="N36" s="20" t="n">
        <v>0</v>
      </c>
      <c r="O36" s="18" t="n">
        <v>0</v>
      </c>
      <c r="P36" s="20" t="n">
        <v>0</v>
      </c>
      <c r="Q36" s="18" t="n">
        <v>1.25924348</v>
      </c>
      <c r="R36" s="20" t="n">
        <v>0.71611387</v>
      </c>
    </row>
    <row r="37" spans="1:18">
      <c r="A37" s="15" t="s">
        <v>461</v>
      </c>
      <c r="B37" s="17" t="n">
        <v>2727</v>
      </c>
      <c r="C37" s="18">
        <f>(2397.0/B37*100)</f>
        <v/>
      </c>
      <c r="D37" s="19" t="n">
        <v>330</v>
      </c>
      <c r="E37" s="18" t="n">
        <v>12.77913735</v>
      </c>
      <c r="F37" s="20" t="n">
        <v>1.73199202</v>
      </c>
      <c r="G37" s="18" t="n">
        <v>85.96651110000001</v>
      </c>
      <c r="H37" s="20" t="n">
        <v>1.83291585</v>
      </c>
      <c r="I37" s="18" t="s">
        <v>431</v>
      </c>
      <c r="J37" s="20" t="s">
        <v>431</v>
      </c>
      <c r="K37" s="18" t="n">
        <v>0.32509015</v>
      </c>
      <c r="L37" s="20" t="n">
        <v>0.32439499</v>
      </c>
      <c r="M37" s="18" t="n">
        <v>0</v>
      </c>
      <c r="N37" s="20" t="n">
        <v>0</v>
      </c>
      <c r="O37" s="18" t="n">
        <v>0</v>
      </c>
      <c r="P37" s="20" t="n">
        <v>0</v>
      </c>
      <c r="Q37" s="18" t="n">
        <v>0.9292614</v>
      </c>
      <c r="R37" s="20" t="n">
        <v>0.53698771</v>
      </c>
    </row>
    <row r="38" spans="1:18">
      <c r="A38" s="15" t="s">
        <v>462</v>
      </c>
      <c r="B38" s="17" t="n">
        <v>3053</v>
      </c>
      <c r="C38" s="18">
        <f>(2536.0/B38*100)</f>
        <v/>
      </c>
      <c r="D38" s="19" t="n">
        <v>517</v>
      </c>
      <c r="E38" s="18" t="n">
        <v>13.92425031</v>
      </c>
      <c r="F38" s="20" t="n">
        <v>1.86600477</v>
      </c>
      <c r="G38" s="18" t="n">
        <v>84.96915099</v>
      </c>
      <c r="H38" s="20" t="n">
        <v>1.9251362</v>
      </c>
      <c r="I38" s="18" t="s">
        <v>431</v>
      </c>
      <c r="J38" s="20" t="s">
        <v>431</v>
      </c>
      <c r="K38" s="18" t="n">
        <v>0.16936585</v>
      </c>
      <c r="L38" s="20" t="n">
        <v>0.14786575</v>
      </c>
      <c r="M38" s="18" t="n">
        <v>0</v>
      </c>
      <c r="N38" s="20" t="n">
        <v>0</v>
      </c>
      <c r="O38" s="18" t="n">
        <v>0</v>
      </c>
      <c r="P38" s="20" t="n">
        <v>0</v>
      </c>
      <c r="Q38" s="18" t="n">
        <v>0.93723285</v>
      </c>
      <c r="R38" s="20" t="n">
        <v>0.54806119</v>
      </c>
    </row>
    <row r="39" spans="1:18">
      <c r="A39" s="15" t="s">
        <v>463</v>
      </c>
      <c r="B39" s="17" t="n">
        <v>2957</v>
      </c>
      <c r="C39" s="18">
        <f>(2592.0/B39*100)</f>
        <v/>
      </c>
      <c r="D39" s="19" t="n">
        <v>365</v>
      </c>
      <c r="E39" s="18" t="n">
        <v>29.60216476</v>
      </c>
      <c r="F39" s="20" t="n">
        <v>2.66155464</v>
      </c>
      <c r="G39" s="18" t="n">
        <v>69.34880683999999</v>
      </c>
      <c r="H39" s="20" t="n">
        <v>2.54943435</v>
      </c>
      <c r="I39" s="18" t="s">
        <v>431</v>
      </c>
      <c r="J39" s="20" t="s">
        <v>431</v>
      </c>
      <c r="K39" s="18" t="n">
        <v>0</v>
      </c>
      <c r="L39" s="20" t="n">
        <v>0</v>
      </c>
      <c r="M39" s="18" t="n">
        <v>0</v>
      </c>
      <c r="N39" s="20" t="n">
        <v>0</v>
      </c>
      <c r="O39" s="18" t="n">
        <v>0</v>
      </c>
      <c r="P39" s="20" t="n">
        <v>0</v>
      </c>
      <c r="Q39" s="18" t="n">
        <v>1.0490284</v>
      </c>
      <c r="R39" s="20" t="n">
        <v>0.55742692</v>
      </c>
    </row>
    <row r="40" spans="1:18">
      <c r="A40" s="15" t="s">
        <v>464</v>
      </c>
      <c r="B40" s="17" t="n">
        <v>7235</v>
      </c>
      <c r="C40" s="18">
        <f>(6352.0/B40*100)</f>
        <v/>
      </c>
      <c r="D40" s="19" t="n">
        <v>883</v>
      </c>
      <c r="E40" s="18" t="n">
        <v>14.44384923</v>
      </c>
      <c r="F40" s="20" t="n">
        <v>1.90769819</v>
      </c>
      <c r="G40" s="18" t="n">
        <v>84.65224535999999</v>
      </c>
      <c r="H40" s="20" t="n">
        <v>1.94786748</v>
      </c>
      <c r="I40" s="18" t="s">
        <v>431</v>
      </c>
      <c r="J40" s="20" t="s">
        <v>431</v>
      </c>
      <c r="K40" s="18" t="n">
        <v>0.3576814</v>
      </c>
      <c r="L40" s="20" t="n">
        <v>0.24630493</v>
      </c>
      <c r="M40" s="18" t="n">
        <v>0</v>
      </c>
      <c r="N40" s="20" t="n">
        <v>0</v>
      </c>
      <c r="O40" s="18" t="n">
        <v>0</v>
      </c>
      <c r="P40" s="20" t="n">
        <v>0</v>
      </c>
      <c r="Q40" s="18" t="n">
        <v>0.546224</v>
      </c>
      <c r="R40" s="20" t="n">
        <v>0.3786118</v>
      </c>
    </row>
    <row r="41" spans="1:18">
      <c r="A41" s="15" t="s">
        <v>465</v>
      </c>
      <c r="B41" s="17" t="n">
        <v>2858</v>
      </c>
      <c r="C41" s="18">
        <f>(2504.0/B41*100)</f>
        <v/>
      </c>
      <c r="D41" s="19" t="n">
        <v>354</v>
      </c>
      <c r="E41" s="18" t="n">
        <v>15.09438182</v>
      </c>
      <c r="F41" s="20" t="n">
        <v>2.1350139</v>
      </c>
      <c r="G41" s="18" t="n">
        <v>83.66166785999999</v>
      </c>
      <c r="H41" s="20" t="n">
        <v>2.30455285</v>
      </c>
      <c r="I41" s="18" t="s">
        <v>431</v>
      </c>
      <c r="J41" s="20" t="s">
        <v>431</v>
      </c>
      <c r="K41" s="18" t="n">
        <v>0</v>
      </c>
      <c r="L41" s="20" t="n">
        <v>0</v>
      </c>
      <c r="M41" s="18" t="n">
        <v>0</v>
      </c>
      <c r="N41" s="20" t="n">
        <v>0</v>
      </c>
      <c r="O41" s="18" t="n">
        <v>0</v>
      </c>
      <c r="P41" s="20" t="n">
        <v>0</v>
      </c>
      <c r="Q41" s="18" t="n">
        <v>1.24395032</v>
      </c>
      <c r="R41" s="20" t="n">
        <v>0.55081366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(9801.0/B46*100)</f>
        <v/>
      </c>
      <c r="D46" s="19" t="n">
        <v>1267</v>
      </c>
      <c r="E46" s="18" t="n">
        <v>22.85968792</v>
      </c>
      <c r="F46" s="20" t="n">
        <v>1.54168839</v>
      </c>
      <c r="G46" s="18" t="n">
        <v>75.56357034</v>
      </c>
      <c r="H46" s="20" t="n">
        <v>1.5896488</v>
      </c>
      <c r="I46" s="18" t="s">
        <v>431</v>
      </c>
      <c r="J46" s="20" t="s">
        <v>431</v>
      </c>
      <c r="K46" s="18" t="n">
        <v>0.26400166</v>
      </c>
      <c r="L46" s="20" t="n">
        <v>0.11685629</v>
      </c>
      <c r="M46" s="18" t="n">
        <v>0</v>
      </c>
      <c r="N46" s="20" t="n">
        <v>0</v>
      </c>
      <c r="O46" s="18" t="n">
        <v>0</v>
      </c>
      <c r="P46" s="20" t="n">
        <v>0</v>
      </c>
      <c r="Q46" s="18" t="n">
        <v>1.31274008</v>
      </c>
      <c r="R46" s="20" t="n">
        <v>0.33832065</v>
      </c>
    </row>
    <row r="47" spans="1:18">
      <c r="A47" s="15" t="s">
        <v>471</v>
      </c>
      <c r="B47" s="17" t="n">
        <v>3105</v>
      </c>
      <c r="C47" s="18">
        <f>(2727.0/B47*100)</f>
        <v/>
      </c>
      <c r="D47" s="19" t="n">
        <v>378</v>
      </c>
      <c r="E47" s="18" t="n">
        <v>18.20256393</v>
      </c>
      <c r="F47" s="20" t="n">
        <v>2.19890372</v>
      </c>
      <c r="G47" s="18" t="n">
        <v>79.69241928</v>
      </c>
      <c r="H47" s="20" t="n">
        <v>2.33114987</v>
      </c>
      <c r="I47" s="18" t="s">
        <v>431</v>
      </c>
      <c r="J47" s="20" t="s">
        <v>431</v>
      </c>
      <c r="K47" s="18" t="n">
        <v>0.24424948</v>
      </c>
      <c r="L47" s="20" t="n">
        <v>0.25056578</v>
      </c>
      <c r="M47" s="18" t="n">
        <v>0</v>
      </c>
      <c r="N47" s="20" t="n">
        <v>0</v>
      </c>
      <c r="O47" s="18" t="n">
        <v>0</v>
      </c>
      <c r="P47" s="20" t="n">
        <v>0</v>
      </c>
      <c r="Q47" s="18" t="n">
        <v>1.86076731</v>
      </c>
      <c r="R47" s="20" t="n">
        <v>0.7295274899999999</v>
      </c>
    </row>
    <row r="48" spans="1:18">
      <c r="A48" s="15" t="s">
        <v>472</v>
      </c>
      <c r="B48" s="17" t="n">
        <v>5159</v>
      </c>
      <c r="C48" s="18">
        <f>(4501.0/B48*100)</f>
        <v/>
      </c>
      <c r="D48" s="19" t="n">
        <v>658</v>
      </c>
      <c r="E48" s="18" t="n">
        <v>16.79482209</v>
      </c>
      <c r="F48" s="20" t="n">
        <v>1.69401893</v>
      </c>
      <c r="G48" s="18" t="n">
        <v>81.58380102</v>
      </c>
      <c r="H48" s="20" t="n">
        <v>1.73758841</v>
      </c>
      <c r="I48" s="18" t="s">
        <v>431</v>
      </c>
      <c r="J48" s="20" t="s">
        <v>431</v>
      </c>
      <c r="K48" s="18" t="n">
        <v>0.20238115</v>
      </c>
      <c r="L48" s="20" t="n">
        <v>0.20216657</v>
      </c>
      <c r="M48" s="18" t="n">
        <v>0</v>
      </c>
      <c r="N48" s="20" t="n">
        <v>0</v>
      </c>
      <c r="O48" s="18" t="n">
        <v>0</v>
      </c>
      <c r="P48" s="20" t="n">
        <v>0</v>
      </c>
      <c r="Q48" s="18" t="n">
        <v>1.41899575</v>
      </c>
      <c r="R48" s="20" t="n">
        <v>0.60629819</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(4977.0/B50*100)</f>
        <v/>
      </c>
      <c r="D50" s="19" t="n">
        <v>660</v>
      </c>
      <c r="E50" s="18" t="n">
        <v>17.39166544</v>
      </c>
      <c r="F50" s="20" t="n">
        <v>2.14743895</v>
      </c>
      <c r="G50" s="18" t="n">
        <v>80.75102922000001</v>
      </c>
      <c r="H50" s="20" t="n">
        <v>2.22536718</v>
      </c>
      <c r="I50" s="18" t="s">
        <v>431</v>
      </c>
      <c r="J50" s="20" t="s">
        <v>431</v>
      </c>
      <c r="K50" s="18" t="n">
        <v>1.18135137</v>
      </c>
      <c r="L50" s="20" t="n">
        <v>0.5843754</v>
      </c>
      <c r="M50" s="18" t="n">
        <v>0</v>
      </c>
      <c r="N50" s="20" t="n">
        <v>0</v>
      </c>
      <c r="O50" s="18" t="n">
        <v>0</v>
      </c>
      <c r="P50" s="20" t="n">
        <v>0</v>
      </c>
      <c r="Q50" s="18" t="n">
        <v>0.67595397</v>
      </c>
      <c r="R50" s="20" t="n">
        <v>0.62998276</v>
      </c>
    </row>
    <row r="51" spans="1:18">
      <c r="A51" s="15" t="s">
        <v>475</v>
      </c>
      <c r="B51" s="17" t="n">
        <v>3372</v>
      </c>
      <c r="C51" s="18">
        <f>(3040.0/B51*100)</f>
        <v/>
      </c>
      <c r="D51" s="19" t="n">
        <v>332</v>
      </c>
      <c r="E51" s="18" t="n">
        <v>15.2787404</v>
      </c>
      <c r="F51" s="20" t="n">
        <v>1.94992289</v>
      </c>
      <c r="G51" s="18" t="n">
        <v>84.27776546</v>
      </c>
      <c r="H51" s="20" t="n">
        <v>1.94469717</v>
      </c>
      <c r="I51" s="18" t="s">
        <v>431</v>
      </c>
      <c r="J51" s="20" t="s">
        <v>431</v>
      </c>
      <c r="K51" s="18" t="n">
        <v>0.44349414</v>
      </c>
      <c r="L51" s="20" t="n">
        <v>0.39694553</v>
      </c>
      <c r="M51" s="18" t="n">
        <v>0</v>
      </c>
      <c r="N51" s="20" t="n">
        <v>0</v>
      </c>
      <c r="O51" s="18" t="n">
        <v>0</v>
      </c>
      <c r="P51" s="20" t="n">
        <v>0</v>
      </c>
      <c r="Q51" s="18" t="n">
        <v>0</v>
      </c>
      <c r="R51" s="20" t="n">
        <v>0</v>
      </c>
    </row>
    <row r="52" spans="1:18">
      <c r="A52" s="15" t="s">
        <v>476</v>
      </c>
      <c r="B52" s="17" t="n">
        <v>2796</v>
      </c>
      <c r="C52" s="18">
        <f>(2447.0/B52*100)</f>
        <v/>
      </c>
      <c r="D52" s="19" t="n">
        <v>349</v>
      </c>
      <c r="E52" s="18" t="n">
        <v>9.662334599999999</v>
      </c>
      <c r="F52" s="20" t="n">
        <v>1.68807814</v>
      </c>
      <c r="G52" s="18" t="n">
        <v>89.27129324000001</v>
      </c>
      <c r="H52" s="20" t="n">
        <v>1.80496777</v>
      </c>
      <c r="I52" s="18" t="s">
        <v>431</v>
      </c>
      <c r="J52" s="20" t="s">
        <v>431</v>
      </c>
      <c r="K52" s="18" t="n">
        <v>0</v>
      </c>
      <c r="L52" s="20" t="n">
        <v>0</v>
      </c>
      <c r="M52" s="18" t="n">
        <v>0</v>
      </c>
      <c r="N52" s="20" t="n">
        <v>0</v>
      </c>
      <c r="O52" s="18" t="n">
        <v>0</v>
      </c>
      <c r="P52" s="20" t="n">
        <v>0</v>
      </c>
      <c r="Q52" s="18" t="n">
        <v>1.06637216</v>
      </c>
      <c r="R52" s="20" t="n">
        <v>0.53744941</v>
      </c>
    </row>
    <row r="53" spans="1:18">
      <c r="A53" s="15" t="s">
        <v>477</v>
      </c>
      <c r="B53" s="17" t="n">
        <v>2811</v>
      </c>
      <c r="C53" s="18">
        <f>(2461.0/B53*100)</f>
        <v/>
      </c>
      <c r="D53" s="19" t="n">
        <v>350</v>
      </c>
      <c r="E53" s="18" t="n">
        <v>28.91101041</v>
      </c>
      <c r="F53" s="20" t="n">
        <v>2.60281703</v>
      </c>
      <c r="G53" s="18" t="n">
        <v>69.39271629</v>
      </c>
      <c r="H53" s="20" t="n">
        <v>2.58059439</v>
      </c>
      <c r="I53" s="18" t="s">
        <v>431</v>
      </c>
      <c r="J53" s="20" t="s">
        <v>431</v>
      </c>
      <c r="K53" s="18" t="n">
        <v>0</v>
      </c>
      <c r="L53" s="20" t="n">
        <v>0</v>
      </c>
      <c r="M53" s="18" t="n">
        <v>0</v>
      </c>
      <c r="N53" s="20" t="n">
        <v>0</v>
      </c>
      <c r="O53" s="18" t="n">
        <v>0</v>
      </c>
      <c r="P53" s="20" t="n">
        <v>0</v>
      </c>
      <c r="Q53" s="18" t="n">
        <v>1.69627329</v>
      </c>
      <c r="R53" s="20" t="n">
        <v>0.7656541100000001</v>
      </c>
    </row>
    <row r="54" spans="1:18">
      <c r="A54" s="15" t="s">
        <v>478</v>
      </c>
      <c r="B54" s="17" t="n">
        <v>2266</v>
      </c>
      <c r="C54" s="18">
        <f>(1857.0/B54*100)</f>
        <v/>
      </c>
      <c r="D54" s="19" t="n">
        <v>409</v>
      </c>
      <c r="E54" s="18" t="n">
        <v>42.51864267</v>
      </c>
      <c r="F54" s="20" t="n">
        <v>2.56404601</v>
      </c>
      <c r="G54" s="18" t="n">
        <v>46.99757874</v>
      </c>
      <c r="H54" s="20" t="n">
        <v>2.87413369</v>
      </c>
      <c r="I54" s="18" t="s">
        <v>431</v>
      </c>
      <c r="J54" s="20" t="s">
        <v>431</v>
      </c>
      <c r="K54" s="18" t="n">
        <v>6.88691059</v>
      </c>
      <c r="L54" s="20" t="n">
        <v>1.16991862</v>
      </c>
      <c r="M54" s="18" t="n">
        <v>0</v>
      </c>
      <c r="N54" s="20" t="n">
        <v>0</v>
      </c>
      <c r="O54" s="18" t="n">
        <v>0</v>
      </c>
      <c r="P54" s="20" t="n">
        <v>0</v>
      </c>
      <c r="Q54" s="18" t="n">
        <v>3.596868</v>
      </c>
      <c r="R54" s="20" t="n">
        <v>1.05384427</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(2352.0/B56*100)</f>
        <v/>
      </c>
      <c r="D56" s="19" t="n">
        <v>332</v>
      </c>
      <c r="E56" s="18" t="n">
        <v>12.65418149</v>
      </c>
      <c r="F56" s="20" t="n">
        <v>2.2987901</v>
      </c>
      <c r="G56" s="18" t="n">
        <v>85.93911602999999</v>
      </c>
      <c r="H56" s="20" t="n">
        <v>2.22947543</v>
      </c>
      <c r="I56" s="18" t="s">
        <v>431</v>
      </c>
      <c r="J56" s="20" t="s">
        <v>431</v>
      </c>
      <c r="K56" s="18" t="n">
        <v>0</v>
      </c>
      <c r="L56" s="20" t="n">
        <v>0</v>
      </c>
      <c r="M56" s="18" t="n">
        <v>0</v>
      </c>
      <c r="N56" s="20" t="n">
        <v>0</v>
      </c>
      <c r="O56" s="18" t="n">
        <v>0</v>
      </c>
      <c r="P56" s="20" t="n">
        <v>0</v>
      </c>
      <c r="Q56" s="18" t="n">
        <v>1.40670249</v>
      </c>
      <c r="R56" s="20" t="n">
        <v>0.73419037</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(2918.0/B61*100)</f>
        <v/>
      </c>
      <c r="D61" s="19" t="n">
        <v>406</v>
      </c>
      <c r="E61" s="18" t="n">
        <v>12.34421191</v>
      </c>
      <c r="F61" s="20" t="n">
        <v>1.87141396</v>
      </c>
      <c r="G61" s="18" t="n">
        <v>87.40193743</v>
      </c>
      <c r="H61" s="20" t="n">
        <v>1.85302074</v>
      </c>
      <c r="I61" s="18" t="s">
        <v>431</v>
      </c>
      <c r="J61" s="20" t="s">
        <v>431</v>
      </c>
      <c r="K61" s="18" t="n">
        <v>0.25385066</v>
      </c>
      <c r="L61" s="20" t="n">
        <v>0.17698424</v>
      </c>
      <c r="M61" s="18" t="n">
        <v>0</v>
      </c>
      <c r="N61" s="20" t="n">
        <v>0</v>
      </c>
      <c r="O61" s="18" t="n">
        <v>0</v>
      </c>
      <c r="P61" s="20" t="n">
        <v>0</v>
      </c>
      <c r="Q61" s="18" t="n">
        <v>0</v>
      </c>
      <c r="R61" s="20" t="n">
        <v>0</v>
      </c>
    </row>
    <row r="62" spans="1:18">
      <c r="A62" s="15" t="s">
        <v>486</v>
      </c>
      <c r="B62" s="17" t="n">
        <v>2246</v>
      </c>
      <c r="C62" s="18">
        <f>(1978.0/B62*100)</f>
        <v/>
      </c>
      <c r="D62" s="19" t="n">
        <v>268</v>
      </c>
      <c r="E62" s="18" t="n">
        <v>20.54815394</v>
      </c>
      <c r="F62" s="20" t="n">
        <v>2.63468093</v>
      </c>
      <c r="G62" s="18" t="n">
        <v>79.45184605999999</v>
      </c>
      <c r="H62" s="20" t="n">
        <v>2.63468093</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(2535.0/B66*100)</f>
        <v/>
      </c>
      <c r="D66" s="19" t="n">
        <v>359</v>
      </c>
      <c r="E66" s="18" t="n">
        <v>17.65812368</v>
      </c>
      <c r="F66" s="20" t="n">
        <v>2.18169206</v>
      </c>
      <c r="G66" s="18" t="n">
        <v>78.66060647</v>
      </c>
      <c r="H66" s="20" t="n">
        <v>2.17401154</v>
      </c>
      <c r="I66" s="18" t="s">
        <v>431</v>
      </c>
      <c r="J66" s="20" t="s">
        <v>431</v>
      </c>
      <c r="K66" s="18" t="n">
        <v>1.11999998</v>
      </c>
      <c r="L66" s="20" t="n">
        <v>0.55891466</v>
      </c>
      <c r="M66" s="18" t="n">
        <v>0</v>
      </c>
      <c r="N66" s="20" t="n">
        <v>0</v>
      </c>
      <c r="O66" s="18" t="n">
        <v>0</v>
      </c>
      <c r="P66" s="20" t="n">
        <v>0</v>
      </c>
      <c r="Q66" s="18" t="n">
        <v>2.56126987</v>
      </c>
      <c r="R66" s="20" t="n">
        <v>0.88071974</v>
      </c>
    </row>
    <row r="67" spans="1:18">
      <c r="A67" s="15" t="s">
        <v>491</v>
      </c>
      <c r="B67" s="17" t="n">
        <v>3511</v>
      </c>
      <c r="C67" s="18">
        <f>(3112.0/B67*100)</f>
        <v/>
      </c>
      <c r="D67" s="19" t="n">
        <v>399</v>
      </c>
      <c r="E67" s="18" t="n">
        <v>17.84811372</v>
      </c>
      <c r="F67" s="20" t="n">
        <v>1.8143967</v>
      </c>
      <c r="G67" s="18" t="n">
        <v>81.14786487000001</v>
      </c>
      <c r="H67" s="20" t="n">
        <v>1.91158695</v>
      </c>
      <c r="I67" s="18" t="s">
        <v>431</v>
      </c>
      <c r="J67" s="20" t="s">
        <v>431</v>
      </c>
      <c r="K67" s="18" t="n">
        <v>0.32915927</v>
      </c>
      <c r="L67" s="20" t="n">
        <v>0.32673549</v>
      </c>
      <c r="M67" s="18" t="n">
        <v>0</v>
      </c>
      <c r="N67" s="20" t="n">
        <v>0</v>
      </c>
      <c r="O67" s="18" t="n">
        <v>0</v>
      </c>
      <c r="P67" s="20" t="n">
        <v>0</v>
      </c>
      <c r="Q67" s="18" t="n">
        <v>0.67486215</v>
      </c>
      <c r="R67" s="20" t="n">
        <v>0.3883053</v>
      </c>
    </row>
    <row r="68" spans="1:18">
      <c r="A68" s="15" t="s">
        <v>492</v>
      </c>
      <c r="B68" s="17" t="n">
        <v>6049</v>
      </c>
      <c r="C68" s="18">
        <f>(5049.0/B68*100)</f>
        <v/>
      </c>
      <c r="D68" s="19" t="n">
        <v>1000</v>
      </c>
      <c r="E68" s="18" t="n">
        <v>23.38669901</v>
      </c>
      <c r="F68" s="20" t="n">
        <v>1.24228865</v>
      </c>
      <c r="G68" s="18" t="n">
        <v>70.5781454</v>
      </c>
      <c r="H68" s="20" t="n">
        <v>1.30090366</v>
      </c>
      <c r="I68" s="18" t="s">
        <v>431</v>
      </c>
      <c r="J68" s="20" t="s">
        <v>431</v>
      </c>
      <c r="K68" s="18" t="n">
        <v>2.48928256</v>
      </c>
      <c r="L68" s="20" t="n">
        <v>0.50738592</v>
      </c>
      <c r="M68" s="18" t="n">
        <v>0</v>
      </c>
      <c r="N68" s="20" t="n">
        <v>0</v>
      </c>
      <c r="O68" s="18" t="n">
        <v>0</v>
      </c>
      <c r="P68" s="20" t="n">
        <v>0</v>
      </c>
      <c r="Q68" s="18" t="n">
        <v>3.54587304</v>
      </c>
      <c r="R68" s="20" t="n">
        <v>0.64356949</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(2574.0/B70*100)</f>
        <v/>
      </c>
      <c r="D70" s="19" t="n">
        <v>355</v>
      </c>
      <c r="E70" s="18" t="n">
        <v>8.259967619999999</v>
      </c>
      <c r="F70" s="20" t="n">
        <v>1.16738153</v>
      </c>
      <c r="G70" s="18" t="n">
        <v>90.82167758999999</v>
      </c>
      <c r="H70" s="20" t="n">
        <v>1.22878186</v>
      </c>
      <c r="I70" s="18" t="s">
        <v>431</v>
      </c>
      <c r="J70" s="20" t="s">
        <v>431</v>
      </c>
      <c r="K70" s="18" t="n">
        <v>0</v>
      </c>
      <c r="L70" s="20" t="n">
        <v>0</v>
      </c>
      <c r="M70" s="18" t="n">
        <v>0</v>
      </c>
      <c r="N70" s="20" t="n">
        <v>0</v>
      </c>
      <c r="O70" s="18" t="n">
        <v>0</v>
      </c>
      <c r="P70" s="20" t="n">
        <v>0</v>
      </c>
      <c r="Q70" s="18" t="n">
        <v>0.9183548</v>
      </c>
      <c r="R70" s="20" t="n">
        <v>0.40603713</v>
      </c>
    </row>
    <row r="71" spans="1:18">
      <c r="A71" s="15" t="s">
        <v>495</v>
      </c>
      <c r="B71" s="17" t="n">
        <v>3142</v>
      </c>
      <c r="C71" s="18">
        <f>(2756.0/B71*100)</f>
        <v/>
      </c>
      <c r="D71" s="19" t="n">
        <v>386</v>
      </c>
      <c r="E71" s="18" t="n">
        <v>10.86856163</v>
      </c>
      <c r="F71" s="20" t="n">
        <v>1.51734399</v>
      </c>
      <c r="G71" s="18" t="n">
        <v>88.64481469</v>
      </c>
      <c r="H71" s="20" t="n">
        <v>1.56447899</v>
      </c>
      <c r="I71" s="18" t="s">
        <v>431</v>
      </c>
      <c r="J71" s="20" t="s">
        <v>431</v>
      </c>
      <c r="K71" s="18" t="n">
        <v>0.23708739</v>
      </c>
      <c r="L71" s="20" t="n">
        <v>0.23909903</v>
      </c>
      <c r="M71" s="18" t="n">
        <v>0</v>
      </c>
      <c r="N71" s="20" t="n">
        <v>0</v>
      </c>
      <c r="O71" s="18" t="n">
        <v>0</v>
      </c>
      <c r="P71" s="20" t="n">
        <v>0</v>
      </c>
      <c r="Q71" s="18" t="n">
        <v>0.24953629</v>
      </c>
      <c r="R71" s="20" t="n">
        <v>0.24571043</v>
      </c>
    </row>
    <row r="72" spans="1:18">
      <c r="A72" s="15" t="s">
        <v>496</v>
      </c>
      <c r="B72" s="17" t="n">
        <v>3889</v>
      </c>
      <c r="C72" s="18">
        <f>(3423.0/B72*100)</f>
        <v/>
      </c>
      <c r="D72" s="19" t="n">
        <v>466</v>
      </c>
      <c r="E72" s="18" t="n">
        <v>25.62217544</v>
      </c>
      <c r="F72" s="20" t="n">
        <v>2.15560509</v>
      </c>
      <c r="G72" s="18" t="n">
        <v>73.90263998</v>
      </c>
      <c r="H72" s="20" t="n">
        <v>2.16869915</v>
      </c>
      <c r="I72" s="18" t="s">
        <v>431</v>
      </c>
      <c r="J72" s="20" t="s">
        <v>431</v>
      </c>
      <c r="K72" s="18" t="n">
        <v>0.17514504</v>
      </c>
      <c r="L72" s="20" t="n">
        <v>0.17571974</v>
      </c>
      <c r="M72" s="18" t="n">
        <v>0</v>
      </c>
      <c r="N72" s="20" t="n">
        <v>0</v>
      </c>
      <c r="O72" s="18" t="n">
        <v>0</v>
      </c>
      <c r="P72" s="20" t="n">
        <v>0</v>
      </c>
      <c r="Q72" s="18" t="n">
        <v>0.30003954</v>
      </c>
      <c r="R72" s="20" t="n">
        <v>0.30164773</v>
      </c>
    </row>
    <row r="73" spans="1:18">
      <c r="A73" s="15" t="s">
        <v>497</v>
      </c>
      <c r="B73" s="17" t="n">
        <v>3597</v>
      </c>
      <c r="C73" s="18">
        <f>(3155.0/B73*100)</f>
        <v/>
      </c>
      <c r="D73" s="19" t="n">
        <v>442</v>
      </c>
      <c r="E73" s="18" t="n">
        <v>32.45084395</v>
      </c>
      <c r="F73" s="20" t="n">
        <v>2.76420659</v>
      </c>
      <c r="G73" s="18" t="n">
        <v>66.09047938</v>
      </c>
      <c r="H73" s="20" t="n">
        <v>2.77658084</v>
      </c>
      <c r="I73" s="18" t="s">
        <v>431</v>
      </c>
      <c r="J73" s="20" t="s">
        <v>431</v>
      </c>
      <c r="K73" s="18" t="n">
        <v>0</v>
      </c>
      <c r="L73" s="20" t="n">
        <v>0</v>
      </c>
      <c r="M73" s="18" t="n">
        <v>0</v>
      </c>
      <c r="N73" s="20" t="n">
        <v>0</v>
      </c>
      <c r="O73" s="18" t="n">
        <v>0</v>
      </c>
      <c r="P73" s="20" t="n">
        <v>0</v>
      </c>
      <c r="Q73" s="18" t="n">
        <v>1.45867668</v>
      </c>
      <c r="R73" s="20" t="n">
        <v>0.84051378</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(2130.0/B75*100)</f>
        <v/>
      </c>
      <c r="D75" s="19" t="n">
        <v>276</v>
      </c>
      <c r="E75" s="18" t="n">
        <v>30.25290721</v>
      </c>
      <c r="F75" s="20" t="n">
        <v>2.98884152</v>
      </c>
      <c r="G75" s="18" t="n">
        <v>64.66924917</v>
      </c>
      <c r="H75" s="20" t="n">
        <v>3.30668078</v>
      </c>
      <c r="I75" s="18" t="s">
        <v>431</v>
      </c>
      <c r="J75" s="20" t="s">
        <v>431</v>
      </c>
      <c r="K75" s="18" t="n">
        <v>1.28488142</v>
      </c>
      <c r="L75" s="20" t="n">
        <v>0.62439552</v>
      </c>
      <c r="M75" s="18" t="n">
        <v>0</v>
      </c>
      <c r="N75" s="20" t="n">
        <v>0</v>
      </c>
      <c r="O75" s="18" t="n">
        <v>0</v>
      </c>
      <c r="P75" s="20" t="n">
        <v>0</v>
      </c>
      <c r="Q75" s="18" t="n">
        <v>3.7929622</v>
      </c>
      <c r="R75" s="20" t="n">
        <v>1.20710925</v>
      </c>
    </row>
    <row r="76" spans="1:18">
      <c r="A76" s="15" t="s">
        <v>500</v>
      </c>
      <c r="B76" s="17" t="n">
        <v>7052</v>
      </c>
      <c r="C76" s="18">
        <f>(6210.0/B76*100)</f>
        <v/>
      </c>
      <c r="D76" s="19" t="n">
        <v>842</v>
      </c>
      <c r="E76" s="18" t="n">
        <v>22.07737872</v>
      </c>
      <c r="F76" s="20" t="n">
        <v>1.61798882</v>
      </c>
      <c r="G76" s="18" t="n">
        <v>76.1031771</v>
      </c>
      <c r="H76" s="20" t="n">
        <v>1.68869988</v>
      </c>
      <c r="I76" s="18" t="s">
        <v>431</v>
      </c>
      <c r="J76" s="20" t="s">
        <v>431</v>
      </c>
      <c r="K76" s="18" t="n">
        <v>0.70718262</v>
      </c>
      <c r="L76" s="20" t="n">
        <v>0.31921518</v>
      </c>
      <c r="M76" s="18" t="n">
        <v>0</v>
      </c>
      <c r="N76" s="20" t="n">
        <v>0</v>
      </c>
      <c r="O76" s="18" t="n">
        <v>0</v>
      </c>
      <c r="P76" s="20" t="n">
        <v>0</v>
      </c>
      <c r="Q76" s="18" t="n">
        <v>1.11226156</v>
      </c>
      <c r="R76" s="20" t="n">
        <v>0.32363298</v>
      </c>
    </row>
    <row r="77" spans="1:18">
      <c r="A77" s="15" t="s">
        <v>501</v>
      </c>
      <c r="B77" s="17" t="n">
        <v>2908</v>
      </c>
      <c r="C77" s="18">
        <f>(2576.0/B77*100)</f>
        <v/>
      </c>
      <c r="D77" s="19" t="n">
        <v>332</v>
      </c>
      <c r="E77" s="18" t="n">
        <v>18.62283678</v>
      </c>
      <c r="F77" s="20" t="n">
        <v>2.22368492</v>
      </c>
      <c r="G77" s="18" t="n">
        <v>79.23514418000001</v>
      </c>
      <c r="H77" s="20" t="n">
        <v>2.23482019</v>
      </c>
      <c r="I77" s="18" t="s">
        <v>431</v>
      </c>
      <c r="J77" s="20" t="s">
        <v>431</v>
      </c>
      <c r="K77" s="18" t="n">
        <v>0.87548444</v>
      </c>
      <c r="L77" s="20" t="n">
        <v>0.61266971</v>
      </c>
      <c r="M77" s="18" t="n">
        <v>0</v>
      </c>
      <c r="N77" s="20" t="n">
        <v>0</v>
      </c>
      <c r="O77" s="18" t="n">
        <v>0</v>
      </c>
      <c r="P77" s="20" t="n">
        <v>0</v>
      </c>
      <c r="Q77" s="18" t="n">
        <v>1.2665346</v>
      </c>
      <c r="R77" s="20" t="n">
        <v>0.72302011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(3653.0/B81*100)</f>
        <v/>
      </c>
      <c r="D81" s="19" t="n">
        <v>510</v>
      </c>
      <c r="E81" s="18" t="n">
        <v>17.19338231</v>
      </c>
      <c r="F81" s="20" t="n">
        <v>2.40034561</v>
      </c>
      <c r="G81" s="18" t="n">
        <v>82.03984674</v>
      </c>
      <c r="H81" s="20" t="n">
        <v>2.4111624</v>
      </c>
      <c r="I81" s="18" t="s">
        <v>431</v>
      </c>
      <c r="J81" s="20" t="s">
        <v>431</v>
      </c>
      <c r="K81" s="18" t="n">
        <v>0.21457083</v>
      </c>
      <c r="L81" s="20" t="n">
        <v>0.15090195</v>
      </c>
      <c r="M81" s="18" t="n">
        <v>0</v>
      </c>
      <c r="N81" s="20" t="n">
        <v>0</v>
      </c>
      <c r="O81" s="18" t="n">
        <v>0</v>
      </c>
      <c r="P81" s="20" t="n">
        <v>0</v>
      </c>
      <c r="Q81" s="18" t="n">
        <v>0.55220012</v>
      </c>
      <c r="R81" s="20" t="n">
        <v>0.38492474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525</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(6461.0/B7*100)</f>
        <v/>
      </c>
      <c r="D7" s="19" t="n">
        <v>906</v>
      </c>
      <c r="E7" s="18" t="n">
        <v>27.57568094</v>
      </c>
      <c r="F7" s="20" t="n">
        <v>1.83555083</v>
      </c>
      <c r="G7" s="18" t="n">
        <v>29.18689266</v>
      </c>
      <c r="H7" s="20" t="n">
        <v>1.59142275</v>
      </c>
      <c r="I7" s="18" t="n">
        <v>36.95372636</v>
      </c>
      <c r="J7" s="20" t="n">
        <v>1.92232239</v>
      </c>
      <c r="K7" s="18" t="s">
        <v>431</v>
      </c>
      <c r="L7" s="20" t="s">
        <v>431</v>
      </c>
      <c r="M7" s="18" t="n">
        <v>0.23462383</v>
      </c>
      <c r="N7" s="20" t="n">
        <v>0.20273687</v>
      </c>
      <c r="O7" s="18" t="n">
        <v>0.03020819</v>
      </c>
      <c r="P7" s="20" t="n">
        <v>0.02182172</v>
      </c>
      <c r="Q7" s="18" t="n">
        <v>0</v>
      </c>
      <c r="R7" s="20" t="n">
        <v>0</v>
      </c>
      <c r="S7" s="18" t="n">
        <v>6.01886801</v>
      </c>
      <c r="T7" s="20" t="n">
        <v>1.01435608</v>
      </c>
    </row>
    <row r="8" spans="1:20">
      <c r="A8" s="15" t="s">
        <v>432</v>
      </c>
      <c r="B8" s="17" t="n">
        <v>3564</v>
      </c>
      <c r="C8" s="18">
        <f>(3139.0/B8*100)</f>
        <v/>
      </c>
      <c r="D8" s="19" t="n">
        <v>425</v>
      </c>
      <c r="E8" s="18" t="n">
        <v>27.76112683</v>
      </c>
      <c r="F8" s="20" t="n">
        <v>2.47978267</v>
      </c>
      <c r="G8" s="18" t="n">
        <v>36.02040509</v>
      </c>
      <c r="H8" s="20" t="n">
        <v>2.45100567</v>
      </c>
      <c r="I8" s="18" t="n">
        <v>28.88006035</v>
      </c>
      <c r="J8" s="20" t="n">
        <v>2.7710867</v>
      </c>
      <c r="K8" s="18" t="s">
        <v>431</v>
      </c>
      <c r="L8" s="20" t="s">
        <v>431</v>
      </c>
      <c r="M8" s="18" t="n">
        <v>0</v>
      </c>
      <c r="N8" s="20" t="n">
        <v>0</v>
      </c>
      <c r="O8" s="18" t="n">
        <v>0</v>
      </c>
      <c r="P8" s="20" t="n">
        <v>0</v>
      </c>
      <c r="Q8" s="18" t="n">
        <v>0</v>
      </c>
      <c r="R8" s="20" t="n">
        <v>0</v>
      </c>
      <c r="S8" s="18" t="n">
        <v>7.33840772</v>
      </c>
      <c r="T8" s="20" t="n">
        <v>1.0641469</v>
      </c>
    </row>
    <row r="9" spans="1:20">
      <c r="A9" s="15" t="s">
        <v>433</v>
      </c>
      <c r="B9" s="17" t="n">
        <v>4899</v>
      </c>
      <c r="C9" s="18">
        <f>(4328.0/B9*100)</f>
        <v/>
      </c>
      <c r="D9" s="19" t="n">
        <v>571</v>
      </c>
      <c r="E9" s="18" t="n">
        <v>24.8822642</v>
      </c>
      <c r="F9" s="20" t="n">
        <v>1.90901597</v>
      </c>
      <c r="G9" s="18" t="n">
        <v>40.06270936</v>
      </c>
      <c r="H9" s="20" t="n">
        <v>2.00495683</v>
      </c>
      <c r="I9" s="18" t="n">
        <v>29.85245691</v>
      </c>
      <c r="J9" s="20" t="n">
        <v>2.00549071</v>
      </c>
      <c r="K9" s="18" t="s">
        <v>431</v>
      </c>
      <c r="L9" s="20" t="s">
        <v>431</v>
      </c>
      <c r="M9" s="18" t="n">
        <v>0.15588641</v>
      </c>
      <c r="N9" s="20" t="n">
        <v>0.15124215</v>
      </c>
      <c r="O9" s="18" t="n">
        <v>0.53040083</v>
      </c>
      <c r="P9" s="20" t="n">
        <v>0.26461844</v>
      </c>
      <c r="Q9" s="18" t="n">
        <v>0</v>
      </c>
      <c r="R9" s="20" t="n">
        <v>0</v>
      </c>
      <c r="S9" s="18" t="n">
        <v>4.51628229</v>
      </c>
      <c r="T9" s="20" t="n">
        <v>0.91648109</v>
      </c>
    </row>
    <row r="10" spans="1:20">
      <c r="A10" s="15" t="s">
        <v>434</v>
      </c>
      <c r="B10" s="17" t="n">
        <v>10036</v>
      </c>
      <c r="C10" s="18">
        <f>(8833.0/B10*100)</f>
        <v/>
      </c>
      <c r="D10" s="19" t="n">
        <v>1203</v>
      </c>
      <c r="E10" s="18" t="n">
        <v>18.50744032</v>
      </c>
      <c r="F10" s="20" t="n">
        <v>1.6695747</v>
      </c>
      <c r="G10" s="18" t="n">
        <v>33.32729712</v>
      </c>
      <c r="H10" s="20" t="n">
        <v>1.94188389</v>
      </c>
      <c r="I10" s="18" t="n">
        <v>46.19059509</v>
      </c>
      <c r="J10" s="20" t="n">
        <v>1.73139978</v>
      </c>
      <c r="K10" s="18" t="s">
        <v>431</v>
      </c>
      <c r="L10" s="20" t="s">
        <v>431</v>
      </c>
      <c r="M10" s="18" t="n">
        <v>0</v>
      </c>
      <c r="N10" s="20" t="n">
        <v>0</v>
      </c>
      <c r="O10" s="18" t="n">
        <v>0</v>
      </c>
      <c r="P10" s="20" t="n">
        <v>0</v>
      </c>
      <c r="Q10" s="18" t="n">
        <v>0</v>
      </c>
      <c r="R10" s="20" t="n">
        <v>0</v>
      </c>
      <c r="S10" s="18" t="n">
        <v>1.97466747</v>
      </c>
      <c r="T10" s="20" t="n">
        <v>0.57405344</v>
      </c>
    </row>
    <row r="11" spans="1:20">
      <c r="A11" s="15" t="s">
        <v>435</v>
      </c>
      <c r="B11" s="17" t="n">
        <v>3553</v>
      </c>
      <c r="C11" s="18">
        <f>(3123.0/B11*100)</f>
        <v/>
      </c>
      <c r="D11" s="19" t="n">
        <v>430</v>
      </c>
      <c r="E11" s="18" t="n">
        <v>27.98429872</v>
      </c>
      <c r="F11" s="20" t="n">
        <v>2.4252224</v>
      </c>
      <c r="G11" s="18" t="n">
        <v>28.1347233</v>
      </c>
      <c r="H11" s="20" t="n">
        <v>2.30513361</v>
      </c>
      <c r="I11" s="18" t="n">
        <v>36.39929214</v>
      </c>
      <c r="J11" s="20" t="n">
        <v>2.43253823</v>
      </c>
      <c r="K11" s="18" t="s">
        <v>431</v>
      </c>
      <c r="L11" s="20" t="s">
        <v>431</v>
      </c>
      <c r="M11" s="18" t="n">
        <v>0.70538471</v>
      </c>
      <c r="N11" s="20" t="n">
        <v>0.70361529</v>
      </c>
      <c r="O11" s="18" t="n">
        <v>0</v>
      </c>
      <c r="P11" s="20" t="n">
        <v>0</v>
      </c>
      <c r="Q11" s="18" t="n">
        <v>0</v>
      </c>
      <c r="R11" s="20" t="n">
        <v>0</v>
      </c>
      <c r="S11" s="18" t="n">
        <v>6.77630112</v>
      </c>
      <c r="T11" s="20" t="n">
        <v>1.59535823</v>
      </c>
    </row>
    <row r="12" spans="1:20">
      <c r="A12" s="15" t="s">
        <v>436</v>
      </c>
      <c r="B12" s="17" t="n">
        <v>3472</v>
      </c>
      <c r="C12" s="18">
        <f>(3049.0/B12*100)</f>
        <v/>
      </c>
      <c r="D12" s="19" t="n">
        <v>423</v>
      </c>
      <c r="E12" s="18" t="n">
        <v>31.11431042</v>
      </c>
      <c r="F12" s="20" t="n">
        <v>2.72090802</v>
      </c>
      <c r="G12" s="18" t="n">
        <v>23.43209245</v>
      </c>
      <c r="H12" s="20" t="n">
        <v>2.18197184</v>
      </c>
      <c r="I12" s="18" t="n">
        <v>35.94827939</v>
      </c>
      <c r="J12" s="20" t="n">
        <v>2.66271511</v>
      </c>
      <c r="K12" s="18" t="s">
        <v>431</v>
      </c>
      <c r="L12" s="20" t="s">
        <v>431</v>
      </c>
      <c r="M12" s="18" t="n">
        <v>0</v>
      </c>
      <c r="N12" s="20" t="n">
        <v>0</v>
      </c>
      <c r="O12" s="18" t="n">
        <v>0.13601632</v>
      </c>
      <c r="P12" s="20" t="n">
        <v>0.18193777</v>
      </c>
      <c r="Q12" s="18" t="n">
        <v>0</v>
      </c>
      <c r="R12" s="20" t="n">
        <v>0</v>
      </c>
      <c r="S12" s="18" t="n">
        <v>9.369301419999999</v>
      </c>
      <c r="T12" s="20" t="n">
        <v>1.37624897</v>
      </c>
    </row>
    <row r="13" spans="1:20">
      <c r="A13" s="15" t="s">
        <v>437</v>
      </c>
      <c r="B13" s="17" t="n">
        <v>3559</v>
      </c>
      <c r="C13" s="18">
        <f>(3155.0/B13*100)</f>
        <v/>
      </c>
      <c r="D13" s="19" t="n">
        <v>404</v>
      </c>
      <c r="E13" s="18" t="n">
        <v>26.52000275</v>
      </c>
      <c r="F13" s="20" t="n">
        <v>3.04677673</v>
      </c>
      <c r="G13" s="18" t="n">
        <v>35.5962185</v>
      </c>
      <c r="H13" s="20" t="n">
        <v>2.60612031</v>
      </c>
      <c r="I13" s="18" t="n">
        <v>33.11328785</v>
      </c>
      <c r="J13" s="20" t="n">
        <v>2.5976086</v>
      </c>
      <c r="K13" s="18" t="s">
        <v>431</v>
      </c>
      <c r="L13" s="20" t="s">
        <v>431</v>
      </c>
      <c r="M13" s="18" t="n">
        <v>0.47032531</v>
      </c>
      <c r="N13" s="20" t="n">
        <v>0.24358336</v>
      </c>
      <c r="O13" s="18" t="n">
        <v>0</v>
      </c>
      <c r="P13" s="20" t="n">
        <v>0</v>
      </c>
      <c r="Q13" s="18" t="n">
        <v>0</v>
      </c>
      <c r="R13" s="20" t="n">
        <v>0</v>
      </c>
      <c r="S13" s="18" t="n">
        <v>4.30016559</v>
      </c>
      <c r="T13" s="20" t="n">
        <v>1.18019617</v>
      </c>
    </row>
    <row r="14" spans="1:20">
      <c r="A14" s="15" t="s">
        <v>438</v>
      </c>
      <c r="B14" s="17" t="n">
        <v>2799</v>
      </c>
      <c r="C14" s="18">
        <f>(2447.0/B14*100)</f>
        <v/>
      </c>
      <c r="D14" s="19" t="n">
        <v>352</v>
      </c>
      <c r="E14" s="18" t="n">
        <v>21.3290935</v>
      </c>
      <c r="F14" s="20" t="n">
        <v>2.31236641</v>
      </c>
      <c r="G14" s="18" t="n">
        <v>39.58890773</v>
      </c>
      <c r="H14" s="20" t="n">
        <v>2.54373517</v>
      </c>
      <c r="I14" s="18" t="n">
        <v>36.20169304</v>
      </c>
      <c r="J14" s="20" t="n">
        <v>2.7665894</v>
      </c>
      <c r="K14" s="18" t="s">
        <v>431</v>
      </c>
      <c r="L14" s="20" t="s">
        <v>431</v>
      </c>
      <c r="M14" s="18" t="n">
        <v>0.20678472</v>
      </c>
      <c r="N14" s="20" t="n">
        <v>0.2064504</v>
      </c>
      <c r="O14" s="18" t="n">
        <v>0</v>
      </c>
      <c r="P14" s="20" t="n">
        <v>0</v>
      </c>
      <c r="Q14" s="18" t="n">
        <v>0</v>
      </c>
      <c r="R14" s="20" t="n">
        <v>0</v>
      </c>
      <c r="S14" s="18" t="n">
        <v>2.67352101</v>
      </c>
      <c r="T14" s="20" t="n">
        <v>0.85014915</v>
      </c>
    </row>
    <row r="15" spans="1:20">
      <c r="A15" s="15" t="s">
        <v>439</v>
      </c>
      <c r="B15" s="17" t="n">
        <v>3019</v>
      </c>
      <c r="C15" s="18">
        <f>(2669.0/B15*100)</f>
        <v/>
      </c>
      <c r="D15" s="19" t="n">
        <v>350</v>
      </c>
      <c r="E15" s="18" t="n">
        <v>22.98594488</v>
      </c>
      <c r="F15" s="20" t="n">
        <v>2.32806757</v>
      </c>
      <c r="G15" s="18" t="n">
        <v>44.88598748</v>
      </c>
      <c r="H15" s="20" t="n">
        <v>3.01272589</v>
      </c>
      <c r="I15" s="18" t="n">
        <v>24.80464771</v>
      </c>
      <c r="J15" s="20" t="n">
        <v>2.24718569</v>
      </c>
      <c r="K15" s="18" t="s">
        <v>431</v>
      </c>
      <c r="L15" s="20" t="s">
        <v>431</v>
      </c>
      <c r="M15" s="18" t="n">
        <v>0</v>
      </c>
      <c r="N15" s="20" t="n">
        <v>0</v>
      </c>
      <c r="O15" s="18" t="n">
        <v>0</v>
      </c>
      <c r="P15" s="20" t="n">
        <v>0</v>
      </c>
      <c r="Q15" s="18" t="n">
        <v>0</v>
      </c>
      <c r="R15" s="20" t="n">
        <v>0</v>
      </c>
      <c r="S15" s="18" t="n">
        <v>7.32341994</v>
      </c>
      <c r="T15" s="20" t="n">
        <v>1.58462449</v>
      </c>
    </row>
    <row r="16" spans="1:20">
      <c r="A16" s="15" t="s">
        <v>440</v>
      </c>
      <c r="B16" s="17" t="n">
        <v>2997</v>
      </c>
      <c r="C16" s="18">
        <f>(2622.0/B16*100)</f>
        <v/>
      </c>
      <c r="D16" s="19" t="n">
        <v>375</v>
      </c>
      <c r="E16" s="18" t="n">
        <v>19.90543127</v>
      </c>
      <c r="F16" s="20" t="n">
        <v>2.18730215</v>
      </c>
      <c r="G16" s="18" t="n">
        <v>31.54860763</v>
      </c>
      <c r="H16" s="20" t="n">
        <v>2.28379144</v>
      </c>
      <c r="I16" s="18" t="n">
        <v>38.31960931</v>
      </c>
      <c r="J16" s="20" t="n">
        <v>2.40148542</v>
      </c>
      <c r="K16" s="18" t="s">
        <v>431</v>
      </c>
      <c r="L16" s="20" t="s">
        <v>431</v>
      </c>
      <c r="M16" s="18" t="n">
        <v>1.97917416</v>
      </c>
      <c r="N16" s="20" t="n">
        <v>1.08499175</v>
      </c>
      <c r="O16" s="18" t="n">
        <v>0</v>
      </c>
      <c r="P16" s="20" t="n">
        <v>0</v>
      </c>
      <c r="Q16" s="18" t="n">
        <v>0</v>
      </c>
      <c r="R16" s="20" t="n">
        <v>0</v>
      </c>
      <c r="S16" s="18" t="n">
        <v>8.247177629999999</v>
      </c>
      <c r="T16" s="20" t="n">
        <v>1.52691491</v>
      </c>
    </row>
    <row r="17" spans="1:20">
      <c r="A17" s="15" t="s">
        <v>441</v>
      </c>
      <c r="B17" s="17" t="n">
        <v>3307</v>
      </c>
      <c r="C17" s="18">
        <f>(2909.0/B17*100)</f>
        <v/>
      </c>
      <c r="D17" s="19" t="n">
        <v>398</v>
      </c>
      <c r="E17" s="18" t="n">
        <v>16.41895405</v>
      </c>
      <c r="F17" s="20" t="n">
        <v>1.79983985</v>
      </c>
      <c r="G17" s="18" t="n">
        <v>37.49258256</v>
      </c>
      <c r="H17" s="20" t="n">
        <v>2.35207268</v>
      </c>
      <c r="I17" s="18" t="n">
        <v>37.85434146</v>
      </c>
      <c r="J17" s="20" t="n">
        <v>2.3613241</v>
      </c>
      <c r="K17" s="18" t="s">
        <v>431</v>
      </c>
      <c r="L17" s="20" t="s">
        <v>431</v>
      </c>
      <c r="M17" s="18" t="n">
        <v>1.18020646</v>
      </c>
      <c r="N17" s="20" t="n">
        <v>0.54657386</v>
      </c>
      <c r="O17" s="18" t="n">
        <v>0</v>
      </c>
      <c r="P17" s="20" t="n">
        <v>0</v>
      </c>
      <c r="Q17" s="18" t="n">
        <v>0</v>
      </c>
      <c r="R17" s="20" t="n">
        <v>0</v>
      </c>
      <c r="S17" s="18" t="n">
        <v>7.05391547</v>
      </c>
      <c r="T17" s="20" t="n">
        <v>1.23187449</v>
      </c>
    </row>
    <row r="18" spans="1:20">
      <c r="A18" s="15" t="s">
        <v>442</v>
      </c>
      <c r="B18" s="17" t="n">
        <v>2826</v>
      </c>
      <c r="C18" s="18">
        <f>(2466.0/B18*100)</f>
        <v/>
      </c>
      <c r="D18" s="19" t="n">
        <v>360</v>
      </c>
      <c r="E18" s="18" t="n">
        <v>35.20304478</v>
      </c>
      <c r="F18" s="20" t="n">
        <v>2.89408131</v>
      </c>
      <c r="G18" s="18" t="n">
        <v>8.75110791</v>
      </c>
      <c r="H18" s="20" t="n">
        <v>1.67521753</v>
      </c>
      <c r="I18" s="18" t="n">
        <v>47.1186959</v>
      </c>
      <c r="J18" s="20" t="n">
        <v>2.67734505</v>
      </c>
      <c r="K18" s="18" t="s">
        <v>431</v>
      </c>
      <c r="L18" s="20" t="s">
        <v>431</v>
      </c>
      <c r="M18" s="18" t="n">
        <v>0.33306204</v>
      </c>
      <c r="N18" s="20" t="n">
        <v>0.41035765</v>
      </c>
      <c r="O18" s="18" t="n">
        <v>0</v>
      </c>
      <c r="P18" s="20" t="n">
        <v>0</v>
      </c>
      <c r="Q18" s="18" t="n">
        <v>0</v>
      </c>
      <c r="R18" s="20" t="n">
        <v>0</v>
      </c>
      <c r="S18" s="18" t="n">
        <v>8.594089370000001</v>
      </c>
      <c r="T18" s="20" t="n">
        <v>1.86731809</v>
      </c>
    </row>
    <row r="19" spans="1:20">
      <c r="A19" s="15" t="s">
        <v>443</v>
      </c>
      <c r="B19" s="17" t="n">
        <v>2808</v>
      </c>
      <c r="C19" s="18">
        <f>(2460.0/B19*100)</f>
        <v/>
      </c>
      <c r="D19" s="19" t="n">
        <v>348</v>
      </c>
      <c r="E19" s="18" t="n">
        <v>30.4669302</v>
      </c>
      <c r="F19" s="20" t="n">
        <v>2.42823459</v>
      </c>
      <c r="G19" s="18" t="n">
        <v>25.36146281</v>
      </c>
      <c r="H19" s="20" t="n">
        <v>2.21924131</v>
      </c>
      <c r="I19" s="18" t="n">
        <v>33.5720257</v>
      </c>
      <c r="J19" s="20" t="n">
        <v>2.92885115</v>
      </c>
      <c r="K19" s="18" t="s">
        <v>431</v>
      </c>
      <c r="L19" s="20" t="s">
        <v>431</v>
      </c>
      <c r="M19" s="18" t="n">
        <v>0.24623785</v>
      </c>
      <c r="N19" s="20" t="n">
        <v>0.26216291</v>
      </c>
      <c r="O19" s="18" t="n">
        <v>0</v>
      </c>
      <c r="P19" s="20" t="n">
        <v>0</v>
      </c>
      <c r="Q19" s="18" t="n">
        <v>0</v>
      </c>
      <c r="R19" s="20" t="n">
        <v>0</v>
      </c>
      <c r="S19" s="18" t="n">
        <v>10.35334345</v>
      </c>
      <c r="T19" s="20" t="n">
        <v>1.52794856</v>
      </c>
    </row>
    <row r="20" spans="1:20">
      <c r="A20" s="15" t="s">
        <v>444</v>
      </c>
      <c r="B20" s="17" t="n">
        <v>1630</v>
      </c>
      <c r="C20" s="18">
        <f>(1425.0/B20*100)</f>
        <v/>
      </c>
      <c r="D20" s="19" t="n">
        <v>205</v>
      </c>
      <c r="E20" s="18" t="n">
        <v>39.61951451</v>
      </c>
      <c r="F20" s="20" t="n">
        <v>3.3578365</v>
      </c>
      <c r="G20" s="18" t="n">
        <v>32.68219862</v>
      </c>
      <c r="H20" s="20" t="n">
        <v>3.55705235</v>
      </c>
      <c r="I20" s="18" t="n">
        <v>22.89479462</v>
      </c>
      <c r="J20" s="20" t="n">
        <v>2.5480007</v>
      </c>
      <c r="K20" s="18" t="s">
        <v>431</v>
      </c>
      <c r="L20" s="20" t="s">
        <v>431</v>
      </c>
      <c r="M20" s="18" t="n">
        <v>0</v>
      </c>
      <c r="N20" s="20" t="n">
        <v>0</v>
      </c>
      <c r="O20" s="18" t="n">
        <v>0</v>
      </c>
      <c r="P20" s="20" t="n">
        <v>0</v>
      </c>
      <c r="Q20" s="18" t="n">
        <v>0</v>
      </c>
      <c r="R20" s="20" t="n">
        <v>0</v>
      </c>
      <c r="S20" s="18" t="n">
        <v>4.80349226</v>
      </c>
      <c r="T20" s="20" t="n">
        <v>1.61791744</v>
      </c>
    </row>
    <row r="21" spans="1:20">
      <c r="A21" s="15" t="s">
        <v>445</v>
      </c>
      <c r="B21" s="17" t="n">
        <v>2908</v>
      </c>
      <c r="C21" s="18">
        <f>(2444.0/B21*100)</f>
        <v/>
      </c>
      <c r="D21" s="19" t="n">
        <v>464</v>
      </c>
      <c r="E21" s="18" t="n">
        <v>18.47094276</v>
      </c>
      <c r="F21" s="20" t="n">
        <v>1.69094989</v>
      </c>
      <c r="G21" s="18" t="n">
        <v>33.99648859</v>
      </c>
      <c r="H21" s="20" t="n">
        <v>2.18946892</v>
      </c>
      <c r="I21" s="18" t="n">
        <v>45.53150074</v>
      </c>
      <c r="J21" s="20" t="n">
        <v>2.43247804</v>
      </c>
      <c r="K21" s="18" t="s">
        <v>431</v>
      </c>
      <c r="L21" s="20" t="s">
        <v>431</v>
      </c>
      <c r="M21" s="18" t="n">
        <v>0.22498924</v>
      </c>
      <c r="N21" s="20" t="n">
        <v>0.22515257</v>
      </c>
      <c r="O21" s="18" t="n">
        <v>0</v>
      </c>
      <c r="P21" s="20" t="n">
        <v>0</v>
      </c>
      <c r="Q21" s="18" t="n">
        <v>0</v>
      </c>
      <c r="R21" s="20" t="n">
        <v>0</v>
      </c>
      <c r="S21" s="18" t="n">
        <v>1.77607867</v>
      </c>
      <c r="T21" s="20" t="n">
        <v>0.51584422</v>
      </c>
    </row>
    <row r="22" spans="1:20">
      <c r="A22" s="15" t="s">
        <v>446</v>
      </c>
      <c r="B22" s="17" t="n">
        <v>2931</v>
      </c>
      <c r="C22" s="18">
        <f>(2583.0/B22*100)</f>
        <v/>
      </c>
      <c r="D22" s="19" t="n">
        <v>348</v>
      </c>
      <c r="E22" s="18" t="n">
        <v>27.64042475</v>
      </c>
      <c r="F22" s="20" t="n">
        <v>2.65615688</v>
      </c>
      <c r="G22" s="18" t="n">
        <v>26.11388846</v>
      </c>
      <c r="H22" s="20" t="n">
        <v>2.65942718</v>
      </c>
      <c r="I22" s="18" t="n">
        <v>37.76132109</v>
      </c>
      <c r="J22" s="20" t="n">
        <v>3.43631938</v>
      </c>
      <c r="K22" s="18" t="s">
        <v>431</v>
      </c>
      <c r="L22" s="20" t="s">
        <v>431</v>
      </c>
      <c r="M22" s="18" t="n">
        <v>0.64906161</v>
      </c>
      <c r="N22" s="20" t="n">
        <v>0.5114613099999999</v>
      </c>
      <c r="O22" s="18" t="n">
        <v>0</v>
      </c>
      <c r="P22" s="20" t="n">
        <v>0</v>
      </c>
      <c r="Q22" s="18" t="n">
        <v>0</v>
      </c>
      <c r="R22" s="20" t="n">
        <v>0</v>
      </c>
      <c r="S22" s="18" t="n">
        <v>7.83530409</v>
      </c>
      <c r="T22" s="20" t="n">
        <v>1.58603836</v>
      </c>
    </row>
    <row r="23" spans="1:20">
      <c r="A23" s="15" t="s">
        <v>447</v>
      </c>
      <c r="B23" s="17" t="n">
        <v>5791</v>
      </c>
      <c r="C23" s="18">
        <f>(5102.0/B23*100)</f>
        <v/>
      </c>
      <c r="D23" s="19" t="n">
        <v>689</v>
      </c>
      <c r="E23" s="18" t="n">
        <v>36.23219871</v>
      </c>
      <c r="F23" s="20" t="n">
        <v>2.10286798</v>
      </c>
      <c r="G23" s="18" t="n">
        <v>22.48208216</v>
      </c>
      <c r="H23" s="20" t="n">
        <v>1.87182149</v>
      </c>
      <c r="I23" s="18" t="n">
        <v>32.43954603</v>
      </c>
      <c r="J23" s="20" t="n">
        <v>2.35501523</v>
      </c>
      <c r="K23" s="18" t="s">
        <v>431</v>
      </c>
      <c r="L23" s="20" t="s">
        <v>431</v>
      </c>
      <c r="M23" s="18" t="n">
        <v>0.9785641</v>
      </c>
      <c r="N23" s="20" t="n">
        <v>0.72639308</v>
      </c>
      <c r="O23" s="18" t="n">
        <v>0.30356416</v>
      </c>
      <c r="P23" s="20" t="n">
        <v>0.2064227</v>
      </c>
      <c r="Q23" s="18" t="n">
        <v>0</v>
      </c>
      <c r="R23" s="20" t="n">
        <v>0</v>
      </c>
      <c r="S23" s="18" t="n">
        <v>7.56404484</v>
      </c>
      <c r="T23" s="20" t="n">
        <v>1.67953361</v>
      </c>
    </row>
    <row r="24" spans="1:20">
      <c r="A24" s="15" t="s">
        <v>448</v>
      </c>
      <c r="B24" s="17" t="n">
        <v>3338</v>
      </c>
      <c r="C24" s="18">
        <f>(2931.0/B24*100)</f>
        <v/>
      </c>
      <c r="D24" s="19" t="n">
        <v>407</v>
      </c>
      <c r="E24" s="18" t="n">
        <v>28.6689422</v>
      </c>
      <c r="F24" s="20" t="n">
        <v>2.5221539</v>
      </c>
      <c r="G24" s="18" t="n">
        <v>26.98061964</v>
      </c>
      <c r="H24" s="20" t="n">
        <v>2.31737436</v>
      </c>
      <c r="I24" s="18" t="n">
        <v>37.95655348</v>
      </c>
      <c r="J24" s="20" t="n">
        <v>2.45081397</v>
      </c>
      <c r="K24" s="18" t="s">
        <v>431</v>
      </c>
      <c r="L24" s="20" t="s">
        <v>431</v>
      </c>
      <c r="M24" s="18" t="n">
        <v>0.23157811</v>
      </c>
      <c r="N24" s="20" t="n">
        <v>0.23110866</v>
      </c>
      <c r="O24" s="18" t="n">
        <v>0</v>
      </c>
      <c r="P24" s="20" t="n">
        <v>0</v>
      </c>
      <c r="Q24" s="18" t="n">
        <v>0</v>
      </c>
      <c r="R24" s="20" t="n">
        <v>0</v>
      </c>
      <c r="S24" s="18" t="n">
        <v>6.16230656</v>
      </c>
      <c r="T24" s="20" t="n">
        <v>1.20547423</v>
      </c>
    </row>
    <row r="25" spans="1:20">
      <c r="A25" s="15" t="s">
        <v>449</v>
      </c>
      <c r="B25" s="17" t="n">
        <v>2912</v>
      </c>
      <c r="C25" s="18">
        <f>(2540.0/B25*100)</f>
        <v/>
      </c>
      <c r="D25" s="19" t="n">
        <v>372</v>
      </c>
      <c r="E25" s="18" t="n">
        <v>27.63266805</v>
      </c>
      <c r="F25" s="20" t="n">
        <v>2.48589937</v>
      </c>
      <c r="G25" s="18" t="n">
        <v>18.30770011</v>
      </c>
      <c r="H25" s="20" t="n">
        <v>1.7648667</v>
      </c>
      <c r="I25" s="18" t="n">
        <v>45.75081237</v>
      </c>
      <c r="J25" s="20" t="n">
        <v>2.79494426</v>
      </c>
      <c r="K25" s="18" t="s">
        <v>431</v>
      </c>
      <c r="L25" s="20" t="s">
        <v>431</v>
      </c>
      <c r="M25" s="18" t="n">
        <v>0</v>
      </c>
      <c r="N25" s="20" t="n">
        <v>0</v>
      </c>
      <c r="O25" s="18" t="n">
        <v>0.27566831</v>
      </c>
      <c r="P25" s="20" t="n">
        <v>0.27512174</v>
      </c>
      <c r="Q25" s="18" t="n">
        <v>0</v>
      </c>
      <c r="R25" s="20" t="n">
        <v>0</v>
      </c>
      <c r="S25" s="18" t="n">
        <v>8.033151139999999</v>
      </c>
      <c r="T25" s="20" t="n">
        <v>1.42048318</v>
      </c>
    </row>
    <row r="26" spans="1:20">
      <c r="A26" s="15" t="s">
        <v>450</v>
      </c>
      <c r="B26" s="17" t="n">
        <v>2450</v>
      </c>
      <c r="C26" s="18">
        <f>(2160.0/B26*100)</f>
        <v/>
      </c>
      <c r="D26" s="19" t="n">
        <v>290</v>
      </c>
      <c r="E26" s="18" t="n">
        <v>27.56044767</v>
      </c>
      <c r="F26" s="20" t="n">
        <v>2.66720113</v>
      </c>
      <c r="G26" s="18" t="n">
        <v>31.13499189</v>
      </c>
      <c r="H26" s="20" t="n">
        <v>2.91434654</v>
      </c>
      <c r="I26" s="18" t="n">
        <v>36.22659262</v>
      </c>
      <c r="J26" s="20" t="n">
        <v>2.84343873</v>
      </c>
      <c r="K26" s="18" t="s">
        <v>431</v>
      </c>
      <c r="L26" s="20" t="s">
        <v>431</v>
      </c>
      <c r="M26" s="18" t="n">
        <v>0</v>
      </c>
      <c r="N26" s="20" t="n">
        <v>0</v>
      </c>
      <c r="O26" s="18" t="n">
        <v>0</v>
      </c>
      <c r="P26" s="20" t="n">
        <v>0</v>
      </c>
      <c r="Q26" s="18" t="n">
        <v>0</v>
      </c>
      <c r="R26" s="20" t="n">
        <v>0</v>
      </c>
      <c r="S26" s="18" t="n">
        <v>5.07796782</v>
      </c>
      <c r="T26" s="20" t="n">
        <v>1.44986378</v>
      </c>
    </row>
    <row r="27" spans="1:20">
      <c r="A27" s="15" t="s">
        <v>451</v>
      </c>
      <c r="B27" s="17" t="n">
        <v>2616</v>
      </c>
      <c r="C27" s="18">
        <f>(2281.0/B27*100)</f>
        <v/>
      </c>
      <c r="D27" s="19" t="n">
        <v>335</v>
      </c>
      <c r="E27" s="18" t="n">
        <v>27.28614465</v>
      </c>
      <c r="F27" s="20" t="n">
        <v>2.37463107</v>
      </c>
      <c r="G27" s="18" t="n">
        <v>37.49704221</v>
      </c>
      <c r="H27" s="20" t="n">
        <v>2.76710463</v>
      </c>
      <c r="I27" s="18" t="n">
        <v>27.04738338</v>
      </c>
      <c r="J27" s="20" t="n">
        <v>2.37669091</v>
      </c>
      <c r="K27" s="18" t="s">
        <v>431</v>
      </c>
      <c r="L27" s="20" t="s">
        <v>431</v>
      </c>
      <c r="M27" s="18" t="n">
        <v>0.9108196200000001</v>
      </c>
      <c r="N27" s="20" t="n">
        <v>0.52220204</v>
      </c>
      <c r="O27" s="18" t="n">
        <v>0</v>
      </c>
      <c r="P27" s="20" t="n">
        <v>0</v>
      </c>
      <c r="Q27" s="18" t="n">
        <v>0</v>
      </c>
      <c r="R27" s="20" t="n">
        <v>0</v>
      </c>
      <c r="S27" s="18" t="n">
        <v>7.25861015</v>
      </c>
      <c r="T27" s="20" t="n">
        <v>1.43176088</v>
      </c>
    </row>
    <row r="28" spans="1:20">
      <c r="A28" s="15" t="s">
        <v>452</v>
      </c>
      <c r="B28" s="17" t="n">
        <v>3765</v>
      </c>
      <c r="C28" s="18">
        <f>(3345.0/B28*100)</f>
        <v/>
      </c>
      <c r="D28" s="19" t="n">
        <v>420</v>
      </c>
      <c r="E28" s="18" t="n">
        <v>30.41275347</v>
      </c>
      <c r="F28" s="20" t="n">
        <v>2.61563812</v>
      </c>
      <c r="G28" s="18" t="n">
        <v>35.93872549</v>
      </c>
      <c r="H28" s="20" t="n">
        <v>2.58909863</v>
      </c>
      <c r="I28" s="18" t="n">
        <v>31.72449017</v>
      </c>
      <c r="J28" s="20" t="n">
        <v>2.51347255</v>
      </c>
      <c r="K28" s="18" t="s">
        <v>431</v>
      </c>
      <c r="L28" s="20" t="s">
        <v>431</v>
      </c>
      <c r="M28" s="18" t="n">
        <v>0.31448322</v>
      </c>
      <c r="N28" s="20" t="n">
        <v>0.23096324</v>
      </c>
      <c r="O28" s="18" t="n">
        <v>0</v>
      </c>
      <c r="P28" s="20" t="n">
        <v>0</v>
      </c>
      <c r="Q28" s="18" t="n">
        <v>0</v>
      </c>
      <c r="R28" s="20" t="n">
        <v>0</v>
      </c>
      <c r="S28" s="18" t="n">
        <v>1.60954766</v>
      </c>
      <c r="T28" s="20" t="n">
        <v>0.64644669</v>
      </c>
    </row>
    <row r="29" spans="1:20">
      <c r="A29" s="15" t="s">
        <v>453</v>
      </c>
      <c r="B29" s="17" t="n">
        <v>2685</v>
      </c>
      <c r="C29" s="18">
        <f>(2368.0/B29*100)</f>
        <v/>
      </c>
      <c r="D29" s="19" t="n">
        <v>317</v>
      </c>
      <c r="E29" s="18" t="n">
        <v>26.17272122</v>
      </c>
      <c r="F29" s="20" t="n">
        <v>2.86149058</v>
      </c>
      <c r="G29" s="18" t="n">
        <v>44.0979277</v>
      </c>
      <c r="H29" s="20" t="n">
        <v>2.89085928</v>
      </c>
      <c r="I29" s="18" t="n">
        <v>27.79651018</v>
      </c>
      <c r="J29" s="20" t="n">
        <v>2.95724072</v>
      </c>
      <c r="K29" s="18" t="s">
        <v>431</v>
      </c>
      <c r="L29" s="20" t="s">
        <v>431</v>
      </c>
      <c r="M29" s="18" t="n">
        <v>0</v>
      </c>
      <c r="N29" s="20" t="n">
        <v>0</v>
      </c>
      <c r="O29" s="18" t="n">
        <v>0</v>
      </c>
      <c r="P29" s="20" t="n">
        <v>0</v>
      </c>
      <c r="Q29" s="18" t="n">
        <v>0</v>
      </c>
      <c r="R29" s="20" t="n">
        <v>0</v>
      </c>
      <c r="S29" s="18" t="n">
        <v>1.93284089</v>
      </c>
      <c r="T29" s="20" t="n">
        <v>0.83825952</v>
      </c>
    </row>
    <row r="30" spans="1:20">
      <c r="A30" s="15" t="s">
        <v>454</v>
      </c>
      <c r="B30" s="17" t="n">
        <v>2263</v>
      </c>
      <c r="C30" s="18">
        <f>(1990.0/B30*100)</f>
        <v/>
      </c>
      <c r="D30" s="19" t="n">
        <v>273</v>
      </c>
      <c r="E30" s="18" t="n">
        <v>20.60159028</v>
      </c>
      <c r="F30" s="20" t="n">
        <v>2.33686747</v>
      </c>
      <c r="G30" s="18" t="n">
        <v>25.54408191</v>
      </c>
      <c r="H30" s="20" t="n">
        <v>3.23450763</v>
      </c>
      <c r="I30" s="18" t="n">
        <v>49.05147088</v>
      </c>
      <c r="J30" s="20" t="n">
        <v>3.08164567</v>
      </c>
      <c r="K30" s="18" t="s">
        <v>431</v>
      </c>
      <c r="L30" s="20" t="s">
        <v>431</v>
      </c>
      <c r="M30" s="18" t="n">
        <v>0.3103122</v>
      </c>
      <c r="N30" s="20" t="n">
        <v>0.31402723</v>
      </c>
      <c r="O30" s="18" t="n">
        <v>0</v>
      </c>
      <c r="P30" s="20" t="n">
        <v>0</v>
      </c>
      <c r="Q30" s="18" t="n">
        <v>0</v>
      </c>
      <c r="R30" s="20" t="n">
        <v>0</v>
      </c>
      <c r="S30" s="18" t="n">
        <v>4.49254474</v>
      </c>
      <c r="T30" s="20" t="n">
        <v>1.27891399</v>
      </c>
    </row>
    <row r="31" spans="1:20">
      <c r="A31" s="15" t="s">
        <v>455</v>
      </c>
      <c r="B31" s="17" t="n">
        <v>2750</v>
      </c>
      <c r="C31" s="18">
        <f>(2392.0/B31*100)</f>
        <v/>
      </c>
      <c r="D31" s="19" t="n">
        <v>358</v>
      </c>
      <c r="E31" s="18" t="n">
        <v>21.6280721</v>
      </c>
      <c r="F31" s="20" t="n">
        <v>2.30968582</v>
      </c>
      <c r="G31" s="18" t="n">
        <v>29.38135411</v>
      </c>
      <c r="H31" s="20" t="n">
        <v>2.65158061</v>
      </c>
      <c r="I31" s="18" t="n">
        <v>41.73560552</v>
      </c>
      <c r="J31" s="20" t="n">
        <v>2.54160493</v>
      </c>
      <c r="K31" s="18" t="s">
        <v>431</v>
      </c>
      <c r="L31" s="20" t="s">
        <v>431</v>
      </c>
      <c r="M31" s="18" t="n">
        <v>0.50091677</v>
      </c>
      <c r="N31" s="20" t="n">
        <v>0.34969494</v>
      </c>
      <c r="O31" s="18" t="n">
        <v>0</v>
      </c>
      <c r="P31" s="20" t="n">
        <v>0</v>
      </c>
      <c r="Q31" s="18" t="n">
        <v>0</v>
      </c>
      <c r="R31" s="20" t="n">
        <v>0</v>
      </c>
      <c r="S31" s="18" t="n">
        <v>6.75405151</v>
      </c>
      <c r="T31" s="20" t="n">
        <v>1.45709726</v>
      </c>
    </row>
    <row r="32" spans="1:20">
      <c r="A32" s="15" t="s">
        <v>456</v>
      </c>
      <c r="B32" s="17" t="n">
        <v>2269</v>
      </c>
      <c r="C32" s="18">
        <f>(1891.0/B32*100)</f>
        <v/>
      </c>
      <c r="D32" s="19" t="n">
        <v>378</v>
      </c>
      <c r="E32" s="18" t="n">
        <v>27.0466776</v>
      </c>
      <c r="F32" s="20" t="n">
        <v>2.098507</v>
      </c>
      <c r="G32" s="18" t="n">
        <v>25.66925338</v>
      </c>
      <c r="H32" s="20" t="n">
        <v>2.12478447</v>
      </c>
      <c r="I32" s="18" t="n">
        <v>39.66377469</v>
      </c>
      <c r="J32" s="20" t="n">
        <v>2.44295808</v>
      </c>
      <c r="K32" s="18" t="s">
        <v>431</v>
      </c>
      <c r="L32" s="20" t="s">
        <v>431</v>
      </c>
      <c r="M32" s="18" t="n">
        <v>0.4763477</v>
      </c>
      <c r="N32" s="20" t="n">
        <v>0.33523301</v>
      </c>
      <c r="O32" s="18" t="n">
        <v>0</v>
      </c>
      <c r="P32" s="20" t="n">
        <v>0</v>
      </c>
      <c r="Q32" s="18" t="n">
        <v>0</v>
      </c>
      <c r="R32" s="20" t="n">
        <v>0</v>
      </c>
      <c r="S32" s="18" t="n">
        <v>7.14394663</v>
      </c>
      <c r="T32" s="20" t="n">
        <v>1.42518389</v>
      </c>
    </row>
    <row r="33" spans="1:20">
      <c r="A33" s="15" t="s">
        <v>457</v>
      </c>
      <c r="B33" s="17" t="n">
        <v>3674</v>
      </c>
      <c r="C33" s="18">
        <f>(3210.0/B33*100)</f>
        <v/>
      </c>
      <c r="D33" s="19" t="n">
        <v>464</v>
      </c>
      <c r="E33" s="18" t="n">
        <v>20.03871222</v>
      </c>
      <c r="F33" s="20" t="n">
        <v>2.13938224</v>
      </c>
      <c r="G33" s="18" t="n">
        <v>21.87514001</v>
      </c>
      <c r="H33" s="20" t="n">
        <v>2.10383419</v>
      </c>
      <c r="I33" s="18" t="n">
        <v>52.16959067</v>
      </c>
      <c r="J33" s="20" t="n">
        <v>2.59623988</v>
      </c>
      <c r="K33" s="18" t="s">
        <v>431</v>
      </c>
      <c r="L33" s="20" t="s">
        <v>431</v>
      </c>
      <c r="M33" s="18" t="n">
        <v>0.64788002</v>
      </c>
      <c r="N33" s="20" t="n">
        <v>0.52367213</v>
      </c>
      <c r="O33" s="18" t="n">
        <v>0</v>
      </c>
      <c r="P33" s="20" t="n">
        <v>0</v>
      </c>
      <c r="Q33" s="18" t="n">
        <v>0</v>
      </c>
      <c r="R33" s="20" t="n">
        <v>0</v>
      </c>
      <c r="S33" s="18" t="n">
        <v>5.26867708</v>
      </c>
      <c r="T33" s="20" t="n">
        <v>1.16467223</v>
      </c>
    </row>
    <row r="34" spans="1:20">
      <c r="A34" s="15" t="s">
        <v>458</v>
      </c>
      <c r="B34" s="17" t="n">
        <v>3315</v>
      </c>
      <c r="C34" s="18">
        <f>(2914.0/B34*100)</f>
        <v/>
      </c>
      <c r="D34" s="19" t="n">
        <v>401</v>
      </c>
      <c r="E34" s="18" t="n">
        <v>38.19143364</v>
      </c>
      <c r="F34" s="20" t="n">
        <v>2.79865734</v>
      </c>
      <c r="G34" s="18" t="n">
        <v>27.72015632</v>
      </c>
      <c r="H34" s="20" t="n">
        <v>2.65867524</v>
      </c>
      <c r="I34" s="18" t="n">
        <v>28.21039252</v>
      </c>
      <c r="J34" s="20" t="n">
        <v>2.43967592</v>
      </c>
      <c r="K34" s="18" t="s">
        <v>431</v>
      </c>
      <c r="L34" s="20" t="s">
        <v>431</v>
      </c>
      <c r="M34" s="18" t="n">
        <v>0</v>
      </c>
      <c r="N34" s="20" t="n">
        <v>0</v>
      </c>
      <c r="O34" s="18" t="n">
        <v>0</v>
      </c>
      <c r="P34" s="20" t="n">
        <v>0</v>
      </c>
      <c r="Q34" s="18" t="n">
        <v>0</v>
      </c>
      <c r="R34" s="20" t="n">
        <v>0</v>
      </c>
      <c r="S34" s="18" t="n">
        <v>5.87801751</v>
      </c>
      <c r="T34" s="20" t="n">
        <v>1.11282717</v>
      </c>
    </row>
    <row r="35" spans="1:20">
      <c r="A35" s="15" t="s">
        <v>459</v>
      </c>
      <c r="B35" s="17" t="n">
        <v>3505</v>
      </c>
      <c r="C35" s="18">
        <f>(3087.0/B35*100)</f>
        <v/>
      </c>
      <c r="D35" s="19" t="n">
        <v>418</v>
      </c>
      <c r="E35" s="18" t="n">
        <v>23.12319414</v>
      </c>
      <c r="F35" s="20" t="n">
        <v>2.15361641</v>
      </c>
      <c r="G35" s="18" t="n">
        <v>37.3782315</v>
      </c>
      <c r="H35" s="20" t="n">
        <v>2.8453655</v>
      </c>
      <c r="I35" s="18" t="n">
        <v>36.26733279</v>
      </c>
      <c r="J35" s="20" t="n">
        <v>2.96059616</v>
      </c>
      <c r="K35" s="18" t="s">
        <v>431</v>
      </c>
      <c r="L35" s="20" t="s">
        <v>431</v>
      </c>
      <c r="M35" s="18" t="n">
        <v>0</v>
      </c>
      <c r="N35" s="20" t="n">
        <v>0</v>
      </c>
      <c r="O35" s="18" t="n">
        <v>0</v>
      </c>
      <c r="P35" s="20" t="n">
        <v>0</v>
      </c>
      <c r="Q35" s="18" t="n">
        <v>0</v>
      </c>
      <c r="R35" s="20" t="n">
        <v>0</v>
      </c>
      <c r="S35" s="18" t="n">
        <v>3.23124157</v>
      </c>
      <c r="T35" s="20" t="n">
        <v>0.98882181</v>
      </c>
    </row>
    <row r="36" spans="1:20">
      <c r="A36" s="15" t="s">
        <v>460</v>
      </c>
      <c r="B36" s="17" t="n">
        <v>3332</v>
      </c>
      <c r="C36" s="18">
        <f>(2924.0/B36*100)</f>
        <v/>
      </c>
      <c r="D36" s="19" t="n">
        <v>408</v>
      </c>
      <c r="E36" s="18" t="n">
        <v>20.31080885</v>
      </c>
      <c r="F36" s="20" t="n">
        <v>2.30058025</v>
      </c>
      <c r="G36" s="18" t="n">
        <v>36.23733503</v>
      </c>
      <c r="H36" s="20" t="n">
        <v>2.71839708</v>
      </c>
      <c r="I36" s="18" t="n">
        <v>37.93377827</v>
      </c>
      <c r="J36" s="20" t="n">
        <v>2.35133438</v>
      </c>
      <c r="K36" s="18" t="s">
        <v>431</v>
      </c>
      <c r="L36" s="20" t="s">
        <v>431</v>
      </c>
      <c r="M36" s="18" t="n">
        <v>0.33040328</v>
      </c>
      <c r="N36" s="20" t="n">
        <v>0.22810055</v>
      </c>
      <c r="O36" s="18" t="n">
        <v>0.27613295</v>
      </c>
      <c r="P36" s="20" t="n">
        <v>0.29003358</v>
      </c>
      <c r="Q36" s="18" t="n">
        <v>0</v>
      </c>
      <c r="R36" s="20" t="n">
        <v>0</v>
      </c>
      <c r="S36" s="18" t="n">
        <v>4.91154162</v>
      </c>
      <c r="T36" s="20" t="n">
        <v>0.97695731</v>
      </c>
    </row>
    <row r="37" spans="1:20">
      <c r="A37" s="15" t="s">
        <v>461</v>
      </c>
      <c r="B37" s="17" t="n">
        <v>2727</v>
      </c>
      <c r="C37" s="18">
        <f>(2401.0/B37*100)</f>
        <v/>
      </c>
      <c r="D37" s="19" t="n">
        <v>326</v>
      </c>
      <c r="E37" s="18" t="n">
        <v>25.3899286</v>
      </c>
      <c r="F37" s="20" t="n">
        <v>2.57110163</v>
      </c>
      <c r="G37" s="18" t="n">
        <v>41.17846327</v>
      </c>
      <c r="H37" s="20" t="n">
        <v>2.26020807</v>
      </c>
      <c r="I37" s="18" t="n">
        <v>26.37711905</v>
      </c>
      <c r="J37" s="20" t="n">
        <v>2.09985128</v>
      </c>
      <c r="K37" s="18" t="s">
        <v>431</v>
      </c>
      <c r="L37" s="20" t="s">
        <v>431</v>
      </c>
      <c r="M37" s="18" t="n">
        <v>0.67480537</v>
      </c>
      <c r="N37" s="20" t="n">
        <v>0.47646054</v>
      </c>
      <c r="O37" s="18" t="n">
        <v>0</v>
      </c>
      <c r="P37" s="20" t="n">
        <v>0</v>
      </c>
      <c r="Q37" s="18" t="n">
        <v>0</v>
      </c>
      <c r="R37" s="20" t="n">
        <v>0</v>
      </c>
      <c r="S37" s="18" t="n">
        <v>6.37968371</v>
      </c>
      <c r="T37" s="20" t="n">
        <v>1.32141117</v>
      </c>
    </row>
    <row r="38" spans="1:20">
      <c r="A38" s="15" t="s">
        <v>462</v>
      </c>
      <c r="B38" s="17" t="n">
        <v>3053</v>
      </c>
      <c r="C38" s="18">
        <f>(2538.0/B38*100)</f>
        <v/>
      </c>
      <c r="D38" s="19" t="n">
        <v>515</v>
      </c>
      <c r="E38" s="18" t="n">
        <v>40.5006551</v>
      </c>
      <c r="F38" s="20" t="n">
        <v>2.33683434</v>
      </c>
      <c r="G38" s="18" t="n">
        <v>26.63849281</v>
      </c>
      <c r="H38" s="20" t="n">
        <v>2.33605099</v>
      </c>
      <c r="I38" s="18" t="n">
        <v>28.4002533</v>
      </c>
      <c r="J38" s="20" t="n">
        <v>1.94047728</v>
      </c>
      <c r="K38" s="18" t="s">
        <v>431</v>
      </c>
      <c r="L38" s="20" t="s">
        <v>431</v>
      </c>
      <c r="M38" s="18" t="n">
        <v>0.58221091</v>
      </c>
      <c r="N38" s="20" t="n">
        <v>0.31087395</v>
      </c>
      <c r="O38" s="18" t="n">
        <v>0.1642539</v>
      </c>
      <c r="P38" s="20" t="n">
        <v>0.1632461</v>
      </c>
      <c r="Q38" s="18" t="n">
        <v>0</v>
      </c>
      <c r="R38" s="20" t="n">
        <v>0</v>
      </c>
      <c r="S38" s="18" t="n">
        <v>3.71413398</v>
      </c>
      <c r="T38" s="20" t="n">
        <v>0.92133437</v>
      </c>
    </row>
    <row r="39" spans="1:20">
      <c r="A39" s="15" t="s">
        <v>463</v>
      </c>
      <c r="B39" s="17" t="n">
        <v>2957</v>
      </c>
      <c r="C39" s="18">
        <f>(2592.0/B39*100)</f>
        <v/>
      </c>
      <c r="D39" s="19" t="n">
        <v>365</v>
      </c>
      <c r="E39" s="18" t="n">
        <v>32.69607303</v>
      </c>
      <c r="F39" s="20" t="n">
        <v>2.57552141</v>
      </c>
      <c r="G39" s="18" t="n">
        <v>24.5338374</v>
      </c>
      <c r="H39" s="20" t="n">
        <v>2.43023401</v>
      </c>
      <c r="I39" s="18" t="n">
        <v>36.34894423</v>
      </c>
      <c r="J39" s="20" t="n">
        <v>2.59706966</v>
      </c>
      <c r="K39" s="18" t="s">
        <v>431</v>
      </c>
      <c r="L39" s="20" t="s">
        <v>431</v>
      </c>
      <c r="M39" s="18" t="n">
        <v>0</v>
      </c>
      <c r="N39" s="20" t="n">
        <v>0</v>
      </c>
      <c r="O39" s="18" t="n">
        <v>0.24481936</v>
      </c>
      <c r="P39" s="20" t="n">
        <v>0.2503347</v>
      </c>
      <c r="Q39" s="18" t="n">
        <v>0</v>
      </c>
      <c r="R39" s="20" t="n">
        <v>0</v>
      </c>
      <c r="S39" s="18" t="n">
        <v>6.17632598</v>
      </c>
      <c r="T39" s="20" t="n">
        <v>1.24805801</v>
      </c>
    </row>
    <row r="40" spans="1:20">
      <c r="A40" s="15" t="s">
        <v>464</v>
      </c>
      <c r="B40" s="17" t="n">
        <v>7235</v>
      </c>
      <c r="C40" s="18">
        <f>(6353.0/B40*100)</f>
        <v/>
      </c>
      <c r="D40" s="19" t="n">
        <v>882</v>
      </c>
      <c r="E40" s="18" t="n">
        <v>23.66680543</v>
      </c>
      <c r="F40" s="20" t="n">
        <v>2.27980034</v>
      </c>
      <c r="G40" s="18" t="n">
        <v>31.83164423</v>
      </c>
      <c r="H40" s="20" t="n">
        <v>2.16719419</v>
      </c>
      <c r="I40" s="18" t="n">
        <v>36.20414245</v>
      </c>
      <c r="J40" s="20" t="n">
        <v>2.81122206</v>
      </c>
      <c r="K40" s="18" t="s">
        <v>431</v>
      </c>
      <c r="L40" s="20" t="s">
        <v>431</v>
      </c>
      <c r="M40" s="18" t="n">
        <v>0.48864599</v>
      </c>
      <c r="N40" s="20" t="n">
        <v>0.28021616</v>
      </c>
      <c r="O40" s="18" t="n">
        <v>0.29708949</v>
      </c>
      <c r="P40" s="20" t="n">
        <v>0.29324644</v>
      </c>
      <c r="Q40" s="18" t="n">
        <v>0</v>
      </c>
      <c r="R40" s="20" t="n">
        <v>0</v>
      </c>
      <c r="S40" s="18" t="n">
        <v>7.51167241</v>
      </c>
      <c r="T40" s="20" t="n">
        <v>1.57355583</v>
      </c>
    </row>
    <row r="41" spans="1:20">
      <c r="A41" s="15" t="s">
        <v>465</v>
      </c>
      <c r="B41" s="17" t="n">
        <v>2858</v>
      </c>
      <c r="C41" s="18">
        <f>(2507.0/B41*100)</f>
        <v/>
      </c>
      <c r="D41" s="19" t="n">
        <v>351</v>
      </c>
      <c r="E41" s="18" t="n">
        <v>19.71597092</v>
      </c>
      <c r="F41" s="20" t="n">
        <v>1.90081236</v>
      </c>
      <c r="G41" s="18" t="n">
        <v>34.0795383</v>
      </c>
      <c r="H41" s="20" t="n">
        <v>2.44789191</v>
      </c>
      <c r="I41" s="18" t="n">
        <v>41.52617889</v>
      </c>
      <c r="J41" s="20" t="n">
        <v>3.03535136</v>
      </c>
      <c r="K41" s="18" t="s">
        <v>431</v>
      </c>
      <c r="L41" s="20" t="s">
        <v>431</v>
      </c>
      <c r="M41" s="18" t="n">
        <v>0</v>
      </c>
      <c r="N41" s="20" t="n">
        <v>0</v>
      </c>
      <c r="O41" s="18" t="n">
        <v>0</v>
      </c>
      <c r="P41" s="20" t="n">
        <v>0</v>
      </c>
      <c r="Q41" s="18" t="n">
        <v>0</v>
      </c>
      <c r="R41" s="20" t="n">
        <v>0</v>
      </c>
      <c r="S41" s="18" t="n">
        <v>4.6783119</v>
      </c>
      <c r="T41" s="20" t="n">
        <v>1.19969483</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11068</v>
      </c>
      <c r="C46" s="18">
        <f>(9832.0/B46*100)</f>
        <v/>
      </c>
      <c r="D46" s="19" t="n">
        <v>1236</v>
      </c>
      <c r="E46" s="18" t="n">
        <v>32.12092379</v>
      </c>
      <c r="F46" s="20" t="n">
        <v>1.62750365</v>
      </c>
      <c r="G46" s="18" t="n">
        <v>23.70844518</v>
      </c>
      <c r="H46" s="20" t="n">
        <v>1.52860565</v>
      </c>
      <c r="I46" s="18" t="n">
        <v>34.53211086</v>
      </c>
      <c r="J46" s="20" t="n">
        <v>1.9102262</v>
      </c>
      <c r="K46" s="18" t="s">
        <v>431</v>
      </c>
      <c r="L46" s="20" t="s">
        <v>431</v>
      </c>
      <c r="M46" s="18" t="n">
        <v>0.4678522</v>
      </c>
      <c r="N46" s="20" t="n">
        <v>0.12093949</v>
      </c>
      <c r="O46" s="18" t="n">
        <v>0.10021279</v>
      </c>
      <c r="P46" s="20" t="n">
        <v>0.05283396</v>
      </c>
      <c r="Q46" s="18" t="n">
        <v>0</v>
      </c>
      <c r="R46" s="20" t="n">
        <v>0</v>
      </c>
      <c r="S46" s="18" t="n">
        <v>9.070455170000001</v>
      </c>
      <c r="T46" s="20" t="n">
        <v>1.12106625</v>
      </c>
    </row>
    <row r="47" spans="1:20">
      <c r="A47" s="15" t="s">
        <v>471</v>
      </c>
      <c r="B47" s="17" t="n">
        <v>3105</v>
      </c>
      <c r="C47" s="18">
        <f>(2728.0/B47*100)</f>
        <v/>
      </c>
      <c r="D47" s="19" t="n">
        <v>377</v>
      </c>
      <c r="E47" s="18" t="n">
        <v>42.99631427</v>
      </c>
      <c r="F47" s="20" t="n">
        <v>2.79270965</v>
      </c>
      <c r="G47" s="18" t="n">
        <v>23.41793415</v>
      </c>
      <c r="H47" s="20" t="n">
        <v>2.28802679</v>
      </c>
      <c r="I47" s="18" t="n">
        <v>19.89399352</v>
      </c>
      <c r="J47" s="20" t="n">
        <v>1.83567754</v>
      </c>
      <c r="K47" s="18" t="s">
        <v>431</v>
      </c>
      <c r="L47" s="20" t="s">
        <v>431</v>
      </c>
      <c r="M47" s="18" t="n">
        <v>0.5056549299999999</v>
      </c>
      <c r="N47" s="20" t="n">
        <v>0.37161112</v>
      </c>
      <c r="O47" s="18" t="n">
        <v>0</v>
      </c>
      <c r="P47" s="20" t="n">
        <v>0</v>
      </c>
      <c r="Q47" s="18" t="n">
        <v>0</v>
      </c>
      <c r="R47" s="20" t="n">
        <v>0</v>
      </c>
      <c r="S47" s="18" t="n">
        <v>13.18610312</v>
      </c>
      <c r="T47" s="20" t="n">
        <v>2.17464564</v>
      </c>
    </row>
    <row r="48" spans="1:20">
      <c r="A48" s="15" t="s">
        <v>472</v>
      </c>
      <c r="B48" s="17" t="n">
        <v>5159</v>
      </c>
      <c r="C48" s="18">
        <f>(4501.0/B48*100)</f>
        <v/>
      </c>
      <c r="D48" s="19" t="n">
        <v>658</v>
      </c>
      <c r="E48" s="18" t="n">
        <v>22.13689905</v>
      </c>
      <c r="F48" s="20" t="n">
        <v>2.34419132</v>
      </c>
      <c r="G48" s="18" t="n">
        <v>6.38711852</v>
      </c>
      <c r="H48" s="20" t="n">
        <v>1.46474792</v>
      </c>
      <c r="I48" s="18" t="n">
        <v>62.14810512</v>
      </c>
      <c r="J48" s="20" t="n">
        <v>2.73227566</v>
      </c>
      <c r="K48" s="18" t="s">
        <v>431</v>
      </c>
      <c r="L48" s="20" t="s">
        <v>431</v>
      </c>
      <c r="M48" s="18" t="n">
        <v>0.50576922</v>
      </c>
      <c r="N48" s="20" t="n">
        <v>0.39481567</v>
      </c>
      <c r="O48" s="18" t="n">
        <v>0</v>
      </c>
      <c r="P48" s="20" t="n">
        <v>0</v>
      </c>
      <c r="Q48" s="18" t="n">
        <v>0</v>
      </c>
      <c r="R48" s="20" t="n">
        <v>0</v>
      </c>
      <c r="S48" s="18" t="n">
        <v>8.82210808</v>
      </c>
      <c r="T48" s="20" t="n">
        <v>1.67678846</v>
      </c>
    </row>
    <row r="49" spans="1:20">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5637</v>
      </c>
      <c r="C50" s="18">
        <f>(4979.0/B50*100)</f>
        <v/>
      </c>
      <c r="D50" s="19" t="n">
        <v>658</v>
      </c>
      <c r="E50" s="18" t="n">
        <v>26.09175418</v>
      </c>
      <c r="F50" s="20" t="n">
        <v>2.1440888</v>
      </c>
      <c r="G50" s="18" t="n">
        <v>31.26086878</v>
      </c>
      <c r="H50" s="20" t="n">
        <v>2.36346314</v>
      </c>
      <c r="I50" s="18" t="n">
        <v>37.96026752</v>
      </c>
      <c r="J50" s="20" t="n">
        <v>2.48984209</v>
      </c>
      <c r="K50" s="18" t="s">
        <v>431</v>
      </c>
      <c r="L50" s="20" t="s">
        <v>431</v>
      </c>
      <c r="M50" s="18" t="n">
        <v>1.18823853</v>
      </c>
      <c r="N50" s="20" t="n">
        <v>0.58744537</v>
      </c>
      <c r="O50" s="18" t="n">
        <v>0</v>
      </c>
      <c r="P50" s="20" t="n">
        <v>0</v>
      </c>
      <c r="Q50" s="18" t="n">
        <v>0</v>
      </c>
      <c r="R50" s="20" t="n">
        <v>0</v>
      </c>
      <c r="S50" s="18" t="n">
        <v>3.498871</v>
      </c>
      <c r="T50" s="20" t="n">
        <v>1.19419356</v>
      </c>
    </row>
    <row r="51" spans="1:20">
      <c r="A51" s="15" t="s">
        <v>475</v>
      </c>
      <c r="B51" s="17" t="n">
        <v>3372</v>
      </c>
      <c r="C51" s="18">
        <f>(3047.0/B51*100)</f>
        <v/>
      </c>
      <c r="D51" s="19" t="n">
        <v>325</v>
      </c>
      <c r="E51" s="18" t="n">
        <v>33.59817131</v>
      </c>
      <c r="F51" s="20" t="n">
        <v>2.5538401</v>
      </c>
      <c r="G51" s="18" t="n">
        <v>28.25017899</v>
      </c>
      <c r="H51" s="20" t="n">
        <v>2.64731958</v>
      </c>
      <c r="I51" s="18" t="n">
        <v>33.56792718</v>
      </c>
      <c r="J51" s="20" t="n">
        <v>2.66589528</v>
      </c>
      <c r="K51" s="18" t="s">
        <v>431</v>
      </c>
      <c r="L51" s="20" t="s">
        <v>431</v>
      </c>
      <c r="M51" s="18" t="n">
        <v>0.45412476</v>
      </c>
      <c r="N51" s="20" t="n">
        <v>0.40636692</v>
      </c>
      <c r="O51" s="18" t="n">
        <v>0</v>
      </c>
      <c r="P51" s="20" t="n">
        <v>0</v>
      </c>
      <c r="Q51" s="18" t="n">
        <v>0</v>
      </c>
      <c r="R51" s="20" t="n">
        <v>0</v>
      </c>
      <c r="S51" s="18" t="n">
        <v>4.12959776</v>
      </c>
      <c r="T51" s="20" t="n">
        <v>1.36149204</v>
      </c>
    </row>
    <row r="52" spans="1:20">
      <c r="A52" s="15" t="s">
        <v>476</v>
      </c>
      <c r="B52" s="17" t="n">
        <v>2796</v>
      </c>
      <c r="C52" s="18">
        <f>(2447.0/B52*100)</f>
        <v/>
      </c>
      <c r="D52" s="19" t="n">
        <v>349</v>
      </c>
      <c r="E52" s="18" t="n">
        <v>25.57054151</v>
      </c>
      <c r="F52" s="20" t="n">
        <v>2.53947998</v>
      </c>
      <c r="G52" s="18" t="n">
        <v>32.64842945</v>
      </c>
      <c r="H52" s="20" t="n">
        <v>2.51412409</v>
      </c>
      <c r="I52" s="18" t="n">
        <v>36.18592076</v>
      </c>
      <c r="J52" s="20" t="n">
        <v>2.46388885</v>
      </c>
      <c r="K52" s="18" t="s">
        <v>431</v>
      </c>
      <c r="L52" s="20" t="s">
        <v>431</v>
      </c>
      <c r="M52" s="18" t="n">
        <v>0.31784052</v>
      </c>
      <c r="N52" s="20" t="n">
        <v>0.31783941</v>
      </c>
      <c r="O52" s="18" t="n">
        <v>0</v>
      </c>
      <c r="P52" s="20" t="n">
        <v>0</v>
      </c>
      <c r="Q52" s="18" t="n">
        <v>0</v>
      </c>
      <c r="R52" s="20" t="n">
        <v>0</v>
      </c>
      <c r="S52" s="18" t="n">
        <v>5.27726776</v>
      </c>
      <c r="T52" s="20" t="n">
        <v>1.36003761</v>
      </c>
    </row>
    <row r="53" spans="1:20">
      <c r="A53" s="15" t="s">
        <v>477</v>
      </c>
      <c r="B53" s="17" t="n">
        <v>2811</v>
      </c>
      <c r="C53" s="18">
        <f>(2462.0/B53*100)</f>
        <v/>
      </c>
      <c r="D53" s="19" t="n">
        <v>349</v>
      </c>
      <c r="E53" s="18" t="n">
        <v>35.23099765</v>
      </c>
      <c r="F53" s="20" t="n">
        <v>2.35643649</v>
      </c>
      <c r="G53" s="18" t="n">
        <v>17.12622056</v>
      </c>
      <c r="H53" s="20" t="n">
        <v>1.82126468</v>
      </c>
      <c r="I53" s="18" t="n">
        <v>32.60258493</v>
      </c>
      <c r="J53" s="20" t="n">
        <v>2.42964672</v>
      </c>
      <c r="K53" s="18" t="s">
        <v>431</v>
      </c>
      <c r="L53" s="20" t="s">
        <v>431</v>
      </c>
      <c r="M53" s="18" t="n">
        <v>0.43997068</v>
      </c>
      <c r="N53" s="20" t="n">
        <v>0.31018117</v>
      </c>
      <c r="O53" s="18" t="n">
        <v>0</v>
      </c>
      <c r="P53" s="20" t="n">
        <v>0</v>
      </c>
      <c r="Q53" s="18" t="n">
        <v>0</v>
      </c>
      <c r="R53" s="20" t="n">
        <v>0</v>
      </c>
      <c r="S53" s="18" t="n">
        <v>14.60022619</v>
      </c>
      <c r="T53" s="20" t="n">
        <v>1.83569885</v>
      </c>
    </row>
    <row r="54" spans="1:20">
      <c r="A54" s="15" t="s">
        <v>478</v>
      </c>
      <c r="B54" s="17" t="n">
        <v>2266</v>
      </c>
      <c r="C54" s="18">
        <f>(1857.0/B54*100)</f>
        <v/>
      </c>
      <c r="D54" s="19" t="n">
        <v>409</v>
      </c>
      <c r="E54" s="18" t="n">
        <v>22.92170077</v>
      </c>
      <c r="F54" s="20" t="n">
        <v>2.50772478</v>
      </c>
      <c r="G54" s="18" t="n">
        <v>23.5880421</v>
      </c>
      <c r="H54" s="20" t="n">
        <v>2.18784586</v>
      </c>
      <c r="I54" s="18" t="n">
        <v>34.17253196</v>
      </c>
      <c r="J54" s="20" t="n">
        <v>3.10796583</v>
      </c>
      <c r="K54" s="18" t="s">
        <v>431</v>
      </c>
      <c r="L54" s="20" t="s">
        <v>431</v>
      </c>
      <c r="M54" s="18" t="n">
        <v>9.559322659999999</v>
      </c>
      <c r="N54" s="20" t="n">
        <v>1.54856361</v>
      </c>
      <c r="O54" s="18" t="n">
        <v>0.24346317</v>
      </c>
      <c r="P54" s="20" t="n">
        <v>0.23462787</v>
      </c>
      <c r="Q54" s="18" t="n">
        <v>0</v>
      </c>
      <c r="R54" s="20" t="n">
        <v>0</v>
      </c>
      <c r="S54" s="18" t="n">
        <v>9.51493934</v>
      </c>
      <c r="T54" s="20" t="n">
        <v>1.86344676</v>
      </c>
    </row>
    <row r="55" spans="1:20">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2684</v>
      </c>
      <c r="C56" s="18">
        <f>(2351.0/B56*100)</f>
        <v/>
      </c>
      <c r="D56" s="19" t="n">
        <v>333</v>
      </c>
      <c r="E56" s="18" t="n">
        <v>22.32167165</v>
      </c>
      <c r="F56" s="20" t="n">
        <v>2.25037344</v>
      </c>
      <c r="G56" s="18" t="n">
        <v>21.8097077</v>
      </c>
      <c r="H56" s="20" t="n">
        <v>2.23480385</v>
      </c>
      <c r="I56" s="18" t="n">
        <v>51.1864901</v>
      </c>
      <c r="J56" s="20" t="n">
        <v>2.56720521</v>
      </c>
      <c r="K56" s="18" t="s">
        <v>431</v>
      </c>
      <c r="L56" s="20" t="s">
        <v>431</v>
      </c>
      <c r="M56" s="18" t="n">
        <v>0</v>
      </c>
      <c r="N56" s="20" t="n">
        <v>0</v>
      </c>
      <c r="O56" s="18" t="n">
        <v>0</v>
      </c>
      <c r="P56" s="20" t="n">
        <v>0</v>
      </c>
      <c r="Q56" s="18" t="n">
        <v>0</v>
      </c>
      <c r="R56" s="20" t="n">
        <v>0</v>
      </c>
      <c r="S56" s="18" t="n">
        <v>4.68213055</v>
      </c>
      <c r="T56" s="20" t="n">
        <v>1.12634211</v>
      </c>
    </row>
    <row r="57" spans="1:20">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3324</v>
      </c>
      <c r="C61" s="18">
        <f>(2918.0/B61*100)</f>
        <v/>
      </c>
      <c r="D61" s="19" t="n">
        <v>406</v>
      </c>
      <c r="E61" s="18" t="n">
        <v>31.47857134</v>
      </c>
      <c r="F61" s="20" t="n">
        <v>2.51856199</v>
      </c>
      <c r="G61" s="18" t="n">
        <v>33.21156982</v>
      </c>
      <c r="H61" s="20" t="n">
        <v>2.55221461</v>
      </c>
      <c r="I61" s="18" t="n">
        <v>29.17628659</v>
      </c>
      <c r="J61" s="20" t="n">
        <v>2.38962888</v>
      </c>
      <c r="K61" s="18" t="s">
        <v>431</v>
      </c>
      <c r="L61" s="20" t="s">
        <v>431</v>
      </c>
      <c r="M61" s="18" t="n">
        <v>0.25385066</v>
      </c>
      <c r="N61" s="20" t="n">
        <v>0.17698424</v>
      </c>
      <c r="O61" s="18" t="n">
        <v>0</v>
      </c>
      <c r="P61" s="20" t="n">
        <v>0</v>
      </c>
      <c r="Q61" s="18" t="n">
        <v>0</v>
      </c>
      <c r="R61" s="20" t="n">
        <v>0</v>
      </c>
      <c r="S61" s="18" t="n">
        <v>5.87972159</v>
      </c>
      <c r="T61" s="20" t="n">
        <v>1.32729041</v>
      </c>
    </row>
    <row r="62" spans="1:20">
      <c r="A62" s="15" t="s">
        <v>486</v>
      </c>
      <c r="B62" s="17" t="n">
        <v>2246</v>
      </c>
      <c r="C62" s="18">
        <f>(1979.0/B62*100)</f>
        <v/>
      </c>
      <c r="D62" s="19" t="n">
        <v>267</v>
      </c>
      <c r="E62" s="18" t="n">
        <v>42.04086112</v>
      </c>
      <c r="F62" s="20" t="n">
        <v>3.14540879</v>
      </c>
      <c r="G62" s="18" t="n">
        <v>11.55260283</v>
      </c>
      <c r="H62" s="20" t="n">
        <v>2.16281069</v>
      </c>
      <c r="I62" s="18" t="n">
        <v>44.16552114</v>
      </c>
      <c r="J62" s="20" t="n">
        <v>3.38915085</v>
      </c>
      <c r="K62" s="18" t="s">
        <v>431</v>
      </c>
      <c r="L62" s="20" t="s">
        <v>431</v>
      </c>
      <c r="M62" s="18" t="n">
        <v>0</v>
      </c>
      <c r="N62" s="20" t="n">
        <v>0</v>
      </c>
      <c r="O62" s="18" t="n">
        <v>0</v>
      </c>
      <c r="P62" s="20" t="n">
        <v>0</v>
      </c>
      <c r="Q62" s="18" t="n">
        <v>0</v>
      </c>
      <c r="R62" s="20" t="n">
        <v>0</v>
      </c>
      <c r="S62" s="18" t="n">
        <v>2.24101492</v>
      </c>
      <c r="T62" s="20" t="n">
        <v>0.90686945</v>
      </c>
    </row>
    <row r="63" spans="1:20">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2894</v>
      </c>
      <c r="C66" s="18">
        <f>(2535.0/B66*100)</f>
        <v/>
      </c>
      <c r="D66" s="19" t="n">
        <v>359</v>
      </c>
      <c r="E66" s="18" t="n">
        <v>32.71517214</v>
      </c>
      <c r="F66" s="20" t="n">
        <v>2.54051319</v>
      </c>
      <c r="G66" s="18" t="n">
        <v>15.7896801</v>
      </c>
      <c r="H66" s="20" t="n">
        <v>2.10359386</v>
      </c>
      <c r="I66" s="18" t="n">
        <v>37.04694053</v>
      </c>
      <c r="J66" s="20" t="n">
        <v>2.9333014</v>
      </c>
      <c r="K66" s="18" t="s">
        <v>431</v>
      </c>
      <c r="L66" s="20" t="s">
        <v>431</v>
      </c>
      <c r="M66" s="18" t="n">
        <v>1.11999998</v>
      </c>
      <c r="N66" s="20" t="n">
        <v>0.55891466</v>
      </c>
      <c r="O66" s="18" t="n">
        <v>0.24926162</v>
      </c>
      <c r="P66" s="20" t="n">
        <v>0.24966112</v>
      </c>
      <c r="Q66" s="18" t="n">
        <v>0</v>
      </c>
      <c r="R66" s="20" t="n">
        <v>0</v>
      </c>
      <c r="S66" s="18" t="n">
        <v>13.07894562</v>
      </c>
      <c r="T66" s="20" t="n">
        <v>1.66281295</v>
      </c>
    </row>
    <row r="67" spans="1:20">
      <c r="A67" s="15" t="s">
        <v>491</v>
      </c>
      <c r="B67" s="17" t="n">
        <v>3511</v>
      </c>
      <c r="C67" s="18">
        <f>(3123.0/B67*100)</f>
        <v/>
      </c>
      <c r="D67" s="19" t="n">
        <v>388</v>
      </c>
      <c r="E67" s="18" t="n">
        <v>42.58939791</v>
      </c>
      <c r="F67" s="20" t="n">
        <v>2.14351587</v>
      </c>
      <c r="G67" s="18" t="n">
        <v>31.62364916</v>
      </c>
      <c r="H67" s="20" t="n">
        <v>1.96527461</v>
      </c>
      <c r="I67" s="18" t="n">
        <v>20.74875064</v>
      </c>
      <c r="J67" s="20" t="n">
        <v>2.0150369</v>
      </c>
      <c r="K67" s="18" t="s">
        <v>431</v>
      </c>
      <c r="L67" s="20" t="s">
        <v>431</v>
      </c>
      <c r="M67" s="18" t="n">
        <v>0.33908542</v>
      </c>
      <c r="N67" s="20" t="n">
        <v>0.33663517</v>
      </c>
      <c r="O67" s="18" t="n">
        <v>0</v>
      </c>
      <c r="P67" s="20" t="n">
        <v>0</v>
      </c>
      <c r="Q67" s="18" t="n">
        <v>0</v>
      </c>
      <c r="R67" s="20" t="n">
        <v>0</v>
      </c>
      <c r="S67" s="18" t="n">
        <v>4.69911687</v>
      </c>
      <c r="T67" s="20" t="n">
        <v>1.10174371</v>
      </c>
    </row>
    <row r="68" spans="1:20">
      <c r="A68" s="15" t="s">
        <v>492</v>
      </c>
      <c r="B68" s="17" t="n">
        <v>6049</v>
      </c>
      <c r="C68" s="18">
        <f>(5050.0/B68*100)</f>
        <v/>
      </c>
      <c r="D68" s="19" t="n">
        <v>999</v>
      </c>
      <c r="E68" s="18" t="n">
        <v>47.12977215</v>
      </c>
      <c r="F68" s="20" t="n">
        <v>1.52906347</v>
      </c>
      <c r="G68" s="18" t="n">
        <v>22.59992952</v>
      </c>
      <c r="H68" s="20" t="n">
        <v>1.28820329</v>
      </c>
      <c r="I68" s="18" t="n">
        <v>18.46986311</v>
      </c>
      <c r="J68" s="20" t="n">
        <v>1.25600091</v>
      </c>
      <c r="K68" s="18" t="s">
        <v>431</v>
      </c>
      <c r="L68" s="20" t="s">
        <v>431</v>
      </c>
      <c r="M68" s="18" t="n">
        <v>2.67767914</v>
      </c>
      <c r="N68" s="20" t="n">
        <v>0.52209264</v>
      </c>
      <c r="O68" s="18" t="n">
        <v>0.09795026</v>
      </c>
      <c r="P68" s="20" t="n">
        <v>0.09781616999999999</v>
      </c>
      <c r="Q68" s="18" t="n">
        <v>0</v>
      </c>
      <c r="R68" s="20" t="n">
        <v>0</v>
      </c>
      <c r="S68" s="18" t="n">
        <v>9.02480581</v>
      </c>
      <c r="T68" s="20" t="n">
        <v>0.94943604</v>
      </c>
    </row>
    <row r="69" spans="1:20">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2929</v>
      </c>
      <c r="C70" s="18">
        <f>(2577.0/B70*100)</f>
        <v/>
      </c>
      <c r="D70" s="19" t="n">
        <v>352</v>
      </c>
      <c r="E70" s="18" t="n">
        <v>27.38602492</v>
      </c>
      <c r="F70" s="20" t="n">
        <v>2.46886935</v>
      </c>
      <c r="G70" s="18" t="n">
        <v>26.56195843</v>
      </c>
      <c r="H70" s="20" t="n">
        <v>2.3853094</v>
      </c>
      <c r="I70" s="18" t="n">
        <v>39.4801879</v>
      </c>
      <c r="J70" s="20" t="n">
        <v>3.09399749</v>
      </c>
      <c r="K70" s="18" t="s">
        <v>431</v>
      </c>
      <c r="L70" s="20" t="s">
        <v>431</v>
      </c>
      <c r="M70" s="18" t="n">
        <v>0</v>
      </c>
      <c r="N70" s="20" t="n">
        <v>0</v>
      </c>
      <c r="O70" s="18" t="n">
        <v>0</v>
      </c>
      <c r="P70" s="20" t="n">
        <v>0</v>
      </c>
      <c r="Q70" s="18" t="n">
        <v>0</v>
      </c>
      <c r="R70" s="20" t="n">
        <v>0</v>
      </c>
      <c r="S70" s="18" t="n">
        <v>6.57182874</v>
      </c>
      <c r="T70" s="20" t="n">
        <v>1.43412622</v>
      </c>
    </row>
    <row r="71" spans="1:20">
      <c r="A71" s="15" t="s">
        <v>495</v>
      </c>
      <c r="B71" s="17" t="n">
        <v>3142</v>
      </c>
      <c r="C71" s="18">
        <f>(2756.0/B71*100)</f>
        <v/>
      </c>
      <c r="D71" s="19" t="n">
        <v>386</v>
      </c>
      <c r="E71" s="18" t="n">
        <v>21.4390619</v>
      </c>
      <c r="F71" s="20" t="n">
        <v>1.93747585</v>
      </c>
      <c r="G71" s="18" t="n">
        <v>35.24910673</v>
      </c>
      <c r="H71" s="20" t="n">
        <v>2.15364613</v>
      </c>
      <c r="I71" s="18" t="n">
        <v>40.9598361</v>
      </c>
      <c r="J71" s="20" t="n">
        <v>2.52319098</v>
      </c>
      <c r="K71" s="18" t="s">
        <v>431</v>
      </c>
      <c r="L71" s="20" t="s">
        <v>431</v>
      </c>
      <c r="M71" s="18" t="n">
        <v>0.23708739</v>
      </c>
      <c r="N71" s="20" t="n">
        <v>0.23909903</v>
      </c>
      <c r="O71" s="18" t="n">
        <v>0.13454018</v>
      </c>
      <c r="P71" s="20" t="n">
        <v>0.13443105</v>
      </c>
      <c r="Q71" s="18" t="n">
        <v>0</v>
      </c>
      <c r="R71" s="20" t="n">
        <v>0</v>
      </c>
      <c r="S71" s="18" t="n">
        <v>1.9803677</v>
      </c>
      <c r="T71" s="20" t="n">
        <v>0.54882188</v>
      </c>
    </row>
    <row r="72" spans="1:20">
      <c r="A72" s="15" t="s">
        <v>496</v>
      </c>
      <c r="B72" s="17" t="n">
        <v>3889</v>
      </c>
      <c r="C72" s="18">
        <f>(3424.0/B72*100)</f>
        <v/>
      </c>
      <c r="D72" s="19" t="n">
        <v>465</v>
      </c>
      <c r="E72" s="18" t="n">
        <v>29.48114414</v>
      </c>
      <c r="F72" s="20" t="n">
        <v>2.01525234</v>
      </c>
      <c r="G72" s="18" t="n">
        <v>10.46686824</v>
      </c>
      <c r="H72" s="20" t="n">
        <v>1.58635885</v>
      </c>
      <c r="I72" s="18" t="n">
        <v>54.95497177</v>
      </c>
      <c r="J72" s="20" t="n">
        <v>2.27604012</v>
      </c>
      <c r="K72" s="18" t="s">
        <v>431</v>
      </c>
      <c r="L72" s="20" t="s">
        <v>431</v>
      </c>
      <c r="M72" s="18" t="n">
        <v>0.43733673</v>
      </c>
      <c r="N72" s="20" t="n">
        <v>0.31703159</v>
      </c>
      <c r="O72" s="18" t="n">
        <v>0</v>
      </c>
      <c r="P72" s="20" t="n">
        <v>0</v>
      </c>
      <c r="Q72" s="18" t="n">
        <v>0</v>
      </c>
      <c r="R72" s="20" t="n">
        <v>0</v>
      </c>
      <c r="S72" s="18" t="n">
        <v>4.65967912</v>
      </c>
      <c r="T72" s="20" t="n">
        <v>1.02590568</v>
      </c>
    </row>
    <row r="73" spans="1:20">
      <c r="A73" s="15" t="s">
        <v>497</v>
      </c>
      <c r="B73" s="17" t="n">
        <v>3597</v>
      </c>
      <c r="C73" s="18">
        <f>(3159.0/B73*100)</f>
        <v/>
      </c>
      <c r="D73" s="19" t="n">
        <v>438</v>
      </c>
      <c r="E73" s="18" t="n">
        <v>43.9764444</v>
      </c>
      <c r="F73" s="20" t="n">
        <v>3.294247</v>
      </c>
      <c r="G73" s="18" t="n">
        <v>30.48094396</v>
      </c>
      <c r="H73" s="20" t="n">
        <v>2.56408149</v>
      </c>
      <c r="I73" s="18" t="n">
        <v>21.68189562</v>
      </c>
      <c r="J73" s="20" t="n">
        <v>2.36214722</v>
      </c>
      <c r="K73" s="18" t="s">
        <v>431</v>
      </c>
      <c r="L73" s="20" t="s">
        <v>431</v>
      </c>
      <c r="M73" s="18" t="n">
        <v>0</v>
      </c>
      <c r="N73" s="20" t="n">
        <v>0</v>
      </c>
      <c r="O73" s="18" t="n">
        <v>0.34271398</v>
      </c>
      <c r="P73" s="20" t="n">
        <v>0.32800322</v>
      </c>
      <c r="Q73" s="18" t="n">
        <v>0</v>
      </c>
      <c r="R73" s="20" t="n">
        <v>0</v>
      </c>
      <c r="S73" s="18" t="n">
        <v>3.51800204</v>
      </c>
      <c r="T73" s="20" t="n">
        <v>1.13144844</v>
      </c>
    </row>
    <row r="74" spans="1:20">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2406</v>
      </c>
      <c r="C75" s="18">
        <f>(2130.0/B75*100)</f>
        <v/>
      </c>
      <c r="D75" s="19" t="n">
        <v>276</v>
      </c>
      <c r="E75" s="18" t="n">
        <v>46.60053427</v>
      </c>
      <c r="F75" s="20" t="n">
        <v>2.86340034</v>
      </c>
      <c r="G75" s="18" t="n">
        <v>17.32144725</v>
      </c>
      <c r="H75" s="20" t="n">
        <v>2.39831245</v>
      </c>
      <c r="I75" s="18" t="n">
        <v>20.0449959</v>
      </c>
      <c r="J75" s="20" t="n">
        <v>2.47025503</v>
      </c>
      <c r="K75" s="18" t="s">
        <v>431</v>
      </c>
      <c r="L75" s="20" t="s">
        <v>431</v>
      </c>
      <c r="M75" s="18" t="n">
        <v>2.1372769</v>
      </c>
      <c r="N75" s="20" t="n">
        <v>1.0813289</v>
      </c>
      <c r="O75" s="18" t="n">
        <v>0</v>
      </c>
      <c r="P75" s="20" t="n">
        <v>0</v>
      </c>
      <c r="Q75" s="18" t="n">
        <v>0</v>
      </c>
      <c r="R75" s="20" t="n">
        <v>0</v>
      </c>
      <c r="S75" s="18" t="n">
        <v>13.89574569</v>
      </c>
      <c r="T75" s="20" t="n">
        <v>2.36049409</v>
      </c>
    </row>
    <row r="76" spans="1:20">
      <c r="A76" s="15" t="s">
        <v>500</v>
      </c>
      <c r="B76" s="17" t="n">
        <v>7052</v>
      </c>
      <c r="C76" s="18">
        <f>(6208.0/B76*100)</f>
        <v/>
      </c>
      <c r="D76" s="19" t="n">
        <v>844</v>
      </c>
      <c r="E76" s="18" t="n">
        <v>38.00228507</v>
      </c>
      <c r="F76" s="20" t="n">
        <v>2.23718665</v>
      </c>
      <c r="G76" s="18" t="n">
        <v>26.36130603</v>
      </c>
      <c r="H76" s="20" t="n">
        <v>1.74920764</v>
      </c>
      <c r="I76" s="18" t="n">
        <v>29.52350673</v>
      </c>
      <c r="J76" s="20" t="n">
        <v>2.21985869</v>
      </c>
      <c r="K76" s="18" t="s">
        <v>431</v>
      </c>
      <c r="L76" s="20" t="s">
        <v>431</v>
      </c>
      <c r="M76" s="18" t="n">
        <v>0.7898193100000001</v>
      </c>
      <c r="N76" s="20" t="n">
        <v>0.32440676</v>
      </c>
      <c r="O76" s="18" t="n">
        <v>0.3775841</v>
      </c>
      <c r="P76" s="20" t="n">
        <v>0.23748771</v>
      </c>
      <c r="Q76" s="18" t="n">
        <v>0</v>
      </c>
      <c r="R76" s="20" t="n">
        <v>0</v>
      </c>
      <c r="S76" s="18" t="n">
        <v>4.94549877</v>
      </c>
      <c r="T76" s="20" t="n">
        <v>1.03941567</v>
      </c>
    </row>
    <row r="77" spans="1:20">
      <c r="A77" s="15" t="s">
        <v>501</v>
      </c>
      <c r="B77" s="17" t="n">
        <v>2908</v>
      </c>
      <c r="C77" s="18">
        <f>(2577.0/B77*100)</f>
        <v/>
      </c>
      <c r="D77" s="19" t="n">
        <v>331</v>
      </c>
      <c r="E77" s="18" t="n">
        <v>24.01587915</v>
      </c>
      <c r="F77" s="20" t="n">
        <v>2.4790604</v>
      </c>
      <c r="G77" s="18" t="n">
        <v>33.23405067</v>
      </c>
      <c r="H77" s="20" t="n">
        <v>2.69833401</v>
      </c>
      <c r="I77" s="18" t="n">
        <v>29.85116176</v>
      </c>
      <c r="J77" s="20" t="n">
        <v>2.72625252</v>
      </c>
      <c r="K77" s="18" t="s">
        <v>431</v>
      </c>
      <c r="L77" s="20" t="s">
        <v>431</v>
      </c>
      <c r="M77" s="18" t="n">
        <v>2.04967556</v>
      </c>
      <c r="N77" s="20" t="n">
        <v>0.83949244</v>
      </c>
      <c r="O77" s="18" t="n">
        <v>0</v>
      </c>
      <c r="P77" s="20" t="n">
        <v>0</v>
      </c>
      <c r="Q77" s="18" t="n">
        <v>0</v>
      </c>
      <c r="R77" s="20" t="n">
        <v>0</v>
      </c>
      <c r="S77" s="18" t="n">
        <v>10.84923287</v>
      </c>
      <c r="T77" s="20" t="n">
        <v>1.95657719</v>
      </c>
    </row>
    <row r="78" spans="1:20">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(3654.0/B81*100)</f>
        <v/>
      </c>
      <c r="D81" s="19" t="n">
        <v>509</v>
      </c>
      <c r="E81" s="18" t="n">
        <v>36.30039003</v>
      </c>
      <c r="F81" s="20" t="n">
        <v>2.9810042</v>
      </c>
      <c r="G81" s="18" t="n">
        <v>38.6449841</v>
      </c>
      <c r="H81" s="20" t="n">
        <v>2.67926602</v>
      </c>
      <c r="I81" s="18" t="n">
        <v>20.92745317</v>
      </c>
      <c r="J81" s="20" t="n">
        <v>2.04676549</v>
      </c>
      <c r="K81" s="18" t="s">
        <v>431</v>
      </c>
      <c r="L81" s="20" t="s">
        <v>431</v>
      </c>
      <c r="M81" s="18" t="n">
        <v>0.21515148</v>
      </c>
      <c r="N81" s="20" t="n">
        <v>0.15130129</v>
      </c>
      <c r="O81" s="18" t="n">
        <v>0</v>
      </c>
      <c r="P81" s="20" t="n">
        <v>0</v>
      </c>
      <c r="Q81" s="18" t="n">
        <v>0</v>
      </c>
      <c r="R81" s="20" t="n">
        <v>0</v>
      </c>
      <c r="S81" s="18" t="n">
        <v>3.91202123</v>
      </c>
      <c r="T81" s="20" t="n">
        <v>1.20404015</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528</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(6461.0/B7*100)</f>
        <v/>
      </c>
      <c r="D7" s="19" t="n">
        <v>906</v>
      </c>
      <c r="E7" s="18" t="n">
        <v>27.59870132</v>
      </c>
      <c r="F7" s="20" t="n">
        <v>1.61908739</v>
      </c>
      <c r="G7" s="18" t="n">
        <v>10.85239404</v>
      </c>
      <c r="H7" s="20" t="n">
        <v>1.29709402</v>
      </c>
      <c r="I7" s="18" t="n">
        <v>54.02043172</v>
      </c>
      <c r="J7" s="20" t="n">
        <v>1.94617424</v>
      </c>
      <c r="K7" s="18" t="s">
        <v>431</v>
      </c>
      <c r="L7" s="20" t="s">
        <v>431</v>
      </c>
      <c r="M7" s="18" t="n">
        <v>0.23462383</v>
      </c>
      <c r="N7" s="20" t="n">
        <v>0.20273687</v>
      </c>
      <c r="O7" s="18" t="n">
        <v>0.03020819</v>
      </c>
      <c r="P7" s="20" t="n">
        <v>0.02182172</v>
      </c>
      <c r="Q7" s="18" t="n">
        <v>0</v>
      </c>
      <c r="R7" s="20" t="n">
        <v>0</v>
      </c>
      <c r="S7" s="18" t="n">
        <v>7.2636409</v>
      </c>
      <c r="T7" s="20" t="n">
        <v>1.10280896</v>
      </c>
    </row>
    <row r="8" spans="1:20">
      <c r="A8" s="15" t="s">
        <v>432</v>
      </c>
      <c r="B8" s="17" t="n">
        <v>3564</v>
      </c>
      <c r="C8" s="18">
        <f>(3139.0/B8*100)</f>
        <v/>
      </c>
      <c r="D8" s="19" t="n">
        <v>425</v>
      </c>
      <c r="E8" s="18" t="n">
        <v>27.85123773</v>
      </c>
      <c r="F8" s="20" t="n">
        <v>2.07591455</v>
      </c>
      <c r="G8" s="18" t="n">
        <v>10.73307291</v>
      </c>
      <c r="H8" s="20" t="n">
        <v>1.57948001</v>
      </c>
      <c r="I8" s="18" t="n">
        <v>52.73488297</v>
      </c>
      <c r="J8" s="20" t="n">
        <v>2.29918551</v>
      </c>
      <c r="K8" s="18" t="s">
        <v>431</v>
      </c>
      <c r="L8" s="20" t="s">
        <v>431</v>
      </c>
      <c r="M8" s="18" t="n">
        <v>0.13140687</v>
      </c>
      <c r="N8" s="20" t="n">
        <v>0.12928675</v>
      </c>
      <c r="O8" s="18" t="n">
        <v>0</v>
      </c>
      <c r="P8" s="20" t="n">
        <v>0</v>
      </c>
      <c r="Q8" s="18" t="n">
        <v>0</v>
      </c>
      <c r="R8" s="20" t="n">
        <v>0</v>
      </c>
      <c r="S8" s="18" t="n">
        <v>8.54939952</v>
      </c>
      <c r="T8" s="20" t="n">
        <v>1.16060647</v>
      </c>
    </row>
    <row r="9" spans="1:20">
      <c r="A9" s="15" t="s">
        <v>433</v>
      </c>
      <c r="B9" s="17" t="n">
        <v>4899</v>
      </c>
      <c r="C9" s="18">
        <f>(4328.0/B9*100)</f>
        <v/>
      </c>
      <c r="D9" s="19" t="n">
        <v>571</v>
      </c>
      <c r="E9" s="18" t="n">
        <v>17.75360804</v>
      </c>
      <c r="F9" s="20" t="n">
        <v>1.68611323</v>
      </c>
      <c r="G9" s="18" t="n">
        <v>17.49979317</v>
      </c>
      <c r="H9" s="20" t="n">
        <v>1.51622062</v>
      </c>
      <c r="I9" s="18" t="n">
        <v>55.08647237</v>
      </c>
      <c r="J9" s="20" t="n">
        <v>2.09979653</v>
      </c>
      <c r="K9" s="18" t="s">
        <v>431</v>
      </c>
      <c r="L9" s="20" t="s">
        <v>431</v>
      </c>
      <c r="M9" s="18" t="n">
        <v>0.15588641</v>
      </c>
      <c r="N9" s="20" t="n">
        <v>0.15124215</v>
      </c>
      <c r="O9" s="18" t="n">
        <v>0.53040083</v>
      </c>
      <c r="P9" s="20" t="n">
        <v>0.26461844</v>
      </c>
      <c r="Q9" s="18" t="n">
        <v>0</v>
      </c>
      <c r="R9" s="20" t="n">
        <v>0</v>
      </c>
      <c r="S9" s="18" t="n">
        <v>8.973839180000001</v>
      </c>
      <c r="T9" s="20" t="n">
        <v>1.30055405</v>
      </c>
    </row>
    <row r="10" spans="1:20">
      <c r="A10" s="15" t="s">
        <v>434</v>
      </c>
      <c r="B10" s="17" t="n">
        <v>10036</v>
      </c>
      <c r="C10" s="18">
        <f>(8833.0/B10*100)</f>
        <v/>
      </c>
      <c r="D10" s="19" t="n">
        <v>1203</v>
      </c>
      <c r="E10" s="18" t="n">
        <v>17.21207933</v>
      </c>
      <c r="F10" s="20" t="n">
        <v>1.46890113</v>
      </c>
      <c r="G10" s="18" t="n">
        <v>14.61211295</v>
      </c>
      <c r="H10" s="20" t="n">
        <v>1.55182456</v>
      </c>
      <c r="I10" s="18" t="n">
        <v>63.52265391</v>
      </c>
      <c r="J10" s="20" t="n">
        <v>2.01218401</v>
      </c>
      <c r="K10" s="18" t="s">
        <v>431</v>
      </c>
      <c r="L10" s="20" t="s">
        <v>431</v>
      </c>
      <c r="M10" s="18" t="n">
        <v>0.04165924</v>
      </c>
      <c r="N10" s="20" t="n">
        <v>0.04290077</v>
      </c>
      <c r="O10" s="18" t="n">
        <v>0</v>
      </c>
      <c r="P10" s="20" t="n">
        <v>0</v>
      </c>
      <c r="Q10" s="18" t="n">
        <v>0</v>
      </c>
      <c r="R10" s="20" t="n">
        <v>0</v>
      </c>
      <c r="S10" s="18" t="n">
        <v>4.61149456</v>
      </c>
      <c r="T10" s="20" t="n">
        <v>0.86256766</v>
      </c>
    </row>
    <row r="11" spans="1:20">
      <c r="A11" s="15" t="s">
        <v>435</v>
      </c>
      <c r="B11" s="17" t="n">
        <v>3553</v>
      </c>
      <c r="C11" s="18">
        <f>(3123.0/B11*100)</f>
        <v/>
      </c>
      <c r="D11" s="19" t="n">
        <v>430</v>
      </c>
      <c r="E11" s="18" t="n">
        <v>17.26608297</v>
      </c>
      <c r="F11" s="20" t="n">
        <v>1.98799595</v>
      </c>
      <c r="G11" s="18" t="n">
        <v>4.67697728</v>
      </c>
      <c r="H11" s="20" t="n">
        <v>1.06128953</v>
      </c>
      <c r="I11" s="18" t="n">
        <v>68.45308094000001</v>
      </c>
      <c r="J11" s="20" t="n">
        <v>2.87329594</v>
      </c>
      <c r="K11" s="18" t="s">
        <v>431</v>
      </c>
      <c r="L11" s="20" t="s">
        <v>431</v>
      </c>
      <c r="M11" s="18" t="n">
        <v>0.70538471</v>
      </c>
      <c r="N11" s="20" t="n">
        <v>0.70361529</v>
      </c>
      <c r="O11" s="18" t="n">
        <v>0</v>
      </c>
      <c r="P11" s="20" t="n">
        <v>0</v>
      </c>
      <c r="Q11" s="18" t="n">
        <v>0</v>
      </c>
      <c r="R11" s="20" t="n">
        <v>0</v>
      </c>
      <c r="S11" s="18" t="n">
        <v>8.8984741</v>
      </c>
      <c r="T11" s="20" t="n">
        <v>1.62682975</v>
      </c>
    </row>
    <row r="12" spans="1:20">
      <c r="A12" s="15" t="s">
        <v>436</v>
      </c>
      <c r="B12" s="17" t="n">
        <v>3472</v>
      </c>
      <c r="C12" s="18">
        <f>(3049.0/B12*100)</f>
        <v/>
      </c>
      <c r="D12" s="19" t="n">
        <v>423</v>
      </c>
      <c r="E12" s="18" t="n">
        <v>24.31549837</v>
      </c>
      <c r="F12" s="20" t="n">
        <v>2.07528208</v>
      </c>
      <c r="G12" s="18" t="n">
        <v>12.3973255</v>
      </c>
      <c r="H12" s="20" t="n">
        <v>1.65917156</v>
      </c>
      <c r="I12" s="18" t="n">
        <v>49.34172421</v>
      </c>
      <c r="J12" s="20" t="n">
        <v>2.36668656</v>
      </c>
      <c r="K12" s="18" t="s">
        <v>431</v>
      </c>
      <c r="L12" s="20" t="s">
        <v>431</v>
      </c>
      <c r="M12" s="18" t="n">
        <v>0</v>
      </c>
      <c r="N12" s="20" t="n">
        <v>0</v>
      </c>
      <c r="O12" s="18" t="n">
        <v>0.13601632</v>
      </c>
      <c r="P12" s="20" t="n">
        <v>0.18193777</v>
      </c>
      <c r="Q12" s="18" t="n">
        <v>0</v>
      </c>
      <c r="R12" s="20" t="n">
        <v>0</v>
      </c>
      <c r="S12" s="18" t="n">
        <v>13.8094356</v>
      </c>
      <c r="T12" s="20" t="n">
        <v>1.72918199</v>
      </c>
    </row>
    <row r="13" spans="1:20">
      <c r="A13" s="15" t="s">
        <v>437</v>
      </c>
      <c r="B13" s="17" t="n">
        <v>3559</v>
      </c>
      <c r="C13" s="18">
        <f>(3155.0/B13*100)</f>
        <v/>
      </c>
      <c r="D13" s="19" t="n">
        <v>404</v>
      </c>
      <c r="E13" s="18" t="n">
        <v>24.76045501</v>
      </c>
      <c r="F13" s="20" t="n">
        <v>2.75903911</v>
      </c>
      <c r="G13" s="18" t="n">
        <v>36.97087981</v>
      </c>
      <c r="H13" s="20" t="n">
        <v>2.92297681</v>
      </c>
      <c r="I13" s="18" t="n">
        <v>32.11210821</v>
      </c>
      <c r="J13" s="20" t="n">
        <v>2.80120151</v>
      </c>
      <c r="K13" s="18" t="s">
        <v>431</v>
      </c>
      <c r="L13" s="20" t="s">
        <v>431</v>
      </c>
      <c r="M13" s="18" t="n">
        <v>0.47032531</v>
      </c>
      <c r="N13" s="20" t="n">
        <v>0.24358336</v>
      </c>
      <c r="O13" s="18" t="n">
        <v>0</v>
      </c>
      <c r="P13" s="20" t="n">
        <v>0</v>
      </c>
      <c r="Q13" s="18" t="n">
        <v>0</v>
      </c>
      <c r="R13" s="20" t="n">
        <v>0</v>
      </c>
      <c r="S13" s="18" t="n">
        <v>5.68623166</v>
      </c>
      <c r="T13" s="20" t="n">
        <v>1.26944023</v>
      </c>
    </row>
    <row r="14" spans="1:20">
      <c r="A14" s="15" t="s">
        <v>438</v>
      </c>
      <c r="B14" s="17" t="n">
        <v>2799</v>
      </c>
      <c r="C14" s="18">
        <f>(2447.0/B14*100)</f>
        <v/>
      </c>
      <c r="D14" s="19" t="n">
        <v>352</v>
      </c>
      <c r="E14" s="18" t="n">
        <v>18.72554807</v>
      </c>
      <c r="F14" s="20" t="n">
        <v>2.35303998</v>
      </c>
      <c r="G14" s="18" t="n">
        <v>16.9408684</v>
      </c>
      <c r="H14" s="20" t="n">
        <v>2.33329318</v>
      </c>
      <c r="I14" s="18" t="n">
        <v>60.86590688</v>
      </c>
      <c r="J14" s="20" t="n">
        <v>3.27730971</v>
      </c>
      <c r="K14" s="18" t="s">
        <v>431</v>
      </c>
      <c r="L14" s="20" t="s">
        <v>431</v>
      </c>
      <c r="M14" s="18" t="n">
        <v>0.20678472</v>
      </c>
      <c r="N14" s="20" t="n">
        <v>0.2064504</v>
      </c>
      <c r="O14" s="18" t="n">
        <v>0</v>
      </c>
      <c r="P14" s="20" t="n">
        <v>0</v>
      </c>
      <c r="Q14" s="18" t="n">
        <v>0</v>
      </c>
      <c r="R14" s="20" t="n">
        <v>0</v>
      </c>
      <c r="S14" s="18" t="n">
        <v>3.26089193</v>
      </c>
      <c r="T14" s="20" t="n">
        <v>1.07871566</v>
      </c>
    </row>
    <row r="15" spans="1:20">
      <c r="A15" s="15" t="s">
        <v>439</v>
      </c>
      <c r="B15" s="17" t="n">
        <v>3019</v>
      </c>
      <c r="C15" s="18">
        <f>(2669.0/B15*100)</f>
        <v/>
      </c>
      <c r="D15" s="19" t="n">
        <v>350</v>
      </c>
      <c r="E15" s="18" t="n">
        <v>26.25083314</v>
      </c>
      <c r="F15" s="20" t="n">
        <v>2.13606298</v>
      </c>
      <c r="G15" s="18" t="n">
        <v>7.19775632</v>
      </c>
      <c r="H15" s="20" t="n">
        <v>1.31605977</v>
      </c>
      <c r="I15" s="18" t="n">
        <v>56.94918853</v>
      </c>
      <c r="J15" s="20" t="n">
        <v>2.23431358</v>
      </c>
      <c r="K15" s="18" t="s">
        <v>431</v>
      </c>
      <c r="L15" s="20" t="s">
        <v>431</v>
      </c>
      <c r="M15" s="18" t="n">
        <v>0</v>
      </c>
      <c r="N15" s="20" t="n">
        <v>0</v>
      </c>
      <c r="O15" s="18" t="n">
        <v>0</v>
      </c>
      <c r="P15" s="20" t="n">
        <v>0</v>
      </c>
      <c r="Q15" s="18" t="n">
        <v>0</v>
      </c>
      <c r="R15" s="20" t="n">
        <v>0</v>
      </c>
      <c r="S15" s="18" t="n">
        <v>9.60222201</v>
      </c>
      <c r="T15" s="20" t="n">
        <v>1.70658035</v>
      </c>
    </row>
    <row r="16" spans="1:20">
      <c r="A16" s="15" t="s">
        <v>440</v>
      </c>
      <c r="B16" s="17" t="n">
        <v>2997</v>
      </c>
      <c r="C16" s="18">
        <f>(2622.0/B16*100)</f>
        <v/>
      </c>
      <c r="D16" s="19" t="n">
        <v>375</v>
      </c>
      <c r="E16" s="18" t="n">
        <v>19.79612725</v>
      </c>
      <c r="F16" s="20" t="n">
        <v>1.83717437</v>
      </c>
      <c r="G16" s="18" t="n">
        <v>10.38802209</v>
      </c>
      <c r="H16" s="20" t="n">
        <v>1.38797775</v>
      </c>
      <c r="I16" s="18" t="n">
        <v>50.85250618</v>
      </c>
      <c r="J16" s="20" t="n">
        <v>2.33388465</v>
      </c>
      <c r="K16" s="18" t="s">
        <v>431</v>
      </c>
      <c r="L16" s="20" t="s">
        <v>431</v>
      </c>
      <c r="M16" s="18" t="n">
        <v>1.97917416</v>
      </c>
      <c r="N16" s="20" t="n">
        <v>1.08499175</v>
      </c>
      <c r="O16" s="18" t="n">
        <v>0</v>
      </c>
      <c r="P16" s="20" t="n">
        <v>0</v>
      </c>
      <c r="Q16" s="18" t="n">
        <v>0</v>
      </c>
      <c r="R16" s="20" t="n">
        <v>0</v>
      </c>
      <c r="S16" s="18" t="n">
        <v>16.98417032</v>
      </c>
      <c r="T16" s="20" t="n">
        <v>1.84489537</v>
      </c>
    </row>
    <row r="17" spans="1:20">
      <c r="A17" s="15" t="s">
        <v>441</v>
      </c>
      <c r="B17" s="17" t="n">
        <v>3307</v>
      </c>
      <c r="C17" s="18">
        <f>(2909.0/B17*100)</f>
        <v/>
      </c>
      <c r="D17" s="19" t="n">
        <v>398</v>
      </c>
      <c r="E17" s="18" t="n">
        <v>14.58484951</v>
      </c>
      <c r="F17" s="20" t="n">
        <v>1.81046955</v>
      </c>
      <c r="G17" s="18" t="n">
        <v>13.06811614</v>
      </c>
      <c r="H17" s="20" t="n">
        <v>1.76540206</v>
      </c>
      <c r="I17" s="18" t="n">
        <v>63.09814162</v>
      </c>
      <c r="J17" s="20" t="n">
        <v>2.40092029</v>
      </c>
      <c r="K17" s="18" t="s">
        <v>431</v>
      </c>
      <c r="L17" s="20" t="s">
        <v>431</v>
      </c>
      <c r="M17" s="18" t="n">
        <v>1.18020646</v>
      </c>
      <c r="N17" s="20" t="n">
        <v>0.54657386</v>
      </c>
      <c r="O17" s="18" t="n">
        <v>0</v>
      </c>
      <c r="P17" s="20" t="n">
        <v>0</v>
      </c>
      <c r="Q17" s="18" t="n">
        <v>0</v>
      </c>
      <c r="R17" s="20" t="n">
        <v>0</v>
      </c>
      <c r="S17" s="18" t="n">
        <v>8.068686270000001</v>
      </c>
      <c r="T17" s="20" t="n">
        <v>1.48525699</v>
      </c>
    </row>
    <row r="18" spans="1:20">
      <c r="A18" s="15" t="s">
        <v>442</v>
      </c>
      <c r="B18" s="17" t="n">
        <v>2826</v>
      </c>
      <c r="C18" s="18">
        <f>(2466.0/B18*100)</f>
        <v/>
      </c>
      <c r="D18" s="19" t="n">
        <v>360</v>
      </c>
      <c r="E18" s="18" t="n">
        <v>17.74156008</v>
      </c>
      <c r="F18" s="20" t="n">
        <v>2.02088561</v>
      </c>
      <c r="G18" s="18" t="n">
        <v>6.6236229</v>
      </c>
      <c r="H18" s="20" t="n">
        <v>1.65245472</v>
      </c>
      <c r="I18" s="18" t="n">
        <v>65.72818578</v>
      </c>
      <c r="J18" s="20" t="n">
        <v>2.84280226</v>
      </c>
      <c r="K18" s="18" t="s">
        <v>431</v>
      </c>
      <c r="L18" s="20" t="s">
        <v>431</v>
      </c>
      <c r="M18" s="18" t="n">
        <v>0.55760022</v>
      </c>
      <c r="N18" s="20" t="n">
        <v>0.46875841</v>
      </c>
      <c r="O18" s="18" t="n">
        <v>0</v>
      </c>
      <c r="P18" s="20" t="n">
        <v>0</v>
      </c>
      <c r="Q18" s="18" t="n">
        <v>0</v>
      </c>
      <c r="R18" s="20" t="n">
        <v>0</v>
      </c>
      <c r="S18" s="18" t="n">
        <v>9.34903102</v>
      </c>
      <c r="T18" s="20" t="n">
        <v>1.84535545</v>
      </c>
    </row>
    <row r="19" spans="1:20">
      <c r="A19" s="15" t="s">
        <v>443</v>
      </c>
      <c r="B19" s="17" t="n">
        <v>2808</v>
      </c>
      <c r="C19" s="18">
        <f>(2460.0/B19*100)</f>
        <v/>
      </c>
      <c r="D19" s="19" t="n">
        <v>348</v>
      </c>
      <c r="E19" s="18" t="n">
        <v>26.65703712</v>
      </c>
      <c r="F19" s="20" t="n">
        <v>2.66613037</v>
      </c>
      <c r="G19" s="18" t="n">
        <v>4.70871702</v>
      </c>
      <c r="H19" s="20" t="n">
        <v>1.07135871</v>
      </c>
      <c r="I19" s="18" t="n">
        <v>53.75433995</v>
      </c>
      <c r="J19" s="20" t="n">
        <v>2.85277542</v>
      </c>
      <c r="K19" s="18" t="s">
        <v>431</v>
      </c>
      <c r="L19" s="20" t="s">
        <v>431</v>
      </c>
      <c r="M19" s="18" t="n">
        <v>0.24623785</v>
      </c>
      <c r="N19" s="20" t="n">
        <v>0.26216291</v>
      </c>
      <c r="O19" s="18" t="n">
        <v>0</v>
      </c>
      <c r="P19" s="20" t="n">
        <v>0</v>
      </c>
      <c r="Q19" s="18" t="n">
        <v>0</v>
      </c>
      <c r="R19" s="20" t="n">
        <v>0</v>
      </c>
      <c r="S19" s="18" t="n">
        <v>14.63366806</v>
      </c>
      <c r="T19" s="20" t="n">
        <v>2.1798011</v>
      </c>
    </row>
    <row r="20" spans="1:20">
      <c r="A20" s="15" t="s">
        <v>444</v>
      </c>
      <c r="B20" s="17" t="n">
        <v>1630</v>
      </c>
      <c r="C20" s="18">
        <f>(1425.0/B20*100)</f>
        <v/>
      </c>
      <c r="D20" s="19" t="n">
        <v>205</v>
      </c>
      <c r="E20" s="18" t="n">
        <v>33.83048399</v>
      </c>
      <c r="F20" s="20" t="n">
        <v>3.14832982</v>
      </c>
      <c r="G20" s="18" t="n">
        <v>17.62341112</v>
      </c>
      <c r="H20" s="20" t="n">
        <v>2.86194208</v>
      </c>
      <c r="I20" s="18" t="n">
        <v>37.49753177</v>
      </c>
      <c r="J20" s="20" t="n">
        <v>4.06259002</v>
      </c>
      <c r="K20" s="18" t="s">
        <v>431</v>
      </c>
      <c r="L20" s="20" t="s">
        <v>431</v>
      </c>
      <c r="M20" s="18" t="n">
        <v>0.4138726</v>
      </c>
      <c r="N20" s="20" t="n">
        <v>0.41273224</v>
      </c>
      <c r="O20" s="18" t="n">
        <v>0</v>
      </c>
      <c r="P20" s="20" t="n">
        <v>0</v>
      </c>
      <c r="Q20" s="18" t="n">
        <v>0</v>
      </c>
      <c r="R20" s="20" t="n">
        <v>0</v>
      </c>
      <c r="S20" s="18" t="n">
        <v>10.63470053</v>
      </c>
      <c r="T20" s="20" t="n">
        <v>2.40089184</v>
      </c>
    </row>
    <row r="21" spans="1:20">
      <c r="A21" s="15" t="s">
        <v>445</v>
      </c>
      <c r="B21" s="17" t="n">
        <v>2908</v>
      </c>
      <c r="C21" s="18">
        <f>(2444.0/B21*100)</f>
        <v/>
      </c>
      <c r="D21" s="19" t="n">
        <v>464</v>
      </c>
      <c r="E21" s="18" t="n">
        <v>10.62799441</v>
      </c>
      <c r="F21" s="20" t="n">
        <v>1.48496104</v>
      </c>
      <c r="G21" s="18" t="n">
        <v>10.86693549</v>
      </c>
      <c r="H21" s="20" t="n">
        <v>1.53279528</v>
      </c>
      <c r="I21" s="18" t="n">
        <v>74.30024668</v>
      </c>
      <c r="J21" s="20" t="n">
        <v>2.03592207</v>
      </c>
      <c r="K21" s="18" t="s">
        <v>431</v>
      </c>
      <c r="L21" s="20" t="s">
        <v>431</v>
      </c>
      <c r="M21" s="18" t="n">
        <v>0.22498924</v>
      </c>
      <c r="N21" s="20" t="n">
        <v>0.22515257</v>
      </c>
      <c r="O21" s="18" t="n">
        <v>0</v>
      </c>
      <c r="P21" s="20" t="n">
        <v>0</v>
      </c>
      <c r="Q21" s="18" t="n">
        <v>0</v>
      </c>
      <c r="R21" s="20" t="n">
        <v>0</v>
      </c>
      <c r="S21" s="18" t="n">
        <v>3.97983418</v>
      </c>
      <c r="T21" s="20" t="n">
        <v>0.91887601</v>
      </c>
    </row>
    <row r="22" spans="1:20">
      <c r="A22" s="15" t="s">
        <v>446</v>
      </c>
      <c r="B22" s="17" t="n">
        <v>2931</v>
      </c>
      <c r="C22" s="18">
        <f>(2583.0/B22*100)</f>
        <v/>
      </c>
      <c r="D22" s="19" t="n">
        <v>348</v>
      </c>
      <c r="E22" s="18" t="n">
        <v>29.29357444</v>
      </c>
      <c r="F22" s="20" t="n">
        <v>2.46473619</v>
      </c>
      <c r="G22" s="18" t="n">
        <v>12.62599351</v>
      </c>
      <c r="H22" s="20" t="n">
        <v>1.65825374</v>
      </c>
      <c r="I22" s="18" t="n">
        <v>49.3666162</v>
      </c>
      <c r="J22" s="20" t="n">
        <v>2.99411399</v>
      </c>
      <c r="K22" s="18" t="s">
        <v>431</v>
      </c>
      <c r="L22" s="20" t="s">
        <v>431</v>
      </c>
      <c r="M22" s="18" t="n">
        <v>0.64906161</v>
      </c>
      <c r="N22" s="20" t="n">
        <v>0.5114613099999999</v>
      </c>
      <c r="O22" s="18" t="n">
        <v>0</v>
      </c>
      <c r="P22" s="20" t="n">
        <v>0</v>
      </c>
      <c r="Q22" s="18" t="n">
        <v>0</v>
      </c>
      <c r="R22" s="20" t="n">
        <v>0</v>
      </c>
      <c r="S22" s="18" t="n">
        <v>8.064754239999999</v>
      </c>
      <c r="T22" s="20" t="n">
        <v>1.61954616</v>
      </c>
    </row>
    <row r="23" spans="1:20">
      <c r="A23" s="15" t="s">
        <v>447</v>
      </c>
      <c r="B23" s="17" t="n">
        <v>5791</v>
      </c>
      <c r="C23" s="18">
        <f>(5102.0/B23*100)</f>
        <v/>
      </c>
      <c r="D23" s="19" t="n">
        <v>689</v>
      </c>
      <c r="E23" s="18" t="n">
        <v>21.70550071</v>
      </c>
      <c r="F23" s="20" t="n">
        <v>2.325465</v>
      </c>
      <c r="G23" s="18" t="n">
        <v>19.32358675</v>
      </c>
      <c r="H23" s="20" t="n">
        <v>2.32097007</v>
      </c>
      <c r="I23" s="18" t="n">
        <v>49.11513396</v>
      </c>
      <c r="J23" s="20" t="n">
        <v>2.9573744</v>
      </c>
      <c r="K23" s="18" t="s">
        <v>431</v>
      </c>
      <c r="L23" s="20" t="s">
        <v>431</v>
      </c>
      <c r="M23" s="18" t="n">
        <v>0.9785641</v>
      </c>
      <c r="N23" s="20" t="n">
        <v>0.72639308</v>
      </c>
      <c r="O23" s="18" t="n">
        <v>0.30356416</v>
      </c>
      <c r="P23" s="20" t="n">
        <v>0.2064227</v>
      </c>
      <c r="Q23" s="18" t="n">
        <v>0</v>
      </c>
      <c r="R23" s="20" t="n">
        <v>0</v>
      </c>
      <c r="S23" s="18" t="n">
        <v>8.57365032</v>
      </c>
      <c r="T23" s="20" t="n">
        <v>1.60896838</v>
      </c>
    </row>
    <row r="24" spans="1:20">
      <c r="A24" s="15" t="s">
        <v>448</v>
      </c>
      <c r="B24" s="17" t="n">
        <v>3338</v>
      </c>
      <c r="C24" s="18">
        <f>(2931.0/B24*100)</f>
        <v/>
      </c>
      <c r="D24" s="19" t="n">
        <v>407</v>
      </c>
      <c r="E24" s="18" t="n">
        <v>11.1345713</v>
      </c>
      <c r="F24" s="20" t="n">
        <v>1.39693414</v>
      </c>
      <c r="G24" s="18" t="n">
        <v>2.47360947</v>
      </c>
      <c r="H24" s="20" t="n">
        <v>0.78277211</v>
      </c>
      <c r="I24" s="18" t="n">
        <v>65.64904774</v>
      </c>
      <c r="J24" s="20" t="n">
        <v>2.39786179</v>
      </c>
      <c r="K24" s="18" t="s">
        <v>431</v>
      </c>
      <c r="L24" s="20" t="s">
        <v>431</v>
      </c>
      <c r="M24" s="18" t="n">
        <v>0.23157811</v>
      </c>
      <c r="N24" s="20" t="n">
        <v>0.23110866</v>
      </c>
      <c r="O24" s="18" t="n">
        <v>0</v>
      </c>
      <c r="P24" s="20" t="n">
        <v>0</v>
      </c>
      <c r="Q24" s="18" t="n">
        <v>0</v>
      </c>
      <c r="R24" s="20" t="n">
        <v>0</v>
      </c>
      <c r="S24" s="18" t="n">
        <v>20.51119337</v>
      </c>
      <c r="T24" s="20" t="n">
        <v>2.287522</v>
      </c>
    </row>
    <row r="25" spans="1:20">
      <c r="A25" s="15" t="s">
        <v>449</v>
      </c>
      <c r="B25" s="17" t="n">
        <v>2912</v>
      </c>
      <c r="C25" s="18">
        <f>(2540.0/B25*100)</f>
        <v/>
      </c>
      <c r="D25" s="19" t="n">
        <v>372</v>
      </c>
      <c r="E25" s="18" t="n">
        <v>14.37343252</v>
      </c>
      <c r="F25" s="20" t="n">
        <v>2.19335453</v>
      </c>
      <c r="G25" s="18" t="n">
        <v>5.90277514</v>
      </c>
      <c r="H25" s="20" t="n">
        <v>1.09982241</v>
      </c>
      <c r="I25" s="18" t="n">
        <v>67.40953806</v>
      </c>
      <c r="J25" s="20" t="n">
        <v>2.72431323</v>
      </c>
      <c r="K25" s="18" t="s">
        <v>431</v>
      </c>
      <c r="L25" s="20" t="s">
        <v>431</v>
      </c>
      <c r="M25" s="18" t="n">
        <v>0</v>
      </c>
      <c r="N25" s="20" t="n">
        <v>0</v>
      </c>
      <c r="O25" s="18" t="n">
        <v>0.27566831</v>
      </c>
      <c r="P25" s="20" t="n">
        <v>0.27512174</v>
      </c>
      <c r="Q25" s="18" t="n">
        <v>0</v>
      </c>
      <c r="R25" s="20" t="n">
        <v>0</v>
      </c>
      <c r="S25" s="18" t="n">
        <v>12.03858596</v>
      </c>
      <c r="T25" s="20" t="n">
        <v>1.77294304</v>
      </c>
    </row>
    <row r="26" spans="1:20">
      <c r="A26" s="15" t="s">
        <v>450</v>
      </c>
      <c r="B26" s="17" t="n">
        <v>2450</v>
      </c>
      <c r="C26" s="18">
        <f>(2160.0/B26*100)</f>
        <v/>
      </c>
      <c r="D26" s="19" t="n">
        <v>290</v>
      </c>
      <c r="E26" s="18" t="n">
        <v>28.40187915</v>
      </c>
      <c r="F26" s="20" t="n">
        <v>2.65758453</v>
      </c>
      <c r="G26" s="18" t="n">
        <v>11.01399372</v>
      </c>
      <c r="H26" s="20" t="n">
        <v>1.97986172</v>
      </c>
      <c r="I26" s="18" t="n">
        <v>54.61532453</v>
      </c>
      <c r="J26" s="20" t="n">
        <v>3.2022595</v>
      </c>
      <c r="K26" s="18" t="s">
        <v>431</v>
      </c>
      <c r="L26" s="20" t="s">
        <v>431</v>
      </c>
      <c r="M26" s="18" t="n">
        <v>0.34156397</v>
      </c>
      <c r="N26" s="20" t="n">
        <v>0.32270398</v>
      </c>
      <c r="O26" s="18" t="n">
        <v>0</v>
      </c>
      <c r="P26" s="20" t="n">
        <v>0</v>
      </c>
      <c r="Q26" s="18" t="n">
        <v>0</v>
      </c>
      <c r="R26" s="20" t="n">
        <v>0</v>
      </c>
      <c r="S26" s="18" t="n">
        <v>5.62723863</v>
      </c>
      <c r="T26" s="20" t="n">
        <v>1.47902535</v>
      </c>
    </row>
    <row r="27" spans="1:20">
      <c r="A27" s="15" t="s">
        <v>451</v>
      </c>
      <c r="B27" s="17" t="n">
        <v>2616</v>
      </c>
      <c r="C27" s="18">
        <f>(2281.0/B27*100)</f>
        <v/>
      </c>
      <c r="D27" s="19" t="n">
        <v>335</v>
      </c>
      <c r="E27" s="18" t="n">
        <v>21.49290327</v>
      </c>
      <c r="F27" s="20" t="n">
        <v>2.235938</v>
      </c>
      <c r="G27" s="18" t="n">
        <v>10.31388895</v>
      </c>
      <c r="H27" s="20" t="n">
        <v>1.78731854</v>
      </c>
      <c r="I27" s="18" t="n">
        <v>53.12887304</v>
      </c>
      <c r="J27" s="20" t="n">
        <v>2.80918609</v>
      </c>
      <c r="K27" s="18" t="s">
        <v>431</v>
      </c>
      <c r="L27" s="20" t="s">
        <v>431</v>
      </c>
      <c r="M27" s="18" t="n">
        <v>0.9108196200000001</v>
      </c>
      <c r="N27" s="20" t="n">
        <v>0.52220204</v>
      </c>
      <c r="O27" s="18" t="n">
        <v>0</v>
      </c>
      <c r="P27" s="20" t="n">
        <v>0</v>
      </c>
      <c r="Q27" s="18" t="n">
        <v>0</v>
      </c>
      <c r="R27" s="20" t="n">
        <v>0</v>
      </c>
      <c r="S27" s="18" t="n">
        <v>14.15351512</v>
      </c>
      <c r="T27" s="20" t="n">
        <v>1.73694749</v>
      </c>
    </row>
    <row r="28" spans="1:20">
      <c r="A28" s="15" t="s">
        <v>452</v>
      </c>
      <c r="B28" s="17" t="n">
        <v>3765</v>
      </c>
      <c r="C28" s="18">
        <f>(3345.0/B28*100)</f>
        <v/>
      </c>
      <c r="D28" s="19" t="n">
        <v>420</v>
      </c>
      <c r="E28" s="18" t="n">
        <v>37.40767918</v>
      </c>
      <c r="F28" s="20" t="n">
        <v>2.24725334</v>
      </c>
      <c r="G28" s="18" t="n">
        <v>8.38038918</v>
      </c>
      <c r="H28" s="20" t="n">
        <v>1.45123166</v>
      </c>
      <c r="I28" s="18" t="n">
        <v>51.66027974</v>
      </c>
      <c r="J28" s="20" t="n">
        <v>2.62517159</v>
      </c>
      <c r="K28" s="18" t="s">
        <v>431</v>
      </c>
      <c r="L28" s="20" t="s">
        <v>431</v>
      </c>
      <c r="M28" s="18" t="n">
        <v>0.31448322</v>
      </c>
      <c r="N28" s="20" t="n">
        <v>0.23096324</v>
      </c>
      <c r="O28" s="18" t="n">
        <v>0</v>
      </c>
      <c r="P28" s="20" t="n">
        <v>0</v>
      </c>
      <c r="Q28" s="18" t="n">
        <v>0</v>
      </c>
      <c r="R28" s="20" t="n">
        <v>0</v>
      </c>
      <c r="S28" s="18" t="n">
        <v>2.23716868</v>
      </c>
      <c r="T28" s="20" t="n">
        <v>0.91418208</v>
      </c>
    </row>
    <row r="29" spans="1:20">
      <c r="A29" s="15" t="s">
        <v>453</v>
      </c>
      <c r="B29" s="17" t="n">
        <v>2685</v>
      </c>
      <c r="C29" s="18">
        <f>(2368.0/B29*100)</f>
        <v/>
      </c>
      <c r="D29" s="19" t="n">
        <v>317</v>
      </c>
      <c r="E29" s="18" t="n">
        <v>28.40077219</v>
      </c>
      <c r="F29" s="20" t="n">
        <v>2.51441799</v>
      </c>
      <c r="G29" s="18" t="n">
        <v>22.24438861</v>
      </c>
      <c r="H29" s="20" t="n">
        <v>2.34799744</v>
      </c>
      <c r="I29" s="18" t="n">
        <v>46.08950138</v>
      </c>
      <c r="J29" s="20" t="n">
        <v>2.62867889</v>
      </c>
      <c r="K29" s="18" t="s">
        <v>431</v>
      </c>
      <c r="L29" s="20" t="s">
        <v>431</v>
      </c>
      <c r="M29" s="18" t="n">
        <v>0</v>
      </c>
      <c r="N29" s="20" t="n">
        <v>0</v>
      </c>
      <c r="O29" s="18" t="n">
        <v>0</v>
      </c>
      <c r="P29" s="20" t="n">
        <v>0</v>
      </c>
      <c r="Q29" s="18" t="n">
        <v>0</v>
      </c>
      <c r="R29" s="20" t="n">
        <v>0</v>
      </c>
      <c r="S29" s="18" t="n">
        <v>3.26533782</v>
      </c>
      <c r="T29" s="20" t="n">
        <v>1.04625606</v>
      </c>
    </row>
    <row r="30" spans="1:20">
      <c r="A30" s="15" t="s">
        <v>454</v>
      </c>
      <c r="B30" s="17" t="n">
        <v>2263</v>
      </c>
      <c r="C30" s="18">
        <f>(1990.0/B30*100)</f>
        <v/>
      </c>
      <c r="D30" s="19" t="n">
        <v>273</v>
      </c>
      <c r="E30" s="18" t="n">
        <v>19.00501953</v>
      </c>
      <c r="F30" s="20" t="n">
        <v>2.12931592</v>
      </c>
      <c r="G30" s="18" t="n">
        <v>14.63171365</v>
      </c>
      <c r="H30" s="20" t="n">
        <v>2.28978435</v>
      </c>
      <c r="I30" s="18" t="n">
        <v>54.19321603</v>
      </c>
      <c r="J30" s="20" t="n">
        <v>2.80214302</v>
      </c>
      <c r="K30" s="18" t="s">
        <v>431</v>
      </c>
      <c r="L30" s="20" t="s">
        <v>431</v>
      </c>
      <c r="M30" s="18" t="n">
        <v>0.75917901</v>
      </c>
      <c r="N30" s="20" t="n">
        <v>0.56302641</v>
      </c>
      <c r="O30" s="18" t="n">
        <v>0</v>
      </c>
      <c r="P30" s="20" t="n">
        <v>0</v>
      </c>
      <c r="Q30" s="18" t="n">
        <v>0</v>
      </c>
      <c r="R30" s="20" t="n">
        <v>0</v>
      </c>
      <c r="S30" s="18" t="n">
        <v>11.41087178</v>
      </c>
      <c r="T30" s="20" t="n">
        <v>1.83239549</v>
      </c>
    </row>
    <row r="31" spans="1:20">
      <c r="A31" s="15" t="s">
        <v>455</v>
      </c>
      <c r="B31" s="17" t="n">
        <v>2750</v>
      </c>
      <c r="C31" s="18">
        <f>(2392.0/B31*100)</f>
        <v/>
      </c>
      <c r="D31" s="19" t="n">
        <v>358</v>
      </c>
      <c r="E31" s="18" t="n">
        <v>21.22851769</v>
      </c>
      <c r="F31" s="20" t="n">
        <v>2.15965364</v>
      </c>
      <c r="G31" s="18" t="n">
        <v>22.45506202</v>
      </c>
      <c r="H31" s="20" t="n">
        <v>2.52666853</v>
      </c>
      <c r="I31" s="18" t="n">
        <v>46.19467928</v>
      </c>
      <c r="J31" s="20" t="n">
        <v>2.60714982</v>
      </c>
      <c r="K31" s="18" t="s">
        <v>431</v>
      </c>
      <c r="L31" s="20" t="s">
        <v>431</v>
      </c>
      <c r="M31" s="18" t="n">
        <v>0.50091677</v>
      </c>
      <c r="N31" s="20" t="n">
        <v>0.34969494</v>
      </c>
      <c r="O31" s="18" t="n">
        <v>0</v>
      </c>
      <c r="P31" s="20" t="n">
        <v>0</v>
      </c>
      <c r="Q31" s="18" t="n">
        <v>0</v>
      </c>
      <c r="R31" s="20" t="n">
        <v>0</v>
      </c>
      <c r="S31" s="18" t="n">
        <v>9.620824239999999</v>
      </c>
      <c r="T31" s="20" t="n">
        <v>1.43188993</v>
      </c>
    </row>
    <row r="32" spans="1:20">
      <c r="A32" s="15" t="s">
        <v>456</v>
      </c>
      <c r="B32" s="17" t="n">
        <v>2269</v>
      </c>
      <c r="C32" s="18">
        <f>(1891.0/B32*100)</f>
        <v/>
      </c>
      <c r="D32" s="19" t="n">
        <v>378</v>
      </c>
      <c r="E32" s="18" t="n">
        <v>21.51529955</v>
      </c>
      <c r="F32" s="20" t="n">
        <v>1.7940926</v>
      </c>
      <c r="G32" s="18" t="n">
        <v>4.7875775</v>
      </c>
      <c r="H32" s="20" t="n">
        <v>1.0005036</v>
      </c>
      <c r="I32" s="18" t="n">
        <v>63.85411741</v>
      </c>
      <c r="J32" s="20" t="n">
        <v>2.55891844</v>
      </c>
      <c r="K32" s="18" t="s">
        <v>431</v>
      </c>
      <c r="L32" s="20" t="s">
        <v>431</v>
      </c>
      <c r="M32" s="18" t="n">
        <v>0.4763477</v>
      </c>
      <c r="N32" s="20" t="n">
        <v>0.33523301</v>
      </c>
      <c r="O32" s="18" t="n">
        <v>0</v>
      </c>
      <c r="P32" s="20" t="n">
        <v>0</v>
      </c>
      <c r="Q32" s="18" t="n">
        <v>0</v>
      </c>
      <c r="R32" s="20" t="n">
        <v>0</v>
      </c>
      <c r="S32" s="18" t="n">
        <v>9.366657849999999</v>
      </c>
      <c r="T32" s="20" t="n">
        <v>1.58900029</v>
      </c>
    </row>
    <row r="33" spans="1:20">
      <c r="A33" s="15" t="s">
        <v>457</v>
      </c>
      <c r="B33" s="17" t="n">
        <v>3674</v>
      </c>
      <c r="C33" s="18">
        <f>(3210.0/B33*100)</f>
        <v/>
      </c>
      <c r="D33" s="19" t="n">
        <v>464</v>
      </c>
      <c r="E33" s="18" t="n">
        <v>11.40999701</v>
      </c>
      <c r="F33" s="20" t="n">
        <v>1.91421019</v>
      </c>
      <c r="G33" s="18" t="n">
        <v>11.45228131</v>
      </c>
      <c r="H33" s="20" t="n">
        <v>1.94636598</v>
      </c>
      <c r="I33" s="18" t="n">
        <v>68.59795714000001</v>
      </c>
      <c r="J33" s="20" t="n">
        <v>3.04572915</v>
      </c>
      <c r="K33" s="18" t="s">
        <v>431</v>
      </c>
      <c r="L33" s="20" t="s">
        <v>431</v>
      </c>
      <c r="M33" s="18" t="n">
        <v>0.96945031</v>
      </c>
      <c r="N33" s="20" t="n">
        <v>0.70931473</v>
      </c>
      <c r="O33" s="18" t="n">
        <v>0</v>
      </c>
      <c r="P33" s="20" t="n">
        <v>0</v>
      </c>
      <c r="Q33" s="18" t="n">
        <v>0</v>
      </c>
      <c r="R33" s="20" t="n">
        <v>0</v>
      </c>
      <c r="S33" s="18" t="n">
        <v>7.57031423</v>
      </c>
      <c r="T33" s="20" t="n">
        <v>1.29172643</v>
      </c>
    </row>
    <row r="34" spans="1:20">
      <c r="A34" s="15" t="s">
        <v>458</v>
      </c>
      <c r="B34" s="17" t="n">
        <v>3315</v>
      </c>
      <c r="C34" s="18">
        <f>(2914.0/B34*100)</f>
        <v/>
      </c>
      <c r="D34" s="19" t="n">
        <v>401</v>
      </c>
      <c r="E34" s="18" t="n">
        <v>34.7013051</v>
      </c>
      <c r="F34" s="20" t="n">
        <v>2.02146568</v>
      </c>
      <c r="G34" s="18" t="n">
        <v>5.58794304</v>
      </c>
      <c r="H34" s="20" t="n">
        <v>1.29761623</v>
      </c>
      <c r="I34" s="18" t="n">
        <v>50.16295788</v>
      </c>
      <c r="J34" s="20" t="n">
        <v>2.44203755</v>
      </c>
      <c r="K34" s="18" t="s">
        <v>431</v>
      </c>
      <c r="L34" s="20" t="s">
        <v>431</v>
      </c>
      <c r="M34" s="18" t="n">
        <v>0</v>
      </c>
      <c r="N34" s="20" t="n">
        <v>0</v>
      </c>
      <c r="O34" s="18" t="n">
        <v>0</v>
      </c>
      <c r="P34" s="20" t="n">
        <v>0</v>
      </c>
      <c r="Q34" s="18" t="n">
        <v>0</v>
      </c>
      <c r="R34" s="20" t="n">
        <v>0</v>
      </c>
      <c r="S34" s="18" t="n">
        <v>9.54779398</v>
      </c>
      <c r="T34" s="20" t="n">
        <v>1.43577464</v>
      </c>
    </row>
    <row r="35" spans="1:20">
      <c r="A35" s="15" t="s">
        <v>459</v>
      </c>
      <c r="B35" s="17" t="n">
        <v>3505</v>
      </c>
      <c r="C35" s="18">
        <f>(3087.0/B35*100)</f>
        <v/>
      </c>
      <c r="D35" s="19" t="n">
        <v>418</v>
      </c>
      <c r="E35" s="18" t="n">
        <v>23.28812636</v>
      </c>
      <c r="F35" s="20" t="n">
        <v>2.38460139</v>
      </c>
      <c r="G35" s="18" t="n">
        <v>8.5710874</v>
      </c>
      <c r="H35" s="20" t="n">
        <v>1.91720356</v>
      </c>
      <c r="I35" s="18" t="n">
        <v>60.87416989</v>
      </c>
      <c r="J35" s="20" t="n">
        <v>2.92081975</v>
      </c>
      <c r="K35" s="18" t="s">
        <v>431</v>
      </c>
      <c r="L35" s="20" t="s">
        <v>431</v>
      </c>
      <c r="M35" s="18" t="n">
        <v>0</v>
      </c>
      <c r="N35" s="20" t="n">
        <v>0</v>
      </c>
      <c r="O35" s="18" t="n">
        <v>0</v>
      </c>
      <c r="P35" s="20" t="n">
        <v>0</v>
      </c>
      <c r="Q35" s="18" t="n">
        <v>0</v>
      </c>
      <c r="R35" s="20" t="n">
        <v>0</v>
      </c>
      <c r="S35" s="18" t="n">
        <v>7.26661635</v>
      </c>
      <c r="T35" s="20" t="n">
        <v>1.514449</v>
      </c>
    </row>
    <row r="36" spans="1:20">
      <c r="A36" s="15" t="s">
        <v>460</v>
      </c>
      <c r="B36" s="17" t="n">
        <v>3332</v>
      </c>
      <c r="C36" s="18">
        <f>(2924.0/B36*100)</f>
        <v/>
      </c>
      <c r="D36" s="19" t="n">
        <v>408</v>
      </c>
      <c r="E36" s="18" t="n">
        <v>20.45260573</v>
      </c>
      <c r="F36" s="20" t="n">
        <v>2.10468898</v>
      </c>
      <c r="G36" s="18" t="n">
        <v>19.75733199</v>
      </c>
      <c r="H36" s="20" t="n">
        <v>2.23956185</v>
      </c>
      <c r="I36" s="18" t="n">
        <v>53.18920689</v>
      </c>
      <c r="J36" s="20" t="n">
        <v>2.42465322</v>
      </c>
      <c r="K36" s="18" t="s">
        <v>431</v>
      </c>
      <c r="L36" s="20" t="s">
        <v>431</v>
      </c>
      <c r="M36" s="18" t="n">
        <v>0.33040328</v>
      </c>
      <c r="N36" s="20" t="n">
        <v>0.22810055</v>
      </c>
      <c r="O36" s="18" t="n">
        <v>0.27613295</v>
      </c>
      <c r="P36" s="20" t="n">
        <v>0.29003358</v>
      </c>
      <c r="Q36" s="18" t="n">
        <v>0</v>
      </c>
      <c r="R36" s="20" t="n">
        <v>0</v>
      </c>
      <c r="S36" s="18" t="n">
        <v>5.99431917</v>
      </c>
      <c r="T36" s="20" t="n">
        <v>1.25567183</v>
      </c>
    </row>
    <row r="37" spans="1:20">
      <c r="A37" s="15" t="s">
        <v>461</v>
      </c>
      <c r="B37" s="17" t="n">
        <v>2727</v>
      </c>
      <c r="C37" s="18">
        <f>(2400.0/B37*100)</f>
        <v/>
      </c>
      <c r="D37" s="19" t="n">
        <v>327</v>
      </c>
      <c r="E37" s="18" t="n">
        <v>32.48903618</v>
      </c>
      <c r="F37" s="20" t="n">
        <v>3.00667271</v>
      </c>
      <c r="G37" s="18" t="n">
        <v>10.71042985</v>
      </c>
      <c r="H37" s="20" t="n">
        <v>1.80260719</v>
      </c>
      <c r="I37" s="18" t="n">
        <v>45.24230629</v>
      </c>
      <c r="J37" s="20" t="n">
        <v>2.95961213</v>
      </c>
      <c r="K37" s="18" t="s">
        <v>431</v>
      </c>
      <c r="L37" s="20" t="s">
        <v>431</v>
      </c>
      <c r="M37" s="18" t="n">
        <v>1.01814626</v>
      </c>
      <c r="N37" s="20" t="n">
        <v>0.5835430700000001</v>
      </c>
      <c r="O37" s="18" t="n">
        <v>0</v>
      </c>
      <c r="P37" s="20" t="n">
        <v>0</v>
      </c>
      <c r="Q37" s="18" t="n">
        <v>0</v>
      </c>
      <c r="R37" s="20" t="n">
        <v>0</v>
      </c>
      <c r="S37" s="18" t="n">
        <v>10.54008142</v>
      </c>
      <c r="T37" s="20" t="n">
        <v>1.74255629</v>
      </c>
    </row>
    <row r="38" spans="1:20">
      <c r="A38" s="15" t="s">
        <v>462</v>
      </c>
      <c r="B38" s="17" t="n">
        <v>3053</v>
      </c>
      <c r="C38" s="18">
        <f>(2538.0/B38*100)</f>
        <v/>
      </c>
      <c r="D38" s="19" t="n">
        <v>515</v>
      </c>
      <c r="E38" s="18" t="n">
        <v>32.32789842</v>
      </c>
      <c r="F38" s="20" t="n">
        <v>2.57618996</v>
      </c>
      <c r="G38" s="18" t="n">
        <v>13.85165964</v>
      </c>
      <c r="H38" s="20" t="n">
        <v>1.79078177</v>
      </c>
      <c r="I38" s="18" t="n">
        <v>45.1681859</v>
      </c>
      <c r="J38" s="20" t="n">
        <v>2.83598186</v>
      </c>
      <c r="K38" s="18" t="s">
        <v>431</v>
      </c>
      <c r="L38" s="20" t="s">
        <v>431</v>
      </c>
      <c r="M38" s="18" t="n">
        <v>0.77658036</v>
      </c>
      <c r="N38" s="20" t="n">
        <v>0.37061197</v>
      </c>
      <c r="O38" s="18" t="n">
        <v>0.1642539</v>
      </c>
      <c r="P38" s="20" t="n">
        <v>0.1632461</v>
      </c>
      <c r="Q38" s="18" t="n">
        <v>0</v>
      </c>
      <c r="R38" s="20" t="n">
        <v>0</v>
      </c>
      <c r="S38" s="18" t="n">
        <v>7.71142179</v>
      </c>
      <c r="T38" s="20" t="n">
        <v>1.3252259</v>
      </c>
    </row>
    <row r="39" spans="1:20">
      <c r="A39" s="15" t="s">
        <v>463</v>
      </c>
      <c r="B39" s="17" t="n">
        <v>2957</v>
      </c>
      <c r="C39" s="18">
        <f>(2592.0/B39*100)</f>
        <v/>
      </c>
      <c r="D39" s="19" t="n">
        <v>365</v>
      </c>
      <c r="E39" s="18" t="n">
        <v>46.53449905</v>
      </c>
      <c r="F39" s="20" t="n">
        <v>2.94497607</v>
      </c>
      <c r="G39" s="18" t="n">
        <v>3.92715817</v>
      </c>
      <c r="H39" s="20" t="n">
        <v>1.1524269</v>
      </c>
      <c r="I39" s="18" t="n">
        <v>36.2266244</v>
      </c>
      <c r="J39" s="20" t="n">
        <v>3.13484861</v>
      </c>
      <c r="K39" s="18" t="s">
        <v>431</v>
      </c>
      <c r="L39" s="20" t="s">
        <v>431</v>
      </c>
      <c r="M39" s="18" t="n">
        <v>0.27796175</v>
      </c>
      <c r="N39" s="20" t="n">
        <v>0.26882528</v>
      </c>
      <c r="O39" s="18" t="n">
        <v>0.24481936</v>
      </c>
      <c r="P39" s="20" t="n">
        <v>0.2503347</v>
      </c>
      <c r="Q39" s="18" t="n">
        <v>0</v>
      </c>
      <c r="R39" s="20" t="n">
        <v>0</v>
      </c>
      <c r="S39" s="18" t="n">
        <v>12.78893727</v>
      </c>
      <c r="T39" s="20" t="n">
        <v>1.97782881</v>
      </c>
    </row>
    <row r="40" spans="1:20">
      <c r="A40" s="15" t="s">
        <v>464</v>
      </c>
      <c r="B40" s="17" t="n">
        <v>7235</v>
      </c>
      <c r="C40" s="18">
        <f>(6353.0/B40*100)</f>
        <v/>
      </c>
      <c r="D40" s="19" t="n">
        <v>882</v>
      </c>
      <c r="E40" s="18" t="n">
        <v>13.96846781</v>
      </c>
      <c r="F40" s="20" t="n">
        <v>1.71458728</v>
      </c>
      <c r="G40" s="18" t="n">
        <v>25.23465542</v>
      </c>
      <c r="H40" s="20" t="n">
        <v>2.08777563</v>
      </c>
      <c r="I40" s="18" t="n">
        <v>50.96581605</v>
      </c>
      <c r="J40" s="20" t="n">
        <v>2.78178381</v>
      </c>
      <c r="K40" s="18" t="s">
        <v>431</v>
      </c>
      <c r="L40" s="20" t="s">
        <v>431</v>
      </c>
      <c r="M40" s="18" t="n">
        <v>0.50824375</v>
      </c>
      <c r="N40" s="20" t="n">
        <v>0.28105078</v>
      </c>
      <c r="O40" s="18" t="n">
        <v>0.29708949</v>
      </c>
      <c r="P40" s="20" t="n">
        <v>0.29324644</v>
      </c>
      <c r="Q40" s="18" t="n">
        <v>0</v>
      </c>
      <c r="R40" s="20" t="n">
        <v>0</v>
      </c>
      <c r="S40" s="18" t="n">
        <v>9.02572748</v>
      </c>
      <c r="T40" s="20" t="n">
        <v>1.58019932</v>
      </c>
    </row>
    <row r="41" spans="1:20">
      <c r="A41" s="15" t="s">
        <v>465</v>
      </c>
      <c r="B41" s="17" t="n">
        <v>2858</v>
      </c>
      <c r="C41" s="18">
        <f>(2507.0/B41*100)</f>
        <v/>
      </c>
      <c r="D41" s="19" t="n">
        <v>351</v>
      </c>
      <c r="E41" s="18" t="n">
        <v>20.05549092</v>
      </c>
      <c r="F41" s="20" t="n">
        <v>2.44497224</v>
      </c>
      <c r="G41" s="18" t="n">
        <v>8.59150043</v>
      </c>
      <c r="H41" s="20" t="n">
        <v>1.58025782</v>
      </c>
      <c r="I41" s="18" t="n">
        <v>67.72056482000001</v>
      </c>
      <c r="J41" s="20" t="n">
        <v>2.7593134</v>
      </c>
      <c r="K41" s="18" t="s">
        <v>431</v>
      </c>
      <c r="L41" s="20" t="s">
        <v>431</v>
      </c>
      <c r="M41" s="18" t="n">
        <v>0</v>
      </c>
      <c r="N41" s="20" t="n">
        <v>0</v>
      </c>
      <c r="O41" s="18" t="n">
        <v>0</v>
      </c>
      <c r="P41" s="20" t="n">
        <v>0</v>
      </c>
      <c r="Q41" s="18" t="n">
        <v>0</v>
      </c>
      <c r="R41" s="20" t="n">
        <v>0</v>
      </c>
      <c r="S41" s="18" t="n">
        <v>3.63244383</v>
      </c>
      <c r="T41" s="20" t="n">
        <v>1.00473027</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(2075.0/B44*100)</f>
        <v/>
      </c>
      <c r="D44" s="19" t="n">
        <v>449</v>
      </c>
      <c r="E44" s="18" t="n">
        <v>20.09632599</v>
      </c>
      <c r="F44" s="20" t="n">
        <v>2.3969194</v>
      </c>
      <c r="G44" s="18" t="n">
        <v>36.8567428</v>
      </c>
      <c r="H44" s="20" t="n">
        <v>2.3055448</v>
      </c>
      <c r="I44" s="18" t="n">
        <v>11.71301047</v>
      </c>
      <c r="J44" s="20" t="n">
        <v>1.5549172</v>
      </c>
      <c r="K44" s="18" t="s">
        <v>431</v>
      </c>
      <c r="L44" s="20" t="s">
        <v>431</v>
      </c>
      <c r="M44" s="18" t="n">
        <v>0</v>
      </c>
      <c r="N44" s="20" t="n">
        <v>0</v>
      </c>
      <c r="O44" s="18" t="n">
        <v>0</v>
      </c>
      <c r="P44" s="20" t="n">
        <v>0</v>
      </c>
      <c r="Q44" s="18" t="n">
        <v>0</v>
      </c>
      <c r="R44" s="20" t="n">
        <v>0</v>
      </c>
      <c r="S44" s="18" t="n">
        <v>31.33392073</v>
      </c>
      <c r="T44" s="20" t="n">
        <v>2.1926899</v>
      </c>
    </row>
    <row r="45" spans="1:20">
      <c r="A45" s="15" t="s">
        <v>469</v>
      </c>
      <c r="B45" s="17" t="n">
        <v>2849</v>
      </c>
      <c r="C45" s="18">
        <f>(2371.0/B45*100)</f>
        <v/>
      </c>
      <c r="D45" s="19" t="n">
        <v>478</v>
      </c>
      <c r="E45" s="18" t="n">
        <v>46.46089472</v>
      </c>
      <c r="F45" s="20" t="n">
        <v>2.23016784</v>
      </c>
      <c r="G45" s="18" t="n">
        <v>10.44602409</v>
      </c>
      <c r="H45" s="20" t="n">
        <v>1.88628848</v>
      </c>
      <c r="I45" s="18" t="n">
        <v>4.49767723</v>
      </c>
      <c r="J45" s="20" t="n">
        <v>1.00743952</v>
      </c>
      <c r="K45" s="18" t="s">
        <v>431</v>
      </c>
      <c r="L45" s="20" t="s">
        <v>431</v>
      </c>
      <c r="M45" s="18" t="n">
        <v>0</v>
      </c>
      <c r="N45" s="20" t="n">
        <v>0</v>
      </c>
      <c r="O45" s="18" t="n">
        <v>0.17823723</v>
      </c>
      <c r="P45" s="20" t="n">
        <v>0.17902953</v>
      </c>
      <c r="Q45" s="18" t="n">
        <v>0</v>
      </c>
      <c r="R45" s="20" t="n">
        <v>0</v>
      </c>
      <c r="S45" s="18" t="n">
        <v>38.41716673</v>
      </c>
      <c r="T45" s="20" t="n">
        <v>2.45292127</v>
      </c>
    </row>
    <row r="46" spans="1:20">
      <c r="A46" s="15" t="s">
        <v>470</v>
      </c>
      <c r="B46" s="17" t="n">
        <v>11068</v>
      </c>
      <c r="C46" s="18">
        <f>(9830.0/B46*100)</f>
        <v/>
      </c>
      <c r="D46" s="19" t="n">
        <v>1238</v>
      </c>
      <c r="E46" s="18" t="n">
        <v>27.50207444</v>
      </c>
      <c r="F46" s="20" t="n">
        <v>1.97098767</v>
      </c>
      <c r="G46" s="18" t="n">
        <v>3.31647426</v>
      </c>
      <c r="H46" s="20" t="n">
        <v>0.62631795</v>
      </c>
      <c r="I46" s="18" t="n">
        <v>55.50923898</v>
      </c>
      <c r="J46" s="20" t="n">
        <v>2.07878479</v>
      </c>
      <c r="K46" s="18" t="s">
        <v>431</v>
      </c>
      <c r="L46" s="20" t="s">
        <v>431</v>
      </c>
      <c r="M46" s="18" t="n">
        <v>0.62133265</v>
      </c>
      <c r="N46" s="20" t="n">
        <v>0.20316677</v>
      </c>
      <c r="O46" s="18" t="n">
        <v>0.09984445</v>
      </c>
      <c r="P46" s="20" t="n">
        <v>0.05265867</v>
      </c>
      <c r="Q46" s="18" t="n">
        <v>0</v>
      </c>
      <c r="R46" s="20" t="n">
        <v>0</v>
      </c>
      <c r="S46" s="18" t="n">
        <v>12.95103522</v>
      </c>
      <c r="T46" s="20" t="n">
        <v>1.41023726</v>
      </c>
    </row>
    <row r="47" spans="1:20">
      <c r="A47" s="15" t="s">
        <v>471</v>
      </c>
      <c r="B47" s="17" t="n">
        <v>3105</v>
      </c>
      <c r="C47" s="18">
        <f>(2728.0/B47*100)</f>
        <v/>
      </c>
      <c r="D47" s="19" t="n">
        <v>377</v>
      </c>
      <c r="E47" s="18" t="n">
        <v>27.35806099</v>
      </c>
      <c r="F47" s="20" t="n">
        <v>2.19028637</v>
      </c>
      <c r="G47" s="18" t="n">
        <v>5.72754468</v>
      </c>
      <c r="H47" s="20" t="n">
        <v>1.28063632</v>
      </c>
      <c r="I47" s="18" t="n">
        <v>45.76565148</v>
      </c>
      <c r="J47" s="20" t="n">
        <v>2.57940962</v>
      </c>
      <c r="K47" s="18" t="s">
        <v>431</v>
      </c>
      <c r="L47" s="20" t="s">
        <v>431</v>
      </c>
      <c r="M47" s="18" t="n">
        <v>1.02801976</v>
      </c>
      <c r="N47" s="20" t="n">
        <v>0.5367018</v>
      </c>
      <c r="O47" s="18" t="n">
        <v>0</v>
      </c>
      <c r="P47" s="20" t="n">
        <v>0</v>
      </c>
      <c r="Q47" s="18" t="n">
        <v>0</v>
      </c>
      <c r="R47" s="20" t="n">
        <v>0</v>
      </c>
      <c r="S47" s="18" t="n">
        <v>20.1207231</v>
      </c>
      <c r="T47" s="20" t="n">
        <v>2.32262917</v>
      </c>
    </row>
    <row r="48" spans="1:20">
      <c r="A48" s="15" t="s">
        <v>472</v>
      </c>
      <c r="B48" s="17" t="n">
        <v>5159</v>
      </c>
      <c r="C48" s="18">
        <f>(4501.0/B48*100)</f>
        <v/>
      </c>
      <c r="D48" s="19" t="n">
        <v>658</v>
      </c>
      <c r="E48" s="18" t="n">
        <v>22.55691534</v>
      </c>
      <c r="F48" s="20" t="n">
        <v>2.26505495</v>
      </c>
      <c r="G48" s="18" t="n">
        <v>1.25715409</v>
      </c>
      <c r="H48" s="20" t="n">
        <v>0.51235972</v>
      </c>
      <c r="I48" s="18" t="n">
        <v>64.64014422</v>
      </c>
      <c r="J48" s="20" t="n">
        <v>2.87785597</v>
      </c>
      <c r="K48" s="18" t="s">
        <v>431</v>
      </c>
      <c r="L48" s="20" t="s">
        <v>431</v>
      </c>
      <c r="M48" s="18" t="n">
        <v>0.50576922</v>
      </c>
      <c r="N48" s="20" t="n">
        <v>0.39481567</v>
      </c>
      <c r="O48" s="18" t="n">
        <v>0</v>
      </c>
      <c r="P48" s="20" t="n">
        <v>0</v>
      </c>
      <c r="Q48" s="18" t="n">
        <v>0</v>
      </c>
      <c r="R48" s="20" t="n">
        <v>0</v>
      </c>
      <c r="S48" s="18" t="n">
        <v>11.04001713</v>
      </c>
      <c r="T48" s="20" t="n">
        <v>1.81488932</v>
      </c>
    </row>
    <row r="49" spans="1:20">
      <c r="A49" s="15" t="s">
        <v>473</v>
      </c>
      <c r="B49" s="17" t="n">
        <v>3018</v>
      </c>
      <c r="C49" s="18">
        <f>(2529.0/B49*100)</f>
        <v/>
      </c>
      <c r="D49" s="19" t="n">
        <v>489</v>
      </c>
      <c r="E49" s="18" t="n">
        <v>25.3454648</v>
      </c>
      <c r="F49" s="20" t="n">
        <v>2.41639288</v>
      </c>
      <c r="G49" s="18" t="n">
        <v>16.63415561</v>
      </c>
      <c r="H49" s="20" t="n">
        <v>1.7486889</v>
      </c>
      <c r="I49" s="18" t="n">
        <v>40.43545361</v>
      </c>
      <c r="J49" s="20" t="n">
        <v>2.864093</v>
      </c>
      <c r="K49" s="18" t="s">
        <v>431</v>
      </c>
      <c r="L49" s="20" t="s">
        <v>431</v>
      </c>
      <c r="M49" s="18" t="n">
        <v>0</v>
      </c>
      <c r="N49" s="20" t="n">
        <v>0</v>
      </c>
      <c r="O49" s="18" t="n">
        <v>2.21571975</v>
      </c>
      <c r="P49" s="20" t="n">
        <v>0.75915181</v>
      </c>
      <c r="Q49" s="18" t="n">
        <v>0.12574632</v>
      </c>
      <c r="R49" s="20" t="n">
        <v>0.13547628</v>
      </c>
      <c r="S49" s="18" t="n">
        <v>15.24345991</v>
      </c>
      <c r="T49" s="20" t="n">
        <v>1.70533784</v>
      </c>
    </row>
    <row r="50" spans="1:20">
      <c r="A50" s="15" t="s">
        <v>474</v>
      </c>
      <c r="B50" s="17" t="n">
        <v>5637</v>
      </c>
      <c r="C50" s="18">
        <f>(4979.0/B50*100)</f>
        <v/>
      </c>
      <c r="D50" s="19" t="n">
        <v>658</v>
      </c>
      <c r="E50" s="18" t="n">
        <v>22.49029087</v>
      </c>
      <c r="F50" s="20" t="n">
        <v>2.43790615</v>
      </c>
      <c r="G50" s="18" t="n">
        <v>12.77106419</v>
      </c>
      <c r="H50" s="20" t="n">
        <v>1.8339374</v>
      </c>
      <c r="I50" s="18" t="n">
        <v>56.11164341</v>
      </c>
      <c r="J50" s="20" t="n">
        <v>2.90608342</v>
      </c>
      <c r="K50" s="18" t="s">
        <v>431</v>
      </c>
      <c r="L50" s="20" t="s">
        <v>431</v>
      </c>
      <c r="M50" s="18" t="n">
        <v>2.02656172</v>
      </c>
      <c r="N50" s="20" t="n">
        <v>0.74321558</v>
      </c>
      <c r="O50" s="18" t="n">
        <v>0</v>
      </c>
      <c r="P50" s="20" t="n">
        <v>0</v>
      </c>
      <c r="Q50" s="18" t="n">
        <v>0</v>
      </c>
      <c r="R50" s="20" t="n">
        <v>0</v>
      </c>
      <c r="S50" s="18" t="n">
        <v>6.6004398</v>
      </c>
      <c r="T50" s="20" t="n">
        <v>1.51715241</v>
      </c>
    </row>
    <row r="51" spans="1:20">
      <c r="A51" s="15" t="s">
        <v>475</v>
      </c>
      <c r="B51" s="17" t="n">
        <v>3372</v>
      </c>
      <c r="C51" s="18">
        <f>(3047.0/B51*100)</f>
        <v/>
      </c>
      <c r="D51" s="19" t="n">
        <v>325</v>
      </c>
      <c r="E51" s="18" t="n">
        <v>26.95955042</v>
      </c>
      <c r="F51" s="20" t="n">
        <v>2.56420654</v>
      </c>
      <c r="G51" s="18" t="n">
        <v>8.996078069999999</v>
      </c>
      <c r="H51" s="20" t="n">
        <v>1.85470929</v>
      </c>
      <c r="I51" s="18" t="n">
        <v>54.94687589</v>
      </c>
      <c r="J51" s="20" t="n">
        <v>3.25893323</v>
      </c>
      <c r="K51" s="18" t="s">
        <v>431</v>
      </c>
      <c r="L51" s="20" t="s">
        <v>431</v>
      </c>
      <c r="M51" s="18" t="n">
        <v>0.45412476</v>
      </c>
      <c r="N51" s="20" t="n">
        <v>0.40636692</v>
      </c>
      <c r="O51" s="18" t="n">
        <v>0</v>
      </c>
      <c r="P51" s="20" t="n">
        <v>0</v>
      </c>
      <c r="Q51" s="18" t="n">
        <v>0</v>
      </c>
      <c r="R51" s="20" t="n">
        <v>0</v>
      </c>
      <c r="S51" s="18" t="n">
        <v>8.64337087</v>
      </c>
      <c r="T51" s="20" t="n">
        <v>1.65790613</v>
      </c>
    </row>
    <row r="52" spans="1:20">
      <c r="A52" s="15" t="s">
        <v>476</v>
      </c>
      <c r="B52" s="17" t="n">
        <v>2796</v>
      </c>
      <c r="C52" s="18">
        <f>(2447.0/B52*100)</f>
        <v/>
      </c>
      <c r="D52" s="19" t="n">
        <v>349</v>
      </c>
      <c r="E52" s="18" t="n">
        <v>19.40912422</v>
      </c>
      <c r="F52" s="20" t="n">
        <v>2.14384054</v>
      </c>
      <c r="G52" s="18" t="n">
        <v>6.76467602</v>
      </c>
      <c r="H52" s="20" t="n">
        <v>1.30447816</v>
      </c>
      <c r="I52" s="18" t="n">
        <v>63.24819306</v>
      </c>
      <c r="J52" s="20" t="n">
        <v>2.60364174</v>
      </c>
      <c r="K52" s="18" t="s">
        <v>431</v>
      </c>
      <c r="L52" s="20" t="s">
        <v>431</v>
      </c>
      <c r="M52" s="18" t="n">
        <v>0.31784052</v>
      </c>
      <c r="N52" s="20" t="n">
        <v>0.31783941</v>
      </c>
      <c r="O52" s="18" t="n">
        <v>0</v>
      </c>
      <c r="P52" s="20" t="n">
        <v>0</v>
      </c>
      <c r="Q52" s="18" t="n">
        <v>0</v>
      </c>
      <c r="R52" s="20" t="n">
        <v>0</v>
      </c>
      <c r="S52" s="18" t="n">
        <v>10.26016618</v>
      </c>
      <c r="T52" s="20" t="n">
        <v>1.54431232</v>
      </c>
    </row>
    <row r="53" spans="1:20">
      <c r="A53" s="15" t="s">
        <v>477</v>
      </c>
      <c r="B53" s="17" t="n">
        <v>2811</v>
      </c>
      <c r="C53" s="18">
        <f>(2462.0/B53*100)</f>
        <v/>
      </c>
      <c r="D53" s="19" t="n">
        <v>349</v>
      </c>
      <c r="E53" s="18" t="n">
        <v>22.59043112</v>
      </c>
      <c r="F53" s="20" t="n">
        <v>2.17777204</v>
      </c>
      <c r="G53" s="18" t="n">
        <v>8.22114597</v>
      </c>
      <c r="H53" s="20" t="n">
        <v>1.33482633</v>
      </c>
      <c r="I53" s="18" t="n">
        <v>52.61769924</v>
      </c>
      <c r="J53" s="20" t="n">
        <v>3.08529506</v>
      </c>
      <c r="K53" s="18" t="s">
        <v>431</v>
      </c>
      <c r="L53" s="20" t="s">
        <v>431</v>
      </c>
      <c r="M53" s="18" t="n">
        <v>0.86336443</v>
      </c>
      <c r="N53" s="20" t="n">
        <v>0.53040284</v>
      </c>
      <c r="O53" s="18" t="n">
        <v>0</v>
      </c>
      <c r="P53" s="20" t="n">
        <v>0</v>
      </c>
      <c r="Q53" s="18" t="n">
        <v>0</v>
      </c>
      <c r="R53" s="20" t="n">
        <v>0</v>
      </c>
      <c r="S53" s="18" t="n">
        <v>15.70735924</v>
      </c>
      <c r="T53" s="20" t="n">
        <v>2.03878926</v>
      </c>
    </row>
    <row r="54" spans="1:20">
      <c r="A54" s="15" t="s">
        <v>478</v>
      </c>
      <c r="B54" s="17" t="n">
        <v>2266</v>
      </c>
      <c r="C54" s="18">
        <f>(1857.0/B54*100)</f>
        <v/>
      </c>
      <c r="D54" s="19" t="n">
        <v>409</v>
      </c>
      <c r="E54" s="18" t="n">
        <v>29.22420527</v>
      </c>
      <c r="F54" s="20" t="n">
        <v>2.21421708</v>
      </c>
      <c r="G54" s="18" t="n">
        <v>7.28724594</v>
      </c>
      <c r="H54" s="20" t="n">
        <v>1.3540463</v>
      </c>
      <c r="I54" s="18" t="n">
        <v>36.62686221</v>
      </c>
      <c r="J54" s="20" t="n">
        <v>2.60698174</v>
      </c>
      <c r="K54" s="18" t="s">
        <v>431</v>
      </c>
      <c r="L54" s="20" t="s">
        <v>431</v>
      </c>
      <c r="M54" s="18" t="n">
        <v>11.11255938</v>
      </c>
      <c r="N54" s="20" t="n">
        <v>1.66754958</v>
      </c>
      <c r="O54" s="18" t="n">
        <v>0.24346317</v>
      </c>
      <c r="P54" s="20" t="n">
        <v>0.23462787</v>
      </c>
      <c r="Q54" s="18" t="n">
        <v>0</v>
      </c>
      <c r="R54" s="20" t="n">
        <v>0</v>
      </c>
      <c r="S54" s="18" t="n">
        <v>15.50566403</v>
      </c>
      <c r="T54" s="20" t="n">
        <v>2.39522921</v>
      </c>
    </row>
    <row r="55" spans="1:20">
      <c r="A55" s="15" t="s">
        <v>479</v>
      </c>
      <c r="B55" s="17" t="n">
        <v>2759</v>
      </c>
      <c r="C55" s="18">
        <f>(2314.0/B55*100)</f>
        <v/>
      </c>
      <c r="D55" s="19" t="n">
        <v>445</v>
      </c>
      <c r="E55" s="18" t="n">
        <v>24.28321831</v>
      </c>
      <c r="F55" s="20" t="n">
        <v>2.22838879</v>
      </c>
      <c r="G55" s="18" t="n">
        <v>6.2452922</v>
      </c>
      <c r="H55" s="20" t="n">
        <v>1.2044304</v>
      </c>
      <c r="I55" s="18" t="n">
        <v>35.21573154</v>
      </c>
      <c r="J55" s="20" t="n">
        <v>1.97947368</v>
      </c>
      <c r="K55" s="18" t="s">
        <v>431</v>
      </c>
      <c r="L55" s="20" t="s">
        <v>431</v>
      </c>
      <c r="M55" s="18" t="n">
        <v>0</v>
      </c>
      <c r="N55" s="20" t="n">
        <v>0</v>
      </c>
      <c r="O55" s="18" t="n">
        <v>0</v>
      </c>
      <c r="P55" s="20" t="n">
        <v>0</v>
      </c>
      <c r="Q55" s="18" t="n">
        <v>0.23332517</v>
      </c>
      <c r="R55" s="20" t="n">
        <v>0.21848416</v>
      </c>
      <c r="S55" s="18" t="n">
        <v>34.02243278</v>
      </c>
      <c r="T55" s="20" t="n">
        <v>2.31531238</v>
      </c>
    </row>
    <row r="56" spans="1:20">
      <c r="A56" s="15" t="s">
        <v>480</v>
      </c>
      <c r="B56" s="17" t="n">
        <v>2684</v>
      </c>
      <c r="C56" s="18">
        <f>(2352.0/B56*100)</f>
        <v/>
      </c>
      <c r="D56" s="19" t="n">
        <v>332</v>
      </c>
      <c r="E56" s="18" t="n">
        <v>16.00818409</v>
      </c>
      <c r="F56" s="20" t="n">
        <v>2.27267838</v>
      </c>
      <c r="G56" s="18" t="n">
        <v>2.86301173</v>
      </c>
      <c r="H56" s="20" t="n">
        <v>0.95624368</v>
      </c>
      <c r="I56" s="18" t="n">
        <v>72.73597761000001</v>
      </c>
      <c r="J56" s="20" t="n">
        <v>2.8011591</v>
      </c>
      <c r="K56" s="18" t="s">
        <v>431</v>
      </c>
      <c r="L56" s="20" t="s">
        <v>431</v>
      </c>
      <c r="M56" s="18" t="n">
        <v>0.42822993</v>
      </c>
      <c r="N56" s="20" t="n">
        <v>0.42290931</v>
      </c>
      <c r="O56" s="18" t="n">
        <v>0</v>
      </c>
      <c r="P56" s="20" t="n">
        <v>0</v>
      </c>
      <c r="Q56" s="18" t="n">
        <v>0</v>
      </c>
      <c r="R56" s="20" t="n">
        <v>0</v>
      </c>
      <c r="S56" s="18" t="n">
        <v>7.96459664</v>
      </c>
      <c r="T56" s="20" t="n">
        <v>1.22527242</v>
      </c>
    </row>
    <row r="57" spans="1:20">
      <c r="A57" s="15" t="s">
        <v>481</v>
      </c>
      <c r="B57" s="17" t="n">
        <v>3170</v>
      </c>
      <c r="C57" s="18">
        <f>(2635.0/B57*100)</f>
        <v/>
      </c>
      <c r="D57" s="19" t="n">
        <v>535</v>
      </c>
      <c r="E57" s="18" t="n">
        <v>46.93562155</v>
      </c>
      <c r="F57" s="20" t="n">
        <v>2.29517815</v>
      </c>
      <c r="G57" s="18" t="n">
        <v>31.42138769</v>
      </c>
      <c r="H57" s="20" t="n">
        <v>2.34013734</v>
      </c>
      <c r="I57" s="18" t="n">
        <v>14.68439444</v>
      </c>
      <c r="J57" s="20" t="n">
        <v>1.50789346</v>
      </c>
      <c r="K57" s="18" t="s">
        <v>431</v>
      </c>
      <c r="L57" s="20" t="s">
        <v>431</v>
      </c>
      <c r="M57" s="18" t="n">
        <v>0</v>
      </c>
      <c r="N57" s="20" t="n">
        <v>0</v>
      </c>
      <c r="O57" s="18" t="n">
        <v>0</v>
      </c>
      <c r="P57" s="20" t="n">
        <v>0</v>
      </c>
      <c r="Q57" s="18" t="n">
        <v>0</v>
      </c>
      <c r="R57" s="20" t="n">
        <v>0</v>
      </c>
      <c r="S57" s="18" t="n">
        <v>6.95859631</v>
      </c>
      <c r="T57" s="20" t="n">
        <v>1.39397173</v>
      </c>
    </row>
    <row r="58" spans="1:20">
      <c r="A58" s="15" t="s">
        <v>482</v>
      </c>
      <c r="B58" s="17" t="n">
        <v>3530</v>
      </c>
      <c r="C58" s="18">
        <f>(2943.0/B58*100)</f>
        <v/>
      </c>
      <c r="D58" s="19" t="n">
        <v>587</v>
      </c>
      <c r="E58" s="18" t="n">
        <v>23.42506126</v>
      </c>
      <c r="F58" s="20" t="n">
        <v>1.90766095</v>
      </c>
      <c r="G58" s="18" t="n">
        <v>28.06286587</v>
      </c>
      <c r="H58" s="20" t="n">
        <v>2.12581218</v>
      </c>
      <c r="I58" s="18" t="n">
        <v>18.52473414</v>
      </c>
      <c r="J58" s="20" t="n">
        <v>1.75405855</v>
      </c>
      <c r="K58" s="18" t="s">
        <v>431</v>
      </c>
      <c r="L58" s="20" t="s">
        <v>431</v>
      </c>
      <c r="M58" s="18" t="n">
        <v>0</v>
      </c>
      <c r="N58" s="20" t="n">
        <v>0</v>
      </c>
      <c r="O58" s="18" t="n">
        <v>0</v>
      </c>
      <c r="P58" s="20" t="n">
        <v>0</v>
      </c>
      <c r="Q58" s="18" t="n">
        <v>0</v>
      </c>
      <c r="R58" s="20" t="n">
        <v>0</v>
      </c>
      <c r="S58" s="18" t="n">
        <v>29.98733873</v>
      </c>
      <c r="T58" s="20" t="n">
        <v>3.12586552</v>
      </c>
    </row>
    <row r="59" spans="1:20">
      <c r="A59" s="15" t="s">
        <v>483</v>
      </c>
      <c r="B59" s="17" t="n">
        <v>2548</v>
      </c>
      <c r="C59" s="18">
        <f>(2124.0/B59*100)</f>
        <v/>
      </c>
      <c r="D59" s="19" t="n">
        <v>424</v>
      </c>
      <c r="E59" s="18" t="n">
        <v>54.70838194</v>
      </c>
      <c r="F59" s="20" t="n">
        <v>2.73471671</v>
      </c>
      <c r="G59" s="18" t="n">
        <v>13.78021165</v>
      </c>
      <c r="H59" s="20" t="n">
        <v>2.35251457</v>
      </c>
      <c r="I59" s="18" t="n">
        <v>4.07837137</v>
      </c>
      <c r="J59" s="20" t="n">
        <v>1.17739074</v>
      </c>
      <c r="K59" s="18" t="s">
        <v>431</v>
      </c>
      <c r="L59" s="20" t="s">
        <v>431</v>
      </c>
      <c r="M59" s="18" t="n">
        <v>0</v>
      </c>
      <c r="N59" s="20" t="n">
        <v>0</v>
      </c>
      <c r="O59" s="18" t="n">
        <v>0</v>
      </c>
      <c r="P59" s="20" t="n">
        <v>0</v>
      </c>
      <c r="Q59" s="18" t="n">
        <v>0</v>
      </c>
      <c r="R59" s="20" t="n">
        <v>0</v>
      </c>
      <c r="S59" s="18" t="n">
        <v>27.43303504</v>
      </c>
      <c r="T59" s="20" t="n">
        <v>2.48540015</v>
      </c>
    </row>
    <row r="60" spans="1:20">
      <c r="A60" s="15" t="s">
        <v>484</v>
      </c>
      <c r="B60" s="17" t="n">
        <v>2095</v>
      </c>
      <c r="C60" s="18">
        <f>(1743.0/B60*100)</f>
        <v/>
      </c>
      <c r="D60" s="19" t="n">
        <v>352</v>
      </c>
      <c r="E60" s="18" t="n">
        <v>29.70781472</v>
      </c>
      <c r="F60" s="20" t="n">
        <v>3.11467956</v>
      </c>
      <c r="G60" s="18" t="n">
        <v>13.32448245</v>
      </c>
      <c r="H60" s="20" t="n">
        <v>1.66269133</v>
      </c>
      <c r="I60" s="18" t="n">
        <v>8.457878109999999</v>
      </c>
      <c r="J60" s="20" t="n">
        <v>1.50985777</v>
      </c>
      <c r="K60" s="18" t="s">
        <v>431</v>
      </c>
      <c r="L60" s="20" t="s">
        <v>431</v>
      </c>
      <c r="M60" s="18" t="n">
        <v>0</v>
      </c>
      <c r="N60" s="20" t="n">
        <v>0</v>
      </c>
      <c r="O60" s="18" t="n">
        <v>0</v>
      </c>
      <c r="P60" s="20" t="n">
        <v>0</v>
      </c>
      <c r="Q60" s="18" t="n">
        <v>0</v>
      </c>
      <c r="R60" s="20" t="n">
        <v>0</v>
      </c>
      <c r="S60" s="18" t="n">
        <v>48.50982472</v>
      </c>
      <c r="T60" s="20" t="n">
        <v>2.82244123</v>
      </c>
    </row>
    <row r="61" spans="1:20">
      <c r="A61" s="15" t="s">
        <v>485</v>
      </c>
      <c r="B61" s="17" t="n">
        <v>3324</v>
      </c>
      <c r="C61" s="18">
        <f>(2918.0/B61*100)</f>
        <v/>
      </c>
      <c r="D61" s="19" t="n">
        <v>406</v>
      </c>
      <c r="E61" s="18" t="n">
        <v>33.88430579</v>
      </c>
      <c r="F61" s="20" t="n">
        <v>2.36245525</v>
      </c>
      <c r="G61" s="18" t="n">
        <v>4.4280336</v>
      </c>
      <c r="H61" s="20" t="n">
        <v>1.09893966</v>
      </c>
      <c r="I61" s="18" t="n">
        <v>53.11669497</v>
      </c>
      <c r="J61" s="20" t="n">
        <v>2.40814894</v>
      </c>
      <c r="K61" s="18" t="s">
        <v>431</v>
      </c>
      <c r="L61" s="20" t="s">
        <v>431</v>
      </c>
      <c r="M61" s="18" t="n">
        <v>0.25385066</v>
      </c>
      <c r="N61" s="20" t="n">
        <v>0.17698424</v>
      </c>
      <c r="O61" s="18" t="n">
        <v>0</v>
      </c>
      <c r="P61" s="20" t="n">
        <v>0</v>
      </c>
      <c r="Q61" s="18" t="n">
        <v>0</v>
      </c>
      <c r="R61" s="20" t="n">
        <v>0</v>
      </c>
      <c r="S61" s="18" t="n">
        <v>8.317114979999999</v>
      </c>
      <c r="T61" s="20" t="n">
        <v>1.27059207</v>
      </c>
    </row>
    <row r="62" spans="1:20">
      <c r="A62" s="15" t="s">
        <v>486</v>
      </c>
      <c r="B62" s="17" t="n">
        <v>2246</v>
      </c>
      <c r="C62" s="18">
        <f>(1979.0/B62*100)</f>
        <v/>
      </c>
      <c r="D62" s="19" t="n">
        <v>267</v>
      </c>
      <c r="E62" s="18" t="n">
        <v>27.35262463</v>
      </c>
      <c r="F62" s="20" t="n">
        <v>2.96563122</v>
      </c>
      <c r="G62" s="18" t="n">
        <v>2.98882099</v>
      </c>
      <c r="H62" s="20" t="n">
        <v>1.08103163</v>
      </c>
      <c r="I62" s="18" t="n">
        <v>62.89289032</v>
      </c>
      <c r="J62" s="20" t="n">
        <v>3.09202801</v>
      </c>
      <c r="K62" s="18" t="s">
        <v>431</v>
      </c>
      <c r="L62" s="20" t="s">
        <v>431</v>
      </c>
      <c r="M62" s="18" t="n">
        <v>0</v>
      </c>
      <c r="N62" s="20" t="n">
        <v>0</v>
      </c>
      <c r="O62" s="18" t="n">
        <v>0</v>
      </c>
      <c r="P62" s="20" t="n">
        <v>0</v>
      </c>
      <c r="Q62" s="18" t="n">
        <v>0</v>
      </c>
      <c r="R62" s="20" t="n">
        <v>0</v>
      </c>
      <c r="S62" s="18" t="n">
        <v>6.76566407</v>
      </c>
      <c r="T62" s="20" t="n">
        <v>1.71377534</v>
      </c>
    </row>
    <row r="63" spans="1:20">
      <c r="A63" s="15" t="s">
        <v>487</v>
      </c>
      <c r="B63" s="17" t="n">
        <v>2813</v>
      </c>
      <c r="C63" s="18">
        <f>(2353.0/B63*100)</f>
        <v/>
      </c>
      <c r="D63" s="19" t="n">
        <v>460</v>
      </c>
      <c r="E63" s="18" t="n">
        <v>25.4145074</v>
      </c>
      <c r="F63" s="20" t="n">
        <v>2.35129659</v>
      </c>
      <c r="G63" s="18" t="n">
        <v>13.83063006</v>
      </c>
      <c r="H63" s="20" t="n">
        <v>1.77814259</v>
      </c>
      <c r="I63" s="18" t="n">
        <v>8.12963362</v>
      </c>
      <c r="J63" s="20" t="n">
        <v>1.46411295</v>
      </c>
      <c r="K63" s="18" t="s">
        <v>431</v>
      </c>
      <c r="L63" s="20" t="s">
        <v>431</v>
      </c>
      <c r="M63" s="18" t="n">
        <v>0</v>
      </c>
      <c r="N63" s="20" t="n">
        <v>0</v>
      </c>
      <c r="O63" s="18" t="n">
        <v>0</v>
      </c>
      <c r="P63" s="20" t="n">
        <v>0</v>
      </c>
      <c r="Q63" s="18" t="n">
        <v>0</v>
      </c>
      <c r="R63" s="20" t="n">
        <v>0</v>
      </c>
      <c r="S63" s="18" t="n">
        <v>52.62522892</v>
      </c>
      <c r="T63" s="20" t="n">
        <v>2.38598393</v>
      </c>
    </row>
    <row r="64" spans="1:20">
      <c r="A64" s="15" t="s">
        <v>488</v>
      </c>
      <c r="B64" s="17" t="n">
        <v>1844</v>
      </c>
      <c r="C64" s="18">
        <f>(1531.0/B64*100)</f>
        <v/>
      </c>
      <c r="D64" s="19" t="n">
        <v>313</v>
      </c>
      <c r="E64" s="18" t="n">
        <v>23.02272406</v>
      </c>
      <c r="F64" s="20" t="n">
        <v>2.27698693</v>
      </c>
      <c r="G64" s="18" t="n">
        <v>9.319665130000001</v>
      </c>
      <c r="H64" s="20" t="n">
        <v>1.54120676</v>
      </c>
      <c r="I64" s="18" t="n">
        <v>40.85726475</v>
      </c>
      <c r="J64" s="20" t="n">
        <v>2.77009005</v>
      </c>
      <c r="K64" s="18" t="s">
        <v>431</v>
      </c>
      <c r="L64" s="20" t="s">
        <v>431</v>
      </c>
      <c r="M64" s="18" t="n">
        <v>0</v>
      </c>
      <c r="N64" s="20" t="n">
        <v>0</v>
      </c>
      <c r="O64" s="18" t="n">
        <v>0</v>
      </c>
      <c r="P64" s="20" t="n">
        <v>0</v>
      </c>
      <c r="Q64" s="18" t="n">
        <v>0.69668846</v>
      </c>
      <c r="R64" s="20" t="n">
        <v>0.49172049</v>
      </c>
      <c r="S64" s="18" t="n">
        <v>26.10365759</v>
      </c>
      <c r="T64" s="20" t="n">
        <v>2.48736413</v>
      </c>
    </row>
    <row r="65" spans="1:20">
      <c r="A65" s="15" t="s">
        <v>489</v>
      </c>
      <c r="B65" s="17" t="n">
        <v>2691</v>
      </c>
      <c r="C65" s="18">
        <f>(2241.0/B65*100)</f>
        <v/>
      </c>
      <c r="D65" s="19" t="n">
        <v>450</v>
      </c>
      <c r="E65" s="18" t="n">
        <v>14.11421372</v>
      </c>
      <c r="F65" s="20" t="n">
        <v>1.48198311</v>
      </c>
      <c r="G65" s="18" t="n">
        <v>17.25352039</v>
      </c>
      <c r="H65" s="20" t="n">
        <v>1.60115518</v>
      </c>
      <c r="I65" s="18" t="n">
        <v>27.09750213</v>
      </c>
      <c r="J65" s="20" t="n">
        <v>1.93257049</v>
      </c>
      <c r="K65" s="18" t="s">
        <v>431</v>
      </c>
      <c r="L65" s="20" t="s">
        <v>431</v>
      </c>
      <c r="M65" s="18" t="n">
        <v>0</v>
      </c>
      <c r="N65" s="20" t="n">
        <v>0</v>
      </c>
      <c r="O65" s="18" t="n">
        <v>0</v>
      </c>
      <c r="P65" s="20" t="n">
        <v>0</v>
      </c>
      <c r="Q65" s="18" t="n">
        <v>0</v>
      </c>
      <c r="R65" s="20" t="n">
        <v>0</v>
      </c>
      <c r="S65" s="18" t="n">
        <v>41.53476376</v>
      </c>
      <c r="T65" s="20" t="n">
        <v>2.27099868</v>
      </c>
    </row>
    <row r="66" spans="1:20">
      <c r="A66" s="15" t="s">
        <v>490</v>
      </c>
      <c r="B66" s="17" t="n">
        <v>2894</v>
      </c>
      <c r="C66" s="18">
        <f>(2535.0/B66*100)</f>
        <v/>
      </c>
      <c r="D66" s="19" t="n">
        <v>359</v>
      </c>
      <c r="E66" s="18" t="n">
        <v>19.53965519</v>
      </c>
      <c r="F66" s="20" t="n">
        <v>2.19446488</v>
      </c>
      <c r="G66" s="18" t="n">
        <v>10.0215413</v>
      </c>
      <c r="H66" s="20" t="n">
        <v>1.60382113</v>
      </c>
      <c r="I66" s="18" t="n">
        <v>41.05487441</v>
      </c>
      <c r="J66" s="20" t="n">
        <v>2.9381651</v>
      </c>
      <c r="K66" s="18" t="s">
        <v>431</v>
      </c>
      <c r="L66" s="20" t="s">
        <v>431</v>
      </c>
      <c r="M66" s="18" t="n">
        <v>1.61697602</v>
      </c>
      <c r="N66" s="20" t="n">
        <v>0.66017128</v>
      </c>
      <c r="O66" s="18" t="n">
        <v>0.24926162</v>
      </c>
      <c r="P66" s="20" t="n">
        <v>0.24966112</v>
      </c>
      <c r="Q66" s="18" t="n">
        <v>0</v>
      </c>
      <c r="R66" s="20" t="n">
        <v>0</v>
      </c>
      <c r="S66" s="18" t="n">
        <v>27.51769146</v>
      </c>
      <c r="T66" s="20" t="n">
        <v>2.13021178</v>
      </c>
    </row>
    <row r="67" spans="1:20">
      <c r="A67" s="15" t="s">
        <v>491</v>
      </c>
      <c r="B67" s="17" t="n">
        <v>3511</v>
      </c>
      <c r="C67" s="18">
        <f>(3123.0/B67*100)</f>
        <v/>
      </c>
      <c r="D67" s="19" t="n">
        <v>388</v>
      </c>
      <c r="E67" s="18" t="n">
        <v>33.622847</v>
      </c>
      <c r="F67" s="20" t="n">
        <v>2.30192038</v>
      </c>
      <c r="G67" s="18" t="n">
        <v>9.70668946</v>
      </c>
      <c r="H67" s="20" t="n">
        <v>1.4479977</v>
      </c>
      <c r="I67" s="18" t="n">
        <v>51.20493729</v>
      </c>
      <c r="J67" s="20" t="n">
        <v>2.48674003</v>
      </c>
      <c r="K67" s="18" t="s">
        <v>431</v>
      </c>
      <c r="L67" s="20" t="s">
        <v>431</v>
      </c>
      <c r="M67" s="18" t="n">
        <v>0.33908542</v>
      </c>
      <c r="N67" s="20" t="n">
        <v>0.33663517</v>
      </c>
      <c r="O67" s="18" t="n">
        <v>0</v>
      </c>
      <c r="P67" s="20" t="n">
        <v>0</v>
      </c>
      <c r="Q67" s="18" t="n">
        <v>0</v>
      </c>
      <c r="R67" s="20" t="n">
        <v>0</v>
      </c>
      <c r="S67" s="18" t="n">
        <v>5.12644083</v>
      </c>
      <c r="T67" s="20" t="n">
        <v>1.20053417</v>
      </c>
    </row>
    <row r="68" spans="1:20">
      <c r="A68" s="15" t="s">
        <v>492</v>
      </c>
      <c r="B68" s="17" t="n">
        <v>6049</v>
      </c>
      <c r="C68" s="18">
        <f>(5050.0/B68*100)</f>
        <v/>
      </c>
      <c r="D68" s="19" t="n">
        <v>999</v>
      </c>
      <c r="E68" s="18" t="n">
        <v>44.76346865</v>
      </c>
      <c r="F68" s="20" t="n">
        <v>1.54396413</v>
      </c>
      <c r="G68" s="18" t="n">
        <v>7.80670092</v>
      </c>
      <c r="H68" s="20" t="n">
        <v>0.90510446</v>
      </c>
      <c r="I68" s="18" t="n">
        <v>30.96460183</v>
      </c>
      <c r="J68" s="20" t="n">
        <v>1.52985679</v>
      </c>
      <c r="K68" s="18" t="s">
        <v>431</v>
      </c>
      <c r="L68" s="20" t="s">
        <v>431</v>
      </c>
      <c r="M68" s="18" t="n">
        <v>3.58618431</v>
      </c>
      <c r="N68" s="20" t="n">
        <v>0.58926723</v>
      </c>
      <c r="O68" s="18" t="n">
        <v>0.09795026</v>
      </c>
      <c r="P68" s="20" t="n">
        <v>0.09781616999999999</v>
      </c>
      <c r="Q68" s="18" t="n">
        <v>0</v>
      </c>
      <c r="R68" s="20" t="n">
        <v>0</v>
      </c>
      <c r="S68" s="18" t="n">
        <v>12.78109402</v>
      </c>
      <c r="T68" s="20" t="n">
        <v>1.06445515</v>
      </c>
    </row>
    <row r="69" spans="1:20">
      <c r="A69" s="15" t="s">
        <v>493</v>
      </c>
      <c r="B69" s="17" t="n">
        <v>2410</v>
      </c>
      <c r="C69" s="18">
        <f>(2029.0/B69*100)</f>
        <v/>
      </c>
      <c r="D69" s="19" t="n">
        <v>381</v>
      </c>
      <c r="E69" s="18" t="n">
        <v>31.7753179</v>
      </c>
      <c r="F69" s="20" t="n">
        <v>2.94186717</v>
      </c>
      <c r="G69" s="18" t="n">
        <v>24.66612947</v>
      </c>
      <c r="H69" s="20" t="n">
        <v>2.26022489</v>
      </c>
      <c r="I69" s="18" t="n">
        <v>40.2627545</v>
      </c>
      <c r="J69" s="20" t="n">
        <v>2.54780966</v>
      </c>
      <c r="K69" s="18" t="s">
        <v>431</v>
      </c>
      <c r="L69" s="20" t="s">
        <v>431</v>
      </c>
      <c r="M69" s="18" t="n">
        <v>0</v>
      </c>
      <c r="N69" s="20" t="n">
        <v>0</v>
      </c>
      <c r="O69" s="18" t="n">
        <v>0</v>
      </c>
      <c r="P69" s="20" t="n">
        <v>0</v>
      </c>
      <c r="Q69" s="18" t="n">
        <v>0</v>
      </c>
      <c r="R69" s="20" t="n">
        <v>0</v>
      </c>
      <c r="S69" s="18" t="n">
        <v>3.29579812</v>
      </c>
      <c r="T69" s="20" t="n">
        <v>1.15253587</v>
      </c>
    </row>
    <row r="70" spans="1:20">
      <c r="A70" s="15" t="s">
        <v>494</v>
      </c>
      <c r="B70" s="17" t="n">
        <v>2929</v>
      </c>
      <c r="C70" s="18">
        <f>(2577.0/B70*100)</f>
        <v/>
      </c>
      <c r="D70" s="19" t="n">
        <v>352</v>
      </c>
      <c r="E70" s="18" t="n">
        <v>28.50839828</v>
      </c>
      <c r="F70" s="20" t="n">
        <v>2.31620691</v>
      </c>
      <c r="G70" s="18" t="n">
        <v>3.40236502</v>
      </c>
      <c r="H70" s="20" t="n">
        <v>0.88957102</v>
      </c>
      <c r="I70" s="18" t="n">
        <v>58.93092394</v>
      </c>
      <c r="J70" s="20" t="n">
        <v>2.70671778</v>
      </c>
      <c r="K70" s="18" t="s">
        <v>431</v>
      </c>
      <c r="L70" s="20" t="s">
        <v>431</v>
      </c>
      <c r="M70" s="18" t="n">
        <v>0.16340973</v>
      </c>
      <c r="N70" s="20" t="n">
        <v>0.16796902</v>
      </c>
      <c r="O70" s="18" t="n">
        <v>0</v>
      </c>
      <c r="P70" s="20" t="n">
        <v>0</v>
      </c>
      <c r="Q70" s="18" t="n">
        <v>0</v>
      </c>
      <c r="R70" s="20" t="n">
        <v>0</v>
      </c>
      <c r="S70" s="18" t="n">
        <v>8.994903040000001</v>
      </c>
      <c r="T70" s="20" t="n">
        <v>1.47106807</v>
      </c>
    </row>
    <row r="71" spans="1:20">
      <c r="A71" s="15" t="s">
        <v>495</v>
      </c>
      <c r="B71" s="17" t="n">
        <v>3142</v>
      </c>
      <c r="C71" s="18">
        <f>(2756.0/B71*100)</f>
        <v/>
      </c>
      <c r="D71" s="19" t="n">
        <v>386</v>
      </c>
      <c r="E71" s="18" t="n">
        <v>22.73715833</v>
      </c>
      <c r="F71" s="20" t="n">
        <v>2.1049865</v>
      </c>
      <c r="G71" s="18" t="n">
        <v>8.14935505</v>
      </c>
      <c r="H71" s="20" t="n">
        <v>1.56993043</v>
      </c>
      <c r="I71" s="18" t="n">
        <v>66.48553079</v>
      </c>
      <c r="J71" s="20" t="n">
        <v>2.45665331</v>
      </c>
      <c r="K71" s="18" t="s">
        <v>431</v>
      </c>
      <c r="L71" s="20" t="s">
        <v>431</v>
      </c>
      <c r="M71" s="18" t="n">
        <v>0.23708739</v>
      </c>
      <c r="N71" s="20" t="n">
        <v>0.23909903</v>
      </c>
      <c r="O71" s="18" t="n">
        <v>0.13454018</v>
      </c>
      <c r="P71" s="20" t="n">
        <v>0.13443105</v>
      </c>
      <c r="Q71" s="18" t="n">
        <v>0</v>
      </c>
      <c r="R71" s="20" t="n">
        <v>0</v>
      </c>
      <c r="S71" s="18" t="n">
        <v>2.25632826</v>
      </c>
      <c r="T71" s="20" t="n">
        <v>0.81305809</v>
      </c>
    </row>
    <row r="72" spans="1:20">
      <c r="A72" s="15" t="s">
        <v>496</v>
      </c>
      <c r="B72" s="17" t="n">
        <v>3889</v>
      </c>
      <c r="C72" s="18">
        <f>(3424.0/B72*100)</f>
        <v/>
      </c>
      <c r="D72" s="19" t="n">
        <v>465</v>
      </c>
      <c r="E72" s="18" t="n">
        <v>20.80405314</v>
      </c>
      <c r="F72" s="20" t="n">
        <v>1.8347736</v>
      </c>
      <c r="G72" s="18" t="n">
        <v>2.60911821</v>
      </c>
      <c r="H72" s="20" t="n">
        <v>0.77291157</v>
      </c>
      <c r="I72" s="18" t="n">
        <v>70.54478339000001</v>
      </c>
      <c r="J72" s="20" t="n">
        <v>2.07239297</v>
      </c>
      <c r="K72" s="18" t="s">
        <v>431</v>
      </c>
      <c r="L72" s="20" t="s">
        <v>431</v>
      </c>
      <c r="M72" s="18" t="n">
        <v>0.43733673</v>
      </c>
      <c r="N72" s="20" t="n">
        <v>0.31703159</v>
      </c>
      <c r="O72" s="18" t="n">
        <v>0</v>
      </c>
      <c r="P72" s="20" t="n">
        <v>0</v>
      </c>
      <c r="Q72" s="18" t="n">
        <v>0</v>
      </c>
      <c r="R72" s="20" t="n">
        <v>0</v>
      </c>
      <c r="S72" s="18" t="n">
        <v>5.60470854</v>
      </c>
      <c r="T72" s="20" t="n">
        <v>1.12087038</v>
      </c>
    </row>
    <row r="73" spans="1:20">
      <c r="A73" s="15" t="s">
        <v>497</v>
      </c>
      <c r="B73" s="17" t="n">
        <v>3597</v>
      </c>
      <c r="C73" s="18">
        <f>(3159.0/B73*100)</f>
        <v/>
      </c>
      <c r="D73" s="19" t="n">
        <v>438</v>
      </c>
      <c r="E73" s="18" t="n">
        <v>34.41966295</v>
      </c>
      <c r="F73" s="20" t="n">
        <v>3.01673514</v>
      </c>
      <c r="G73" s="18" t="n">
        <v>4.44926499</v>
      </c>
      <c r="H73" s="20" t="n">
        <v>0.95456513</v>
      </c>
      <c r="I73" s="18" t="n">
        <v>57.40528228</v>
      </c>
      <c r="J73" s="20" t="n">
        <v>2.87387405</v>
      </c>
      <c r="K73" s="18" t="s">
        <v>431</v>
      </c>
      <c r="L73" s="20" t="s">
        <v>431</v>
      </c>
      <c r="M73" s="18" t="n">
        <v>0</v>
      </c>
      <c r="N73" s="20" t="n">
        <v>0</v>
      </c>
      <c r="O73" s="18" t="n">
        <v>0.33128628</v>
      </c>
      <c r="P73" s="20" t="n">
        <v>0.32786664</v>
      </c>
      <c r="Q73" s="18" t="n">
        <v>0</v>
      </c>
      <c r="R73" s="20" t="n">
        <v>0</v>
      </c>
      <c r="S73" s="18" t="n">
        <v>3.3945035</v>
      </c>
      <c r="T73" s="20" t="n">
        <v>0.9275155899999999</v>
      </c>
    </row>
    <row r="74" spans="1:20">
      <c r="A74" s="15" t="s">
        <v>498</v>
      </c>
      <c r="B74" s="17" t="n">
        <v>2239</v>
      </c>
      <c r="C74" s="18">
        <f>(1846.0/B74*100)</f>
        <v/>
      </c>
      <c r="D74" s="19" t="n">
        <v>393</v>
      </c>
      <c r="E74" s="18" t="n">
        <v>29.13242958</v>
      </c>
      <c r="F74" s="20" t="n">
        <v>2.27543515</v>
      </c>
      <c r="G74" s="18" t="n">
        <v>11.29287714</v>
      </c>
      <c r="H74" s="20" t="n">
        <v>1.54749477</v>
      </c>
      <c r="I74" s="18" t="n">
        <v>18.3047899</v>
      </c>
      <c r="J74" s="20" t="n">
        <v>2.04069222</v>
      </c>
      <c r="K74" s="18" t="s">
        <v>431</v>
      </c>
      <c r="L74" s="20" t="s">
        <v>431</v>
      </c>
      <c r="M74" s="18" t="n">
        <v>0</v>
      </c>
      <c r="N74" s="20" t="n">
        <v>0</v>
      </c>
      <c r="O74" s="18" t="n">
        <v>0</v>
      </c>
      <c r="P74" s="20" t="n">
        <v>0</v>
      </c>
      <c r="Q74" s="18" t="n">
        <v>0</v>
      </c>
      <c r="R74" s="20" t="n">
        <v>0</v>
      </c>
      <c r="S74" s="18" t="n">
        <v>41.26990338</v>
      </c>
      <c r="T74" s="20" t="n">
        <v>2.67038989</v>
      </c>
    </row>
    <row r="75" spans="1:20">
      <c r="A75" s="15" t="s">
        <v>499</v>
      </c>
      <c r="B75" s="17" t="n">
        <v>2406</v>
      </c>
      <c r="C75" s="18">
        <f>(2131.0/B75*100)</f>
        <v/>
      </c>
      <c r="D75" s="19" t="n">
        <v>275</v>
      </c>
      <c r="E75" s="18" t="n">
        <v>53.39723665</v>
      </c>
      <c r="F75" s="20" t="n">
        <v>2.87903522</v>
      </c>
      <c r="G75" s="18" t="n">
        <v>5.10724836</v>
      </c>
      <c r="H75" s="20" t="n">
        <v>1.25625663</v>
      </c>
      <c r="I75" s="18" t="n">
        <v>14.09981649</v>
      </c>
      <c r="J75" s="20" t="n">
        <v>1.92594365</v>
      </c>
      <c r="K75" s="18" t="s">
        <v>431</v>
      </c>
      <c r="L75" s="20" t="s">
        <v>431</v>
      </c>
      <c r="M75" s="18" t="n">
        <v>2.44805864</v>
      </c>
      <c r="N75" s="20" t="n">
        <v>1.11922425</v>
      </c>
      <c r="O75" s="18" t="n">
        <v>0</v>
      </c>
      <c r="P75" s="20" t="n">
        <v>0</v>
      </c>
      <c r="Q75" s="18" t="n">
        <v>0</v>
      </c>
      <c r="R75" s="20" t="n">
        <v>0</v>
      </c>
      <c r="S75" s="18" t="n">
        <v>24.94763987</v>
      </c>
      <c r="T75" s="20" t="n">
        <v>2.65278644</v>
      </c>
    </row>
    <row r="76" spans="1:20">
      <c r="A76" s="15" t="s">
        <v>500</v>
      </c>
      <c r="B76" s="17" t="n">
        <v>7052</v>
      </c>
      <c r="C76" s="18">
        <f>(6208.0/B76*100)</f>
        <v/>
      </c>
      <c r="D76" s="19" t="n">
        <v>844</v>
      </c>
      <c r="E76" s="18" t="n">
        <v>42.90777435</v>
      </c>
      <c r="F76" s="20" t="n">
        <v>2.18456132</v>
      </c>
      <c r="G76" s="18" t="n">
        <v>11.33760877</v>
      </c>
      <c r="H76" s="20" t="n">
        <v>1.41869959</v>
      </c>
      <c r="I76" s="18" t="n">
        <v>38.33156341</v>
      </c>
      <c r="J76" s="20" t="n">
        <v>1.96741287</v>
      </c>
      <c r="K76" s="18" t="s">
        <v>431</v>
      </c>
      <c r="L76" s="20" t="s">
        <v>431</v>
      </c>
      <c r="M76" s="18" t="n">
        <v>1.14261586</v>
      </c>
      <c r="N76" s="20" t="n">
        <v>0.42279547</v>
      </c>
      <c r="O76" s="18" t="n">
        <v>0.3775841</v>
      </c>
      <c r="P76" s="20" t="n">
        <v>0.23748771</v>
      </c>
      <c r="Q76" s="18" t="n">
        <v>0</v>
      </c>
      <c r="R76" s="20" t="n">
        <v>0</v>
      </c>
      <c r="S76" s="18" t="n">
        <v>5.90285351</v>
      </c>
      <c r="T76" s="20" t="n">
        <v>0.92558692</v>
      </c>
    </row>
    <row r="77" spans="1:20">
      <c r="A77" s="15" t="s">
        <v>501</v>
      </c>
      <c r="B77" s="17" t="n">
        <v>2908</v>
      </c>
      <c r="C77" s="18">
        <f>(2577.0/B77*100)</f>
        <v/>
      </c>
      <c r="D77" s="19" t="n">
        <v>331</v>
      </c>
      <c r="E77" s="18" t="n">
        <v>22.80610622</v>
      </c>
      <c r="F77" s="20" t="n">
        <v>2.23719134</v>
      </c>
      <c r="G77" s="18" t="n">
        <v>18.29178205</v>
      </c>
      <c r="H77" s="20" t="n">
        <v>2.1947114</v>
      </c>
      <c r="I77" s="18" t="n">
        <v>40.03803456</v>
      </c>
      <c r="J77" s="20" t="n">
        <v>2.57222664</v>
      </c>
      <c r="K77" s="18" t="s">
        <v>431</v>
      </c>
      <c r="L77" s="20" t="s">
        <v>431</v>
      </c>
      <c r="M77" s="18" t="n">
        <v>2.92241237</v>
      </c>
      <c r="N77" s="20" t="n">
        <v>1.01501269</v>
      </c>
      <c r="O77" s="18" t="n">
        <v>0</v>
      </c>
      <c r="P77" s="20" t="n">
        <v>0</v>
      </c>
      <c r="Q77" s="18" t="n">
        <v>0</v>
      </c>
      <c r="R77" s="20" t="n">
        <v>0</v>
      </c>
      <c r="S77" s="18" t="n">
        <v>15.94166479</v>
      </c>
      <c r="T77" s="20" t="n">
        <v>2.20329841</v>
      </c>
    </row>
    <row r="78" spans="1:20">
      <c r="A78" s="15" t="s">
        <v>502</v>
      </c>
      <c r="B78" s="17" t="n">
        <v>2786</v>
      </c>
      <c r="C78" s="18">
        <f>(2338.0/B78*100)</f>
        <v/>
      </c>
      <c r="D78" s="19" t="n">
        <v>448</v>
      </c>
      <c r="E78" s="18" t="n">
        <v>23.53741709</v>
      </c>
      <c r="F78" s="20" t="n">
        <v>2.23647656</v>
      </c>
      <c r="G78" s="18" t="n">
        <v>23.84833625</v>
      </c>
      <c r="H78" s="20" t="n">
        <v>1.91730544</v>
      </c>
      <c r="I78" s="18" t="n">
        <v>49.79801879</v>
      </c>
      <c r="J78" s="20" t="n">
        <v>3.13732761</v>
      </c>
      <c r="K78" s="18" t="s">
        <v>431</v>
      </c>
      <c r="L78" s="20" t="s">
        <v>431</v>
      </c>
      <c r="M78" s="18" t="n">
        <v>0</v>
      </c>
      <c r="N78" s="20" t="n">
        <v>0</v>
      </c>
      <c r="O78" s="18" t="n">
        <v>0</v>
      </c>
      <c r="P78" s="20" t="n">
        <v>0</v>
      </c>
      <c r="Q78" s="18" t="n">
        <v>0</v>
      </c>
      <c r="R78" s="20" t="n">
        <v>0</v>
      </c>
      <c r="S78" s="18" t="n">
        <v>2.81622787</v>
      </c>
      <c r="T78" s="20" t="n">
        <v>1.1103314</v>
      </c>
    </row>
    <row customHeight="1" ht="25" r="79" spans="1:20">
      <c r="A79" s="15" t="s">
        <v>503</v>
      </c>
      <c r="B79" s="17" t="n">
        <v>787</v>
      </c>
      <c r="C79" s="18">
        <f>(669.0/B79*100)</f>
        <v/>
      </c>
      <c r="D79" s="19" t="n">
        <v>118</v>
      </c>
      <c r="E79" s="18" t="n">
        <v>15.18620742</v>
      </c>
      <c r="F79" s="20" t="n">
        <v>3.52614991</v>
      </c>
      <c r="G79" s="18" t="n">
        <v>15.88041983</v>
      </c>
      <c r="H79" s="20" t="n">
        <v>3.0782678</v>
      </c>
      <c r="I79" s="18" t="n">
        <v>54.60876024</v>
      </c>
      <c r="J79" s="20" t="n">
        <v>3.86903186</v>
      </c>
      <c r="K79" s="18" t="s">
        <v>431</v>
      </c>
      <c r="L79" s="20" t="s">
        <v>431</v>
      </c>
      <c r="M79" s="18" t="n">
        <v>0</v>
      </c>
      <c r="N79" s="20" t="n">
        <v>0</v>
      </c>
      <c r="O79" s="18" t="n">
        <v>3.85644597</v>
      </c>
      <c r="P79" s="20" t="n">
        <v>1.81633306</v>
      </c>
      <c r="Q79" s="18" t="n">
        <v>0</v>
      </c>
      <c r="R79" s="20" t="n">
        <v>0</v>
      </c>
      <c r="S79" s="18" t="n">
        <v>10.46816653</v>
      </c>
      <c r="T79" s="20" t="n">
        <v>2.79363173</v>
      </c>
    </row>
    <row r="80" spans="1:20">
      <c r="A80" s="15" t="s">
        <v>504</v>
      </c>
      <c r="B80" s="17" t="n">
        <v>3798</v>
      </c>
      <c r="C80" s="18">
        <f>(3167.0/B80*100)</f>
        <v/>
      </c>
      <c r="D80" s="19" t="n">
        <v>631</v>
      </c>
      <c r="E80" s="18" t="n">
        <v>12.78943452</v>
      </c>
      <c r="F80" s="20" t="n">
        <v>1.77312468</v>
      </c>
      <c r="G80" s="18" t="n">
        <v>39.43332664</v>
      </c>
      <c r="H80" s="20" t="n">
        <v>2.37272311</v>
      </c>
      <c r="I80" s="18" t="n">
        <v>37.54333331</v>
      </c>
      <c r="J80" s="20" t="n">
        <v>2.30983879</v>
      </c>
      <c r="K80" s="18" t="s">
        <v>431</v>
      </c>
      <c r="L80" s="20" t="s">
        <v>431</v>
      </c>
      <c r="M80" s="18" t="n">
        <v>0</v>
      </c>
      <c r="N80" s="20" t="n">
        <v>0</v>
      </c>
      <c r="O80" s="18" t="n">
        <v>0</v>
      </c>
      <c r="P80" s="20" t="n">
        <v>0</v>
      </c>
      <c r="Q80" s="18" t="n">
        <v>0</v>
      </c>
      <c r="R80" s="20" t="n">
        <v>0</v>
      </c>
      <c r="S80" s="18" t="n">
        <v>10.23390553</v>
      </c>
      <c r="T80" s="20" t="n">
        <v>1.43714088</v>
      </c>
    </row>
    <row r="81" spans="1:20">
      <c r="A81" s="21" t="s">
        <v>505</v>
      </c>
      <c r="B81" s="17" t="n">
        <v>4163</v>
      </c>
      <c r="C81" s="18">
        <f>(3653.0/B81*100)</f>
        <v/>
      </c>
      <c r="D81" s="19" t="n">
        <v>510</v>
      </c>
      <c r="E81" s="18" t="n">
        <v>29.48088596</v>
      </c>
      <c r="F81" s="20" t="n">
        <v>2.97101956</v>
      </c>
      <c r="G81" s="18" t="n">
        <v>7.09699455</v>
      </c>
      <c r="H81" s="20" t="n">
        <v>1.4727056</v>
      </c>
      <c r="I81" s="18" t="n">
        <v>59.34380957</v>
      </c>
      <c r="J81" s="20" t="n">
        <v>3.10140762</v>
      </c>
      <c r="K81" s="18" t="s">
        <v>431</v>
      </c>
      <c r="L81" s="20" t="s">
        <v>431</v>
      </c>
      <c r="M81" s="18" t="n">
        <v>0.21457083</v>
      </c>
      <c r="N81" s="20" t="n">
        <v>0.15090195</v>
      </c>
      <c r="O81" s="18" t="n">
        <v>0</v>
      </c>
      <c r="P81" s="20" t="n">
        <v>0</v>
      </c>
      <c r="Q81" s="18" t="n">
        <v>0</v>
      </c>
      <c r="R81" s="20" t="n">
        <v>0</v>
      </c>
      <c r="S81" s="18" t="n">
        <v>3.86373909</v>
      </c>
      <c r="T81" s="20" t="n">
        <v>1.15118138</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(6463.0/B7*100)</f>
        <v/>
      </c>
      <c r="D7" s="19" t="n">
        <v>904</v>
      </c>
      <c r="E7" s="18" t="n">
        <v>64.59483224</v>
      </c>
      <c r="F7" s="20" t="n">
        <v>1.77894359</v>
      </c>
      <c r="G7" s="18" t="n">
        <v>23.91129414</v>
      </c>
      <c r="H7" s="20" t="n">
        <v>1.60587219</v>
      </c>
      <c r="I7" s="18" t="s">
        <v>431</v>
      </c>
      <c r="J7" s="20" t="s">
        <v>431</v>
      </c>
      <c r="K7" s="18" t="n">
        <v>0.25612707</v>
      </c>
      <c r="L7" s="20" t="n">
        <v>0.20465162</v>
      </c>
      <c r="M7" s="18" t="n">
        <v>0.03021916</v>
      </c>
      <c r="N7" s="20" t="n">
        <v>0.02182883</v>
      </c>
      <c r="O7" s="18" t="n">
        <v>0</v>
      </c>
      <c r="P7" s="20" t="n">
        <v>0</v>
      </c>
      <c r="Q7" s="18" t="n">
        <v>11.20752738</v>
      </c>
      <c r="R7" s="20" t="n">
        <v>1.37065922</v>
      </c>
    </row>
    <row r="8" spans="1:18">
      <c r="A8" s="15" t="s">
        <v>432</v>
      </c>
      <c r="B8" s="17" t="n">
        <v>3564</v>
      </c>
      <c r="C8" s="18">
        <f>(3141.0/B8*100)</f>
        <v/>
      </c>
      <c r="D8" s="19" t="n">
        <v>423</v>
      </c>
      <c r="E8" s="18" t="n">
        <v>48.67653953</v>
      </c>
      <c r="F8" s="20" t="n">
        <v>2.69998115</v>
      </c>
      <c r="G8" s="18" t="n">
        <v>30.80683353</v>
      </c>
      <c r="H8" s="20" t="n">
        <v>2.48947136</v>
      </c>
      <c r="I8" s="18" t="s">
        <v>431</v>
      </c>
      <c r="J8" s="20" t="s">
        <v>431</v>
      </c>
      <c r="K8" s="18" t="n">
        <v>0.13155625</v>
      </c>
      <c r="L8" s="20" t="n">
        <v>0.12943162</v>
      </c>
      <c r="M8" s="18" t="n">
        <v>0</v>
      </c>
      <c r="N8" s="20" t="n">
        <v>0</v>
      </c>
      <c r="O8" s="18" t="n">
        <v>0</v>
      </c>
      <c r="P8" s="20" t="n">
        <v>0</v>
      </c>
      <c r="Q8" s="18" t="n">
        <v>20.3850707</v>
      </c>
      <c r="R8" s="20" t="n">
        <v>2.0487261</v>
      </c>
    </row>
    <row r="9" spans="1:18">
      <c r="A9" s="15" t="s">
        <v>433</v>
      </c>
      <c r="B9" s="17" t="n">
        <v>4899</v>
      </c>
      <c r="C9" s="18">
        <f>(4333.0/B9*100)</f>
        <v/>
      </c>
      <c r="D9" s="19" t="n">
        <v>566</v>
      </c>
      <c r="E9" s="18" t="n">
        <v>48.27057735</v>
      </c>
      <c r="F9" s="20" t="n">
        <v>2.25566324</v>
      </c>
      <c r="G9" s="18" t="n">
        <v>30.73593958</v>
      </c>
      <c r="H9" s="20" t="n">
        <v>2.06890347</v>
      </c>
      <c r="I9" s="18" t="s">
        <v>431</v>
      </c>
      <c r="J9" s="20" t="s">
        <v>431</v>
      </c>
      <c r="K9" s="18" t="n">
        <v>0.56338347</v>
      </c>
      <c r="L9" s="20" t="n">
        <v>0.34106692</v>
      </c>
      <c r="M9" s="18" t="n">
        <v>0.5371192299999999</v>
      </c>
      <c r="N9" s="20" t="n">
        <v>0.26776582</v>
      </c>
      <c r="O9" s="18" t="n">
        <v>0</v>
      </c>
      <c r="P9" s="20" t="n">
        <v>0</v>
      </c>
      <c r="Q9" s="18" t="n">
        <v>19.89298037</v>
      </c>
      <c r="R9" s="20" t="n">
        <v>2.09957987</v>
      </c>
    </row>
    <row r="10" spans="1:18">
      <c r="A10" s="15" t="s">
        <v>434</v>
      </c>
      <c r="B10" s="17" t="n">
        <v>10036</v>
      </c>
      <c r="C10" s="18">
        <f>(8840.0/B10*100)</f>
        <v/>
      </c>
      <c r="D10" s="19" t="n">
        <v>1196</v>
      </c>
      <c r="E10" s="18" t="n">
        <v>64.46884476</v>
      </c>
      <c r="F10" s="20" t="n">
        <v>2.15921044</v>
      </c>
      <c r="G10" s="18" t="n">
        <v>23.02368819</v>
      </c>
      <c r="H10" s="20" t="n">
        <v>1.85697253</v>
      </c>
      <c r="I10" s="18" t="s">
        <v>431</v>
      </c>
      <c r="J10" s="20" t="s">
        <v>431</v>
      </c>
      <c r="K10" s="18" t="n">
        <v>0.24376491</v>
      </c>
      <c r="L10" s="20" t="n">
        <v>0.18809262</v>
      </c>
      <c r="M10" s="18" t="n">
        <v>0</v>
      </c>
      <c r="N10" s="20" t="n">
        <v>0</v>
      </c>
      <c r="O10" s="18" t="n">
        <v>0</v>
      </c>
      <c r="P10" s="20" t="n">
        <v>0</v>
      </c>
      <c r="Q10" s="18" t="n">
        <v>12.26370214</v>
      </c>
      <c r="R10" s="20" t="n">
        <v>1.3602209</v>
      </c>
    </row>
    <row r="11" spans="1:18">
      <c r="A11" s="15" t="s">
        <v>435</v>
      </c>
      <c r="B11" s="17" t="n">
        <v>3553</v>
      </c>
      <c r="C11" s="18">
        <f>(3131.0/B11*100)</f>
        <v/>
      </c>
      <c r="D11" s="19" t="n">
        <v>422</v>
      </c>
      <c r="E11" s="18" t="n">
        <v>56.97207025</v>
      </c>
      <c r="F11" s="20" t="n">
        <v>2.68003775</v>
      </c>
      <c r="G11" s="18" t="n">
        <v>18.79309391</v>
      </c>
      <c r="H11" s="20" t="n">
        <v>1.84328578</v>
      </c>
      <c r="I11" s="18" t="s">
        <v>431</v>
      </c>
      <c r="J11" s="20" t="s">
        <v>431</v>
      </c>
      <c r="K11" s="18" t="n">
        <v>0.7203059000000001</v>
      </c>
      <c r="L11" s="20" t="n">
        <v>0.7183178</v>
      </c>
      <c r="M11" s="18" t="n">
        <v>0</v>
      </c>
      <c r="N11" s="20" t="n">
        <v>0</v>
      </c>
      <c r="O11" s="18" t="n">
        <v>0</v>
      </c>
      <c r="P11" s="20" t="n">
        <v>0</v>
      </c>
      <c r="Q11" s="18" t="n">
        <v>23.51452993</v>
      </c>
      <c r="R11" s="20" t="n">
        <v>2.57950226</v>
      </c>
    </row>
    <row r="12" spans="1:18">
      <c r="A12" s="15" t="s">
        <v>436</v>
      </c>
      <c r="B12" s="17" t="n">
        <v>3472</v>
      </c>
      <c r="C12" s="18">
        <f>(3051.0/B12*100)</f>
        <v/>
      </c>
      <c r="D12" s="19" t="n">
        <v>421</v>
      </c>
      <c r="E12" s="18" t="n">
        <v>50.93047529</v>
      </c>
      <c r="F12" s="20" t="n">
        <v>2.73441296</v>
      </c>
      <c r="G12" s="18" t="n">
        <v>26.99154185</v>
      </c>
      <c r="H12" s="20" t="n">
        <v>2.04767446</v>
      </c>
      <c r="I12" s="18" t="s">
        <v>431</v>
      </c>
      <c r="J12" s="20" t="s">
        <v>431</v>
      </c>
      <c r="K12" s="18" t="n">
        <v>0.27373294</v>
      </c>
      <c r="L12" s="20" t="n">
        <v>0.19795576</v>
      </c>
      <c r="M12" s="18" t="n">
        <v>0.13663071</v>
      </c>
      <c r="N12" s="20" t="n">
        <v>0.18263798</v>
      </c>
      <c r="O12" s="18" t="n">
        <v>0</v>
      </c>
      <c r="P12" s="20" t="n">
        <v>0</v>
      </c>
      <c r="Q12" s="18" t="n">
        <v>21.66761921</v>
      </c>
      <c r="R12" s="20" t="n">
        <v>2.39273316</v>
      </c>
    </row>
    <row r="13" spans="1:18">
      <c r="A13" s="15" t="s">
        <v>437</v>
      </c>
      <c r="B13" s="17" t="n">
        <v>3559</v>
      </c>
      <c r="C13" s="18">
        <f>(3158.0/B13*100)</f>
        <v/>
      </c>
      <c r="D13" s="19" t="n">
        <v>401</v>
      </c>
      <c r="E13" s="18" t="n">
        <v>57.46051633</v>
      </c>
      <c r="F13" s="20" t="n">
        <v>2.65085452</v>
      </c>
      <c r="G13" s="18" t="n">
        <v>26.41471757</v>
      </c>
      <c r="H13" s="20" t="n">
        <v>2.8222662</v>
      </c>
      <c r="I13" s="18" t="s">
        <v>431</v>
      </c>
      <c r="J13" s="20" t="s">
        <v>431</v>
      </c>
      <c r="K13" s="18" t="n">
        <v>0.47315464</v>
      </c>
      <c r="L13" s="20" t="n">
        <v>0.24507363</v>
      </c>
      <c r="M13" s="18" t="n">
        <v>0</v>
      </c>
      <c r="N13" s="20" t="n">
        <v>0</v>
      </c>
      <c r="O13" s="18" t="n">
        <v>0</v>
      </c>
      <c r="P13" s="20" t="n">
        <v>0</v>
      </c>
      <c r="Q13" s="18" t="n">
        <v>15.65161146</v>
      </c>
      <c r="R13" s="20" t="n">
        <v>2.32168361</v>
      </c>
    </row>
    <row r="14" spans="1:18">
      <c r="A14" s="15" t="s">
        <v>438</v>
      </c>
      <c r="B14" s="17" t="n">
        <v>2799</v>
      </c>
      <c r="C14" s="18">
        <f>(2447.0/B14*100)</f>
        <v/>
      </c>
      <c r="D14" s="19" t="n">
        <v>352</v>
      </c>
      <c r="E14" s="18" t="n">
        <v>62.54978636</v>
      </c>
      <c r="F14" s="20" t="n">
        <v>2.51926025</v>
      </c>
      <c r="G14" s="18" t="n">
        <v>30.34722096</v>
      </c>
      <c r="H14" s="20" t="n">
        <v>2.35646988</v>
      </c>
      <c r="I14" s="18" t="s">
        <v>431</v>
      </c>
      <c r="J14" s="20" t="s">
        <v>431</v>
      </c>
      <c r="K14" s="18" t="n">
        <v>0.20678472</v>
      </c>
      <c r="L14" s="20" t="n">
        <v>0.2064504</v>
      </c>
      <c r="M14" s="18" t="n">
        <v>0</v>
      </c>
      <c r="N14" s="20" t="n">
        <v>0</v>
      </c>
      <c r="O14" s="18" t="n">
        <v>0</v>
      </c>
      <c r="P14" s="20" t="n">
        <v>0</v>
      </c>
      <c r="Q14" s="18" t="n">
        <v>6.89620795</v>
      </c>
      <c r="R14" s="20" t="n">
        <v>1.45379001</v>
      </c>
    </row>
    <row r="15" spans="1:18">
      <c r="A15" s="15" t="s">
        <v>439</v>
      </c>
      <c r="B15" s="17" t="n">
        <v>3019</v>
      </c>
      <c r="C15" s="18">
        <f>(2671.0/B15*100)</f>
        <v/>
      </c>
      <c r="D15" s="19" t="n">
        <v>348</v>
      </c>
      <c r="E15" s="18" t="n">
        <v>36.25190001</v>
      </c>
      <c r="F15" s="20" t="n">
        <v>2.50212526</v>
      </c>
      <c r="G15" s="18" t="n">
        <v>52.9604464</v>
      </c>
      <c r="H15" s="20" t="n">
        <v>2.96418236</v>
      </c>
      <c r="I15" s="18" t="s">
        <v>431</v>
      </c>
      <c r="J15" s="20" t="s">
        <v>431</v>
      </c>
      <c r="K15" s="18" t="n">
        <v>0</v>
      </c>
      <c r="L15" s="20" t="n">
        <v>0</v>
      </c>
      <c r="M15" s="18" t="n">
        <v>0</v>
      </c>
      <c r="N15" s="20" t="n">
        <v>0</v>
      </c>
      <c r="O15" s="18" t="n">
        <v>0</v>
      </c>
      <c r="P15" s="20" t="n">
        <v>0</v>
      </c>
      <c r="Q15" s="18" t="n">
        <v>10.78765359</v>
      </c>
      <c r="R15" s="20" t="n">
        <v>1.55644698</v>
      </c>
    </row>
    <row r="16" spans="1:18">
      <c r="A16" s="15" t="s">
        <v>440</v>
      </c>
      <c r="B16" s="17" t="n">
        <v>2997</v>
      </c>
      <c r="C16" s="18">
        <f>(2626.0/B16*100)</f>
        <v/>
      </c>
      <c r="D16" s="19" t="n">
        <v>371</v>
      </c>
      <c r="E16" s="18" t="n">
        <v>48.55474782</v>
      </c>
      <c r="F16" s="20" t="n">
        <v>2.56421041</v>
      </c>
      <c r="G16" s="18" t="n">
        <v>16.27528067</v>
      </c>
      <c r="H16" s="20" t="n">
        <v>1.8216727</v>
      </c>
      <c r="I16" s="18" t="s">
        <v>431</v>
      </c>
      <c r="J16" s="20" t="s">
        <v>431</v>
      </c>
      <c r="K16" s="18" t="n">
        <v>2.43174025</v>
      </c>
      <c r="L16" s="20" t="n">
        <v>1.15253221</v>
      </c>
      <c r="M16" s="18" t="n">
        <v>0</v>
      </c>
      <c r="N16" s="20" t="n">
        <v>0</v>
      </c>
      <c r="O16" s="18" t="n">
        <v>0</v>
      </c>
      <c r="P16" s="20" t="n">
        <v>0</v>
      </c>
      <c r="Q16" s="18" t="n">
        <v>32.73823127</v>
      </c>
      <c r="R16" s="20" t="n">
        <v>2.1697029</v>
      </c>
    </row>
    <row r="17" spans="1:18">
      <c r="A17" s="15" t="s">
        <v>441</v>
      </c>
      <c r="B17" s="17" t="n">
        <v>3307</v>
      </c>
      <c r="C17" s="18">
        <f>(2912.0/B17*100)</f>
        <v/>
      </c>
      <c r="D17" s="19" t="n">
        <v>395</v>
      </c>
      <c r="E17" s="18" t="n">
        <v>38.71291778</v>
      </c>
      <c r="F17" s="20" t="n">
        <v>2.16532206</v>
      </c>
      <c r="G17" s="18" t="n">
        <v>37.77398628</v>
      </c>
      <c r="H17" s="20" t="n">
        <v>2.3232081</v>
      </c>
      <c r="I17" s="18" t="s">
        <v>431</v>
      </c>
      <c r="J17" s="20" t="s">
        <v>431</v>
      </c>
      <c r="K17" s="18" t="n">
        <v>1.18836991</v>
      </c>
      <c r="L17" s="20" t="n">
        <v>0.55035675</v>
      </c>
      <c r="M17" s="18" t="n">
        <v>0</v>
      </c>
      <c r="N17" s="20" t="n">
        <v>0</v>
      </c>
      <c r="O17" s="18" t="n">
        <v>0</v>
      </c>
      <c r="P17" s="20" t="n">
        <v>0</v>
      </c>
      <c r="Q17" s="18" t="n">
        <v>22.32472604</v>
      </c>
      <c r="R17" s="20" t="n">
        <v>1.89198461</v>
      </c>
    </row>
    <row r="18" spans="1:18">
      <c r="A18" s="15" t="s">
        <v>442</v>
      </c>
      <c r="B18" s="17" t="n">
        <v>2826</v>
      </c>
      <c r="C18" s="18">
        <f>(2466.0/B18*100)</f>
        <v/>
      </c>
      <c r="D18" s="19" t="n">
        <v>360</v>
      </c>
      <c r="E18" s="18" t="n">
        <v>61.00679468</v>
      </c>
      <c r="F18" s="20" t="n">
        <v>2.59012599</v>
      </c>
      <c r="G18" s="18" t="n">
        <v>15.01197544</v>
      </c>
      <c r="H18" s="20" t="n">
        <v>1.97837392</v>
      </c>
      <c r="I18" s="18" t="s">
        <v>431</v>
      </c>
      <c r="J18" s="20" t="s">
        <v>431</v>
      </c>
      <c r="K18" s="18" t="n">
        <v>0.85637058</v>
      </c>
      <c r="L18" s="20" t="n">
        <v>0.55168736</v>
      </c>
      <c r="M18" s="18" t="n">
        <v>0</v>
      </c>
      <c r="N18" s="20" t="n">
        <v>0</v>
      </c>
      <c r="O18" s="18" t="n">
        <v>0</v>
      </c>
      <c r="P18" s="20" t="n">
        <v>0</v>
      </c>
      <c r="Q18" s="18" t="n">
        <v>23.12485931</v>
      </c>
      <c r="R18" s="20" t="n">
        <v>2.38440619</v>
      </c>
    </row>
    <row r="19" spans="1:18">
      <c r="A19" s="15" t="s">
        <v>443</v>
      </c>
      <c r="B19" s="17" t="n">
        <v>2808</v>
      </c>
      <c r="C19" s="18">
        <f>(2462.0/B19*100)</f>
        <v/>
      </c>
      <c r="D19" s="19" t="n">
        <v>346</v>
      </c>
      <c r="E19" s="18" t="n">
        <v>47.33861196</v>
      </c>
      <c r="F19" s="20" t="n">
        <v>3.25795954</v>
      </c>
      <c r="G19" s="18" t="n">
        <v>29.07530038</v>
      </c>
      <c r="H19" s="20" t="n">
        <v>2.73373018</v>
      </c>
      <c r="I19" s="18" t="s">
        <v>431</v>
      </c>
      <c r="J19" s="20" t="s">
        <v>431</v>
      </c>
      <c r="K19" s="18" t="n">
        <v>0.24741171</v>
      </c>
      <c r="L19" s="20" t="n">
        <v>0.26339349</v>
      </c>
      <c r="M19" s="18" t="n">
        <v>0</v>
      </c>
      <c r="N19" s="20" t="n">
        <v>0</v>
      </c>
      <c r="O19" s="18" t="n">
        <v>0</v>
      </c>
      <c r="P19" s="20" t="n">
        <v>0</v>
      </c>
      <c r="Q19" s="18" t="n">
        <v>23.33867595</v>
      </c>
      <c r="R19" s="20" t="n">
        <v>2.71210075</v>
      </c>
    </row>
    <row r="20" spans="1:18">
      <c r="A20" s="15" t="s">
        <v>444</v>
      </c>
      <c r="B20" s="17" t="n">
        <v>1630</v>
      </c>
      <c r="C20" s="18">
        <f>(1429.0/B20*100)</f>
        <v/>
      </c>
      <c r="D20" s="19" t="n">
        <v>201</v>
      </c>
      <c r="E20" s="18" t="n">
        <v>61.63688104</v>
      </c>
      <c r="F20" s="20" t="n">
        <v>3.68922789</v>
      </c>
      <c r="G20" s="18" t="n">
        <v>24.43721837</v>
      </c>
      <c r="H20" s="20" t="n">
        <v>3.19765423</v>
      </c>
      <c r="I20" s="18" t="s">
        <v>431</v>
      </c>
      <c r="J20" s="20" t="s">
        <v>431</v>
      </c>
      <c r="K20" s="18" t="n">
        <v>0.42185394</v>
      </c>
      <c r="L20" s="20" t="n">
        <v>0.42066103</v>
      </c>
      <c r="M20" s="18" t="n">
        <v>0</v>
      </c>
      <c r="N20" s="20" t="n">
        <v>0</v>
      </c>
      <c r="O20" s="18" t="n">
        <v>0</v>
      </c>
      <c r="P20" s="20" t="n">
        <v>0</v>
      </c>
      <c r="Q20" s="18" t="n">
        <v>13.50404666</v>
      </c>
      <c r="R20" s="20" t="n">
        <v>2.34818322</v>
      </c>
    </row>
    <row r="21" spans="1:18">
      <c r="A21" s="15" t="s">
        <v>445</v>
      </c>
      <c r="B21" s="17" t="n">
        <v>2908</v>
      </c>
      <c r="C21" s="18">
        <f>(2446.0/B21*100)</f>
        <v/>
      </c>
      <c r="D21" s="19" t="n">
        <v>462</v>
      </c>
      <c r="E21" s="18" t="n">
        <v>60.04102487</v>
      </c>
      <c r="F21" s="20" t="n">
        <v>2.50946014</v>
      </c>
      <c r="G21" s="18" t="n">
        <v>26.90687193</v>
      </c>
      <c r="H21" s="20" t="n">
        <v>2.12070061</v>
      </c>
      <c r="I21" s="18" t="s">
        <v>431</v>
      </c>
      <c r="J21" s="20" t="s">
        <v>431</v>
      </c>
      <c r="K21" s="18" t="n">
        <v>0.22582334</v>
      </c>
      <c r="L21" s="20" t="n">
        <v>0.22598108</v>
      </c>
      <c r="M21" s="18" t="n">
        <v>0</v>
      </c>
      <c r="N21" s="20" t="n">
        <v>0</v>
      </c>
      <c r="O21" s="18" t="n">
        <v>0</v>
      </c>
      <c r="P21" s="20" t="n">
        <v>0</v>
      </c>
      <c r="Q21" s="18" t="n">
        <v>12.82627985</v>
      </c>
      <c r="R21" s="20" t="n">
        <v>1.3746911</v>
      </c>
    </row>
    <row r="22" spans="1:18">
      <c r="A22" s="15" t="s">
        <v>446</v>
      </c>
      <c r="B22" s="17" t="n">
        <v>2931</v>
      </c>
      <c r="C22" s="18">
        <f>(2586.0/B22*100)</f>
        <v/>
      </c>
      <c r="D22" s="19" t="n">
        <v>345</v>
      </c>
      <c r="E22" s="18" t="n">
        <v>64.48535314999999</v>
      </c>
      <c r="F22" s="20" t="n">
        <v>2.29068691</v>
      </c>
      <c r="G22" s="18" t="n">
        <v>12.63364345</v>
      </c>
      <c r="H22" s="20" t="n">
        <v>1.72076195</v>
      </c>
      <c r="I22" s="18" t="s">
        <v>431</v>
      </c>
      <c r="J22" s="20" t="s">
        <v>431</v>
      </c>
      <c r="K22" s="18" t="n">
        <v>0.89238504</v>
      </c>
      <c r="L22" s="20" t="n">
        <v>0.61576468</v>
      </c>
      <c r="M22" s="18" t="n">
        <v>0</v>
      </c>
      <c r="N22" s="20" t="n">
        <v>0</v>
      </c>
      <c r="O22" s="18" t="n">
        <v>0</v>
      </c>
      <c r="P22" s="20" t="n">
        <v>0</v>
      </c>
      <c r="Q22" s="18" t="n">
        <v>21.98861836</v>
      </c>
      <c r="R22" s="20" t="n">
        <v>1.97454601</v>
      </c>
    </row>
    <row r="23" spans="1:18">
      <c r="A23" s="15" t="s">
        <v>447</v>
      </c>
      <c r="B23" s="17" t="n">
        <v>5791</v>
      </c>
      <c r="C23" s="18">
        <f>(5107.0/B23*100)</f>
        <v/>
      </c>
      <c r="D23" s="19" t="n">
        <v>684</v>
      </c>
      <c r="E23" s="18" t="n">
        <v>63.19238387</v>
      </c>
      <c r="F23" s="20" t="n">
        <v>2.49614555</v>
      </c>
      <c r="G23" s="18" t="n">
        <v>15.91183288</v>
      </c>
      <c r="H23" s="20" t="n">
        <v>1.61054423</v>
      </c>
      <c r="I23" s="18" t="s">
        <v>431</v>
      </c>
      <c r="J23" s="20" t="s">
        <v>431</v>
      </c>
      <c r="K23" s="18" t="n">
        <v>1.41766014</v>
      </c>
      <c r="L23" s="20" t="n">
        <v>0.81597736</v>
      </c>
      <c r="M23" s="18" t="n">
        <v>0.30586448</v>
      </c>
      <c r="N23" s="20" t="n">
        <v>0.20823585</v>
      </c>
      <c r="O23" s="18" t="n">
        <v>0</v>
      </c>
      <c r="P23" s="20" t="n">
        <v>0</v>
      </c>
      <c r="Q23" s="18" t="n">
        <v>19.17225863</v>
      </c>
      <c r="R23" s="20" t="n">
        <v>2.04338296</v>
      </c>
    </row>
    <row r="24" spans="1:18">
      <c r="A24" s="15" t="s">
        <v>448</v>
      </c>
      <c r="B24" s="17" t="n">
        <v>3338</v>
      </c>
      <c r="C24" s="18">
        <f>(2939.0/B24*100)</f>
        <v/>
      </c>
      <c r="D24" s="19" t="n">
        <v>399</v>
      </c>
      <c r="E24" s="18" t="n">
        <v>40.63294351</v>
      </c>
      <c r="F24" s="20" t="n">
        <v>2.28937963</v>
      </c>
      <c r="G24" s="18" t="n">
        <v>45.01433337</v>
      </c>
      <c r="H24" s="20" t="n">
        <v>2.67432486</v>
      </c>
      <c r="I24" s="18" t="s">
        <v>431</v>
      </c>
      <c r="J24" s="20" t="s">
        <v>431</v>
      </c>
      <c r="K24" s="18" t="n">
        <v>0.47876083</v>
      </c>
      <c r="L24" s="20" t="n">
        <v>0.338955</v>
      </c>
      <c r="M24" s="18" t="n">
        <v>0</v>
      </c>
      <c r="N24" s="20" t="n">
        <v>0</v>
      </c>
      <c r="O24" s="18" t="n">
        <v>0</v>
      </c>
      <c r="P24" s="20" t="n">
        <v>0</v>
      </c>
      <c r="Q24" s="18" t="n">
        <v>13.8739623</v>
      </c>
      <c r="R24" s="20" t="n">
        <v>1.6886302</v>
      </c>
    </row>
    <row r="25" spans="1:18">
      <c r="A25" s="15" t="s">
        <v>449</v>
      </c>
      <c r="B25" s="17" t="n">
        <v>2912</v>
      </c>
      <c r="C25" s="18">
        <f>(2541.0/B25*100)</f>
        <v/>
      </c>
      <c r="D25" s="19" t="n">
        <v>371</v>
      </c>
      <c r="E25" s="18" t="n">
        <v>74.06428645</v>
      </c>
      <c r="F25" s="20" t="n">
        <v>2.12813574</v>
      </c>
      <c r="G25" s="18" t="n">
        <v>15.03996985</v>
      </c>
      <c r="H25" s="20" t="n">
        <v>1.64593168</v>
      </c>
      <c r="I25" s="18" t="s">
        <v>431</v>
      </c>
      <c r="J25" s="20" t="s">
        <v>431</v>
      </c>
      <c r="K25" s="18" t="n">
        <v>0</v>
      </c>
      <c r="L25" s="20" t="n">
        <v>0</v>
      </c>
      <c r="M25" s="18" t="n">
        <v>0.27649259</v>
      </c>
      <c r="N25" s="20" t="n">
        <v>0.2759553</v>
      </c>
      <c r="O25" s="18" t="n">
        <v>0</v>
      </c>
      <c r="P25" s="20" t="n">
        <v>0</v>
      </c>
      <c r="Q25" s="18" t="n">
        <v>10.61925111</v>
      </c>
      <c r="R25" s="20" t="n">
        <v>1.6415329</v>
      </c>
    </row>
    <row r="26" spans="1:18">
      <c r="A26" s="15" t="s">
        <v>450</v>
      </c>
      <c r="B26" s="17" t="n">
        <v>2450</v>
      </c>
      <c r="C26" s="18">
        <f>(2160.0/B26*100)</f>
        <v/>
      </c>
      <c r="D26" s="19" t="n">
        <v>290</v>
      </c>
      <c r="E26" s="18" t="n">
        <v>63.0787393</v>
      </c>
      <c r="F26" s="20" t="n">
        <v>3.13189325</v>
      </c>
      <c r="G26" s="18" t="n">
        <v>19.82785846</v>
      </c>
      <c r="H26" s="20" t="n">
        <v>2.708112</v>
      </c>
      <c r="I26" s="18" t="s">
        <v>431</v>
      </c>
      <c r="J26" s="20" t="s">
        <v>431</v>
      </c>
      <c r="K26" s="18" t="n">
        <v>0.34156397</v>
      </c>
      <c r="L26" s="20" t="n">
        <v>0.32270398</v>
      </c>
      <c r="M26" s="18" t="n">
        <v>0</v>
      </c>
      <c r="N26" s="20" t="n">
        <v>0</v>
      </c>
      <c r="O26" s="18" t="n">
        <v>0</v>
      </c>
      <c r="P26" s="20" t="n">
        <v>0</v>
      </c>
      <c r="Q26" s="18" t="n">
        <v>16.75183827</v>
      </c>
      <c r="R26" s="20" t="n">
        <v>2.10658536</v>
      </c>
    </row>
    <row r="27" spans="1:18">
      <c r="A27" s="15" t="s">
        <v>451</v>
      </c>
      <c r="B27" s="17" t="n">
        <v>2616</v>
      </c>
      <c r="C27" s="18">
        <f>(2282.0/B27*100)</f>
        <v/>
      </c>
      <c r="D27" s="19" t="n">
        <v>334</v>
      </c>
      <c r="E27" s="18" t="n">
        <v>45.80919576</v>
      </c>
      <c r="F27" s="20" t="n">
        <v>2.30255981</v>
      </c>
      <c r="G27" s="18" t="n">
        <v>25.92173402</v>
      </c>
      <c r="H27" s="20" t="n">
        <v>2.00878298</v>
      </c>
      <c r="I27" s="18" t="s">
        <v>431</v>
      </c>
      <c r="J27" s="20" t="s">
        <v>431</v>
      </c>
      <c r="K27" s="18" t="n">
        <v>0.9134686400000001</v>
      </c>
      <c r="L27" s="20" t="n">
        <v>0.52401609</v>
      </c>
      <c r="M27" s="18" t="n">
        <v>0</v>
      </c>
      <c r="N27" s="20" t="n">
        <v>0</v>
      </c>
      <c r="O27" s="18" t="n">
        <v>0</v>
      </c>
      <c r="P27" s="20" t="n">
        <v>0</v>
      </c>
      <c r="Q27" s="18" t="n">
        <v>27.35560158</v>
      </c>
      <c r="R27" s="20" t="n">
        <v>2.34681977</v>
      </c>
    </row>
    <row r="28" spans="1:18">
      <c r="A28" s="15" t="s">
        <v>452</v>
      </c>
      <c r="B28" s="17" t="n">
        <v>3765</v>
      </c>
      <c r="C28" s="18">
        <f>(3353.0/B28*100)</f>
        <v/>
      </c>
      <c r="D28" s="19" t="n">
        <v>412</v>
      </c>
      <c r="E28" s="18" t="n">
        <v>86.88149495</v>
      </c>
      <c r="F28" s="20" t="n">
        <v>2.16722782</v>
      </c>
      <c r="G28" s="18" t="n">
        <v>6.3843091</v>
      </c>
      <c r="H28" s="20" t="n">
        <v>1.37708626</v>
      </c>
      <c r="I28" s="18" t="s">
        <v>431</v>
      </c>
      <c r="J28" s="20" t="s">
        <v>431</v>
      </c>
      <c r="K28" s="18" t="n">
        <v>0.32185262</v>
      </c>
      <c r="L28" s="20" t="n">
        <v>0.23658086</v>
      </c>
      <c r="M28" s="18" t="n">
        <v>0</v>
      </c>
      <c r="N28" s="20" t="n">
        <v>0</v>
      </c>
      <c r="O28" s="18" t="n">
        <v>0</v>
      </c>
      <c r="P28" s="20" t="n">
        <v>0</v>
      </c>
      <c r="Q28" s="18" t="n">
        <v>6.41234333</v>
      </c>
      <c r="R28" s="20" t="n">
        <v>1.28765484</v>
      </c>
    </row>
    <row r="29" spans="1:18">
      <c r="A29" s="15" t="s">
        <v>453</v>
      </c>
      <c r="B29" s="17" t="n">
        <v>2685</v>
      </c>
      <c r="C29" s="18">
        <f>(2368.0/B29*100)</f>
        <v/>
      </c>
      <c r="D29" s="19" t="n">
        <v>317</v>
      </c>
      <c r="E29" s="18" t="n">
        <v>63.08691311</v>
      </c>
      <c r="F29" s="20" t="n">
        <v>2.63259157</v>
      </c>
      <c r="G29" s="18" t="n">
        <v>33.09911734</v>
      </c>
      <c r="H29" s="20" t="n">
        <v>2.57975016</v>
      </c>
      <c r="I29" s="18" t="s">
        <v>431</v>
      </c>
      <c r="J29" s="20" t="s">
        <v>431</v>
      </c>
      <c r="K29" s="18" t="n">
        <v>0</v>
      </c>
      <c r="L29" s="20" t="n">
        <v>0</v>
      </c>
      <c r="M29" s="18" t="n">
        <v>0</v>
      </c>
      <c r="N29" s="20" t="n">
        <v>0</v>
      </c>
      <c r="O29" s="18" t="n">
        <v>0</v>
      </c>
      <c r="P29" s="20" t="n">
        <v>0</v>
      </c>
      <c r="Q29" s="18" t="n">
        <v>3.81396955</v>
      </c>
      <c r="R29" s="20" t="n">
        <v>1.3514868</v>
      </c>
    </row>
    <row r="30" spans="1:18">
      <c r="A30" s="15" t="s">
        <v>454</v>
      </c>
      <c r="B30" s="17" t="n">
        <v>2263</v>
      </c>
      <c r="C30" s="18">
        <f>(1992.0/B30*100)</f>
        <v/>
      </c>
      <c r="D30" s="19" t="n">
        <v>271</v>
      </c>
      <c r="E30" s="18" t="n">
        <v>53.35909673</v>
      </c>
      <c r="F30" s="20" t="n">
        <v>3.56934414</v>
      </c>
      <c r="G30" s="18" t="n">
        <v>25.38751509</v>
      </c>
      <c r="H30" s="20" t="n">
        <v>2.77652773</v>
      </c>
      <c r="I30" s="18" t="s">
        <v>431</v>
      </c>
      <c r="J30" s="20" t="s">
        <v>431</v>
      </c>
      <c r="K30" s="18" t="n">
        <v>2.1220495</v>
      </c>
      <c r="L30" s="20" t="n">
        <v>0.92459428</v>
      </c>
      <c r="M30" s="18" t="n">
        <v>0</v>
      </c>
      <c r="N30" s="20" t="n">
        <v>0</v>
      </c>
      <c r="O30" s="18" t="n">
        <v>0</v>
      </c>
      <c r="P30" s="20" t="n">
        <v>0</v>
      </c>
      <c r="Q30" s="18" t="n">
        <v>19.13133868</v>
      </c>
      <c r="R30" s="20" t="n">
        <v>2.47159309</v>
      </c>
    </row>
    <row r="31" spans="1:18">
      <c r="A31" s="15" t="s">
        <v>455</v>
      </c>
      <c r="B31" s="17" t="n">
        <v>2750</v>
      </c>
      <c r="C31" s="18">
        <f>(2395.0/B31*100)</f>
        <v/>
      </c>
      <c r="D31" s="19" t="n">
        <v>355</v>
      </c>
      <c r="E31" s="18" t="n">
        <v>47.98138489</v>
      </c>
      <c r="F31" s="20" t="n">
        <v>2.47438262</v>
      </c>
      <c r="G31" s="18" t="n">
        <v>34.26779375</v>
      </c>
      <c r="H31" s="20" t="n">
        <v>2.67056171</v>
      </c>
      <c r="I31" s="18" t="s">
        <v>431</v>
      </c>
      <c r="J31" s="20" t="s">
        <v>431</v>
      </c>
      <c r="K31" s="18" t="n">
        <v>0.50487315</v>
      </c>
      <c r="L31" s="20" t="n">
        <v>0.35250384</v>
      </c>
      <c r="M31" s="18" t="n">
        <v>0</v>
      </c>
      <c r="N31" s="20" t="n">
        <v>0</v>
      </c>
      <c r="O31" s="18" t="n">
        <v>0</v>
      </c>
      <c r="P31" s="20" t="n">
        <v>0</v>
      </c>
      <c r="Q31" s="18" t="n">
        <v>17.24594821</v>
      </c>
      <c r="R31" s="20" t="n">
        <v>2.15677257</v>
      </c>
    </row>
    <row r="32" spans="1:18">
      <c r="A32" s="15" t="s">
        <v>456</v>
      </c>
      <c r="B32" s="17" t="n">
        <v>2269</v>
      </c>
      <c r="C32" s="18">
        <f>(1893.0/B32*100)</f>
        <v/>
      </c>
      <c r="D32" s="19" t="n">
        <v>376</v>
      </c>
      <c r="E32" s="18" t="n">
        <v>51.51983445</v>
      </c>
      <c r="F32" s="20" t="n">
        <v>2.79805856</v>
      </c>
      <c r="G32" s="18" t="n">
        <v>30.78692143</v>
      </c>
      <c r="H32" s="20" t="n">
        <v>2.61725465</v>
      </c>
      <c r="I32" s="18" t="s">
        <v>431</v>
      </c>
      <c r="J32" s="20" t="s">
        <v>431</v>
      </c>
      <c r="K32" s="18" t="n">
        <v>0.47871517</v>
      </c>
      <c r="L32" s="20" t="n">
        <v>0.33687342</v>
      </c>
      <c r="M32" s="18" t="n">
        <v>0</v>
      </c>
      <c r="N32" s="20" t="n">
        <v>0</v>
      </c>
      <c r="O32" s="18" t="n">
        <v>0</v>
      </c>
      <c r="P32" s="20" t="n">
        <v>0</v>
      </c>
      <c r="Q32" s="18" t="n">
        <v>17.21452895</v>
      </c>
      <c r="R32" s="20" t="n">
        <v>2.30053335</v>
      </c>
    </row>
    <row r="33" spans="1:18">
      <c r="A33" s="15" t="s">
        <v>457</v>
      </c>
      <c r="B33" s="17" t="n">
        <v>3674</v>
      </c>
      <c r="C33" s="18">
        <f>(3222.0/B33*100)</f>
        <v/>
      </c>
      <c r="D33" s="19" t="n">
        <v>452</v>
      </c>
      <c r="E33" s="18" t="n">
        <v>51.69985445</v>
      </c>
      <c r="F33" s="20" t="n">
        <v>3.1682659</v>
      </c>
      <c r="G33" s="18" t="n">
        <v>26.37934862</v>
      </c>
      <c r="H33" s="20" t="n">
        <v>2.43887629</v>
      </c>
      <c r="I33" s="18" t="s">
        <v>431</v>
      </c>
      <c r="J33" s="20" t="s">
        <v>431</v>
      </c>
      <c r="K33" s="18" t="n">
        <v>1.05145471</v>
      </c>
      <c r="L33" s="20" t="n">
        <v>0.73714643</v>
      </c>
      <c r="M33" s="18" t="n">
        <v>0</v>
      </c>
      <c r="N33" s="20" t="n">
        <v>0</v>
      </c>
      <c r="O33" s="18" t="n">
        <v>0</v>
      </c>
      <c r="P33" s="20" t="n">
        <v>0</v>
      </c>
      <c r="Q33" s="18" t="n">
        <v>20.86934222</v>
      </c>
      <c r="R33" s="20" t="n">
        <v>2.06264184</v>
      </c>
    </row>
    <row r="34" spans="1:18">
      <c r="A34" s="15" t="s">
        <v>458</v>
      </c>
      <c r="B34" s="17" t="n">
        <v>3315</v>
      </c>
      <c r="C34" s="18">
        <f>(2916.0/B34*100)</f>
        <v/>
      </c>
      <c r="D34" s="19" t="n">
        <v>399</v>
      </c>
      <c r="E34" s="18" t="n">
        <v>58.77957884</v>
      </c>
      <c r="F34" s="20" t="n">
        <v>2.64311981</v>
      </c>
      <c r="G34" s="18" t="n">
        <v>23.06534037</v>
      </c>
      <c r="H34" s="20" t="n">
        <v>1.95010039</v>
      </c>
      <c r="I34" s="18" t="s">
        <v>431</v>
      </c>
      <c r="J34" s="20" t="s">
        <v>431</v>
      </c>
      <c r="K34" s="18" t="n">
        <v>0</v>
      </c>
      <c r="L34" s="20" t="n">
        <v>0</v>
      </c>
      <c r="M34" s="18" t="n">
        <v>0.24644327</v>
      </c>
      <c r="N34" s="20" t="n">
        <v>0.2448536</v>
      </c>
      <c r="O34" s="18" t="n">
        <v>0</v>
      </c>
      <c r="P34" s="20" t="n">
        <v>0</v>
      </c>
      <c r="Q34" s="18" t="n">
        <v>17.90863753</v>
      </c>
      <c r="R34" s="20" t="n">
        <v>2.12227893</v>
      </c>
    </row>
    <row r="35" spans="1:18">
      <c r="A35" s="15" t="s">
        <v>459</v>
      </c>
      <c r="B35" s="17" t="n">
        <v>3505</v>
      </c>
      <c r="C35" s="18">
        <f>(3088.0/B35*100)</f>
        <v/>
      </c>
      <c r="D35" s="19" t="n">
        <v>417</v>
      </c>
      <c r="E35" s="18" t="n">
        <v>59.31328304</v>
      </c>
      <c r="F35" s="20" t="n">
        <v>2.87766082</v>
      </c>
      <c r="G35" s="18" t="n">
        <v>24.73634631</v>
      </c>
      <c r="H35" s="20" t="n">
        <v>2.85707216</v>
      </c>
      <c r="I35" s="18" t="s">
        <v>431</v>
      </c>
      <c r="J35" s="20" t="s">
        <v>431</v>
      </c>
      <c r="K35" s="18" t="n">
        <v>0.11239858</v>
      </c>
      <c r="L35" s="20" t="n">
        <v>0.11817391</v>
      </c>
      <c r="M35" s="18" t="n">
        <v>0</v>
      </c>
      <c r="N35" s="20" t="n">
        <v>0</v>
      </c>
      <c r="O35" s="18" t="n">
        <v>0</v>
      </c>
      <c r="P35" s="20" t="n">
        <v>0</v>
      </c>
      <c r="Q35" s="18" t="n">
        <v>15.83797208</v>
      </c>
      <c r="R35" s="20" t="n">
        <v>1.93262597</v>
      </c>
    </row>
    <row r="36" spans="1:18">
      <c r="A36" s="15" t="s">
        <v>460</v>
      </c>
      <c r="B36" s="17" t="n">
        <v>3332</v>
      </c>
      <c r="C36" s="18">
        <f>(2929.0/B36*100)</f>
        <v/>
      </c>
      <c r="D36" s="19" t="n">
        <v>403</v>
      </c>
      <c r="E36" s="18" t="n">
        <v>73.97587027</v>
      </c>
      <c r="F36" s="20" t="n">
        <v>2.13462645</v>
      </c>
      <c r="G36" s="18" t="n">
        <v>10.66130215</v>
      </c>
      <c r="H36" s="20" t="n">
        <v>1.59879178</v>
      </c>
      <c r="I36" s="18" t="s">
        <v>431</v>
      </c>
      <c r="J36" s="20" t="s">
        <v>431</v>
      </c>
      <c r="K36" s="18" t="n">
        <v>0.56633727</v>
      </c>
      <c r="L36" s="20" t="n">
        <v>0.32682873</v>
      </c>
      <c r="M36" s="18" t="n">
        <v>0.27888745</v>
      </c>
      <c r="N36" s="20" t="n">
        <v>0.29295182</v>
      </c>
      <c r="O36" s="18" t="n">
        <v>0</v>
      </c>
      <c r="P36" s="20" t="n">
        <v>0</v>
      </c>
      <c r="Q36" s="18" t="n">
        <v>14.51760287</v>
      </c>
      <c r="R36" s="20" t="n">
        <v>1.87348732</v>
      </c>
    </row>
    <row r="37" spans="1:18">
      <c r="A37" s="15" t="s">
        <v>461</v>
      </c>
      <c r="B37" s="17" t="n">
        <v>2727</v>
      </c>
      <c r="C37" s="18">
        <f>(2402.0/B37*100)</f>
        <v/>
      </c>
      <c r="D37" s="19" t="n">
        <v>325</v>
      </c>
      <c r="E37" s="18" t="n">
        <v>47.79520313</v>
      </c>
      <c r="F37" s="20" t="n">
        <v>2.91289943</v>
      </c>
      <c r="G37" s="18" t="n">
        <v>29.4493362</v>
      </c>
      <c r="H37" s="20" t="n">
        <v>2.77822672</v>
      </c>
      <c r="I37" s="18" t="s">
        <v>431</v>
      </c>
      <c r="J37" s="20" t="s">
        <v>431</v>
      </c>
      <c r="K37" s="18" t="n">
        <v>1.02791332</v>
      </c>
      <c r="L37" s="20" t="n">
        <v>0.58903131</v>
      </c>
      <c r="M37" s="18" t="n">
        <v>0</v>
      </c>
      <c r="N37" s="20" t="n">
        <v>0</v>
      </c>
      <c r="O37" s="18" t="n">
        <v>0</v>
      </c>
      <c r="P37" s="20" t="n">
        <v>0</v>
      </c>
      <c r="Q37" s="18" t="n">
        <v>21.72754734</v>
      </c>
      <c r="R37" s="20" t="n">
        <v>2.30045513</v>
      </c>
    </row>
    <row r="38" spans="1:18">
      <c r="A38" s="15" t="s">
        <v>462</v>
      </c>
      <c r="B38" s="17" t="n">
        <v>3053</v>
      </c>
      <c r="C38" s="18">
        <f>(2540.0/B38*100)</f>
        <v/>
      </c>
      <c r="D38" s="19" t="n">
        <v>513</v>
      </c>
      <c r="E38" s="18" t="n">
        <v>50.41107514</v>
      </c>
      <c r="F38" s="20" t="n">
        <v>2.48759557</v>
      </c>
      <c r="G38" s="18" t="n">
        <v>28.28799305</v>
      </c>
      <c r="H38" s="20" t="n">
        <v>2.15714784</v>
      </c>
      <c r="I38" s="18" t="s">
        <v>431</v>
      </c>
      <c r="J38" s="20" t="s">
        <v>431</v>
      </c>
      <c r="K38" s="18" t="n">
        <v>1.15240833</v>
      </c>
      <c r="L38" s="20" t="n">
        <v>0.45465407</v>
      </c>
      <c r="M38" s="18" t="n">
        <v>0.16492325</v>
      </c>
      <c r="N38" s="20" t="n">
        <v>0.16390184</v>
      </c>
      <c r="O38" s="18" t="n">
        <v>0</v>
      </c>
      <c r="P38" s="20" t="n">
        <v>0</v>
      </c>
      <c r="Q38" s="18" t="n">
        <v>19.98360024</v>
      </c>
      <c r="R38" s="20" t="n">
        <v>1.78310957</v>
      </c>
    </row>
    <row r="39" spans="1:18">
      <c r="A39" s="15" t="s">
        <v>463</v>
      </c>
      <c r="B39" s="17" t="n">
        <v>2957</v>
      </c>
      <c r="C39" s="18">
        <f>(2592.0/B39*100)</f>
        <v/>
      </c>
      <c r="D39" s="19" t="n">
        <v>365</v>
      </c>
      <c r="E39" s="18" t="n">
        <v>68.58648457</v>
      </c>
      <c r="F39" s="20" t="n">
        <v>3.03676531</v>
      </c>
      <c r="G39" s="18" t="n">
        <v>12.24755606</v>
      </c>
      <c r="H39" s="20" t="n">
        <v>2.10678145</v>
      </c>
      <c r="I39" s="18" t="s">
        <v>431</v>
      </c>
      <c r="J39" s="20" t="s">
        <v>431</v>
      </c>
      <c r="K39" s="18" t="n">
        <v>0.27796175</v>
      </c>
      <c r="L39" s="20" t="n">
        <v>0.26882528</v>
      </c>
      <c r="M39" s="18" t="n">
        <v>0.24481936</v>
      </c>
      <c r="N39" s="20" t="n">
        <v>0.2503347</v>
      </c>
      <c r="O39" s="18" t="n">
        <v>0</v>
      </c>
      <c r="P39" s="20" t="n">
        <v>0</v>
      </c>
      <c r="Q39" s="18" t="n">
        <v>18.64317826</v>
      </c>
      <c r="R39" s="20" t="n">
        <v>2.29120848</v>
      </c>
    </row>
    <row r="40" spans="1:18">
      <c r="A40" s="15" t="s">
        <v>464</v>
      </c>
      <c r="B40" s="17" t="n">
        <v>7235</v>
      </c>
      <c r="C40" s="18">
        <f>(6353.0/B40*100)</f>
        <v/>
      </c>
      <c r="D40" s="19" t="n">
        <v>882</v>
      </c>
      <c r="E40" s="18" t="n">
        <v>58.78125769</v>
      </c>
      <c r="F40" s="20" t="n">
        <v>2.11696051</v>
      </c>
      <c r="G40" s="18" t="n">
        <v>22.26057139</v>
      </c>
      <c r="H40" s="20" t="n">
        <v>1.98233536</v>
      </c>
      <c r="I40" s="18" t="s">
        <v>431</v>
      </c>
      <c r="J40" s="20" t="s">
        <v>431</v>
      </c>
      <c r="K40" s="18" t="n">
        <v>0.59633784</v>
      </c>
      <c r="L40" s="20" t="n">
        <v>0.28840174</v>
      </c>
      <c r="M40" s="18" t="n">
        <v>0.29708949</v>
      </c>
      <c r="N40" s="20" t="n">
        <v>0.29324644</v>
      </c>
      <c r="O40" s="18" t="n">
        <v>0</v>
      </c>
      <c r="P40" s="20" t="n">
        <v>0</v>
      </c>
      <c r="Q40" s="18" t="n">
        <v>18.0647436</v>
      </c>
      <c r="R40" s="20" t="n">
        <v>1.65855734</v>
      </c>
    </row>
    <row r="41" spans="1:18">
      <c r="A41" s="15" t="s">
        <v>465</v>
      </c>
      <c r="B41" s="17" t="n">
        <v>2858</v>
      </c>
      <c r="C41" s="18">
        <f>(2509.0/B41*100)</f>
        <v/>
      </c>
      <c r="D41" s="19" t="n">
        <v>349</v>
      </c>
      <c r="E41" s="18" t="n">
        <v>70.75339090999999</v>
      </c>
      <c r="F41" s="20" t="n">
        <v>2.56566498</v>
      </c>
      <c r="G41" s="18" t="n">
        <v>21.91837077</v>
      </c>
      <c r="H41" s="20" t="n">
        <v>2.29563316</v>
      </c>
      <c r="I41" s="18" t="s">
        <v>431</v>
      </c>
      <c r="J41" s="20" t="s">
        <v>431</v>
      </c>
      <c r="K41" s="18" t="n">
        <v>0.45842689</v>
      </c>
      <c r="L41" s="20" t="n">
        <v>0.31637052</v>
      </c>
      <c r="M41" s="18" t="n">
        <v>0</v>
      </c>
      <c r="N41" s="20" t="n">
        <v>0</v>
      </c>
      <c r="O41" s="18" t="n">
        <v>0</v>
      </c>
      <c r="P41" s="20" t="n">
        <v>0</v>
      </c>
      <c r="Q41" s="18" t="n">
        <v>6.86981142</v>
      </c>
      <c r="R41" s="20" t="n">
        <v>1.68331867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(9924.0/B46*100)</f>
        <v/>
      </c>
      <c r="D46" s="19" t="n">
        <v>1144</v>
      </c>
      <c r="E46" s="18" t="n">
        <v>67.04035509000001</v>
      </c>
      <c r="F46" s="20" t="n">
        <v>1.6040336</v>
      </c>
      <c r="G46" s="18" t="n">
        <v>7.01882199</v>
      </c>
      <c r="H46" s="20" t="n">
        <v>0.8751904700000001</v>
      </c>
      <c r="I46" s="18" t="s">
        <v>431</v>
      </c>
      <c r="J46" s="20" t="s">
        <v>431</v>
      </c>
      <c r="K46" s="18" t="n">
        <v>1.16760502</v>
      </c>
      <c r="L46" s="20" t="n">
        <v>0.37020779</v>
      </c>
      <c r="M46" s="18" t="n">
        <v>0.10688318</v>
      </c>
      <c r="N46" s="20" t="n">
        <v>0.05635846</v>
      </c>
      <c r="O46" s="18" t="n">
        <v>0</v>
      </c>
      <c r="P46" s="20" t="n">
        <v>0</v>
      </c>
      <c r="Q46" s="18" t="n">
        <v>24.66633472</v>
      </c>
      <c r="R46" s="20" t="n">
        <v>1.62260141</v>
      </c>
    </row>
    <row r="47" spans="1:18">
      <c r="A47" s="15" t="s">
        <v>471</v>
      </c>
      <c r="B47" s="17" t="n">
        <v>3105</v>
      </c>
      <c r="C47" s="18">
        <f>(2733.0/B47*100)</f>
        <v/>
      </c>
      <c r="D47" s="19" t="n">
        <v>372</v>
      </c>
      <c r="E47" s="18" t="n">
        <v>49.94653887</v>
      </c>
      <c r="F47" s="20" t="n">
        <v>2.77980449</v>
      </c>
      <c r="G47" s="18" t="n">
        <v>15.84448462</v>
      </c>
      <c r="H47" s="20" t="n">
        <v>2.03910457</v>
      </c>
      <c r="I47" s="18" t="s">
        <v>431</v>
      </c>
      <c r="J47" s="20" t="s">
        <v>431</v>
      </c>
      <c r="K47" s="18" t="n">
        <v>1.31027466</v>
      </c>
      <c r="L47" s="20" t="n">
        <v>0.61022375</v>
      </c>
      <c r="M47" s="18" t="n">
        <v>0</v>
      </c>
      <c r="N47" s="20" t="n">
        <v>0</v>
      </c>
      <c r="O47" s="18" t="n">
        <v>0</v>
      </c>
      <c r="P47" s="20" t="n">
        <v>0</v>
      </c>
      <c r="Q47" s="18" t="n">
        <v>32.89870185</v>
      </c>
      <c r="R47" s="20" t="n">
        <v>2.50937889</v>
      </c>
    </row>
    <row r="48" spans="1:18">
      <c r="A48" s="15" t="s">
        <v>472</v>
      </c>
      <c r="B48" s="17" t="n">
        <v>5159</v>
      </c>
      <c r="C48" s="18">
        <f>(4503.0/B48*100)</f>
        <v/>
      </c>
      <c r="D48" s="19" t="n">
        <v>656</v>
      </c>
      <c r="E48" s="18" t="n">
        <v>75.78362896</v>
      </c>
      <c r="F48" s="20" t="n">
        <v>2.63052349</v>
      </c>
      <c r="G48" s="18" t="n">
        <v>12.99137515</v>
      </c>
      <c r="H48" s="20" t="n">
        <v>2.34334681</v>
      </c>
      <c r="I48" s="18" t="s">
        <v>431</v>
      </c>
      <c r="J48" s="20" t="s">
        <v>431</v>
      </c>
      <c r="K48" s="18" t="n">
        <v>0.54149081</v>
      </c>
      <c r="L48" s="20" t="n">
        <v>0.39831851</v>
      </c>
      <c r="M48" s="18" t="n">
        <v>0</v>
      </c>
      <c r="N48" s="20" t="n">
        <v>0</v>
      </c>
      <c r="O48" s="18" t="n">
        <v>0</v>
      </c>
      <c r="P48" s="20" t="n">
        <v>0</v>
      </c>
      <c r="Q48" s="18" t="n">
        <v>10.68350507</v>
      </c>
      <c r="R48" s="20" t="n">
        <v>1.77613073</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(4986.0/B50*100)</f>
        <v/>
      </c>
      <c r="D50" s="19" t="n">
        <v>651</v>
      </c>
      <c r="E50" s="18" t="n">
        <v>75.14351069</v>
      </c>
      <c r="F50" s="20" t="n">
        <v>2.32030651</v>
      </c>
      <c r="G50" s="18" t="n">
        <v>8.914038659999999</v>
      </c>
      <c r="H50" s="20" t="n">
        <v>1.56005</v>
      </c>
      <c r="I50" s="18" t="s">
        <v>431</v>
      </c>
      <c r="J50" s="20" t="s">
        <v>431</v>
      </c>
      <c r="K50" s="18" t="n">
        <v>2.68908684</v>
      </c>
      <c r="L50" s="20" t="n">
        <v>0.91832821</v>
      </c>
      <c r="M50" s="18" t="n">
        <v>0</v>
      </c>
      <c r="N50" s="20" t="n">
        <v>0</v>
      </c>
      <c r="O50" s="18" t="n">
        <v>0</v>
      </c>
      <c r="P50" s="20" t="n">
        <v>0</v>
      </c>
      <c r="Q50" s="18" t="n">
        <v>13.25336382</v>
      </c>
      <c r="R50" s="20" t="n">
        <v>1.82416237</v>
      </c>
    </row>
    <row r="51" spans="1:18">
      <c r="A51" s="15" t="s">
        <v>475</v>
      </c>
      <c r="B51" s="17" t="n">
        <v>3372</v>
      </c>
      <c r="C51" s="18">
        <f>(3057.0/B51*100)</f>
        <v/>
      </c>
      <c r="D51" s="19" t="n">
        <v>315</v>
      </c>
      <c r="E51" s="18" t="n">
        <v>69.18023722</v>
      </c>
      <c r="F51" s="20" t="n">
        <v>2.90471819</v>
      </c>
      <c r="G51" s="18" t="n">
        <v>11.24195025</v>
      </c>
      <c r="H51" s="20" t="n">
        <v>2.06108111</v>
      </c>
      <c r="I51" s="18" t="s">
        <v>431</v>
      </c>
      <c r="J51" s="20" t="s">
        <v>431</v>
      </c>
      <c r="K51" s="18" t="n">
        <v>0.47022803</v>
      </c>
      <c r="L51" s="20" t="n">
        <v>0.42282831</v>
      </c>
      <c r="M51" s="18" t="n">
        <v>0</v>
      </c>
      <c r="N51" s="20" t="n">
        <v>0</v>
      </c>
      <c r="O51" s="18" t="n">
        <v>0</v>
      </c>
      <c r="P51" s="20" t="n">
        <v>0</v>
      </c>
      <c r="Q51" s="18" t="n">
        <v>19.10758449</v>
      </c>
      <c r="R51" s="20" t="n">
        <v>2.56117043</v>
      </c>
    </row>
    <row r="52" spans="1:18">
      <c r="A52" s="15" t="s">
        <v>476</v>
      </c>
      <c r="B52" s="17" t="n">
        <v>2796</v>
      </c>
      <c r="C52" s="18">
        <f>(2448.0/B52*100)</f>
        <v/>
      </c>
      <c r="D52" s="19" t="n">
        <v>348</v>
      </c>
      <c r="E52" s="18" t="n">
        <v>58.262889</v>
      </c>
      <c r="F52" s="20" t="n">
        <v>2.45750781</v>
      </c>
      <c r="G52" s="18" t="n">
        <v>22.64333173</v>
      </c>
      <c r="H52" s="20" t="n">
        <v>2.46194036</v>
      </c>
      <c r="I52" s="18" t="s">
        <v>431</v>
      </c>
      <c r="J52" s="20" t="s">
        <v>431</v>
      </c>
      <c r="K52" s="18" t="n">
        <v>0.3185223</v>
      </c>
      <c r="L52" s="20" t="n">
        <v>0.3185284</v>
      </c>
      <c r="M52" s="18" t="n">
        <v>0</v>
      </c>
      <c r="N52" s="20" t="n">
        <v>0</v>
      </c>
      <c r="O52" s="18" t="n">
        <v>0</v>
      </c>
      <c r="P52" s="20" t="n">
        <v>0</v>
      </c>
      <c r="Q52" s="18" t="n">
        <v>18.77525697</v>
      </c>
      <c r="R52" s="20" t="n">
        <v>2.15089205</v>
      </c>
    </row>
    <row r="53" spans="1:18">
      <c r="A53" s="15" t="s">
        <v>477</v>
      </c>
      <c r="B53" s="17" t="n">
        <v>2811</v>
      </c>
      <c r="C53" s="18">
        <f>(2466.0/B53*100)</f>
        <v/>
      </c>
      <c r="D53" s="19" t="n">
        <v>345</v>
      </c>
      <c r="E53" s="18" t="n">
        <v>62.45313849</v>
      </c>
      <c r="F53" s="20" t="n">
        <v>2.77731302</v>
      </c>
      <c r="G53" s="18" t="n">
        <v>10.39695937</v>
      </c>
      <c r="H53" s="20" t="n">
        <v>1.8243598</v>
      </c>
      <c r="I53" s="18" t="s">
        <v>431</v>
      </c>
      <c r="J53" s="20" t="s">
        <v>431</v>
      </c>
      <c r="K53" s="18" t="n">
        <v>1.6934217</v>
      </c>
      <c r="L53" s="20" t="n">
        <v>0.81313494</v>
      </c>
      <c r="M53" s="18" t="n">
        <v>0</v>
      </c>
      <c r="N53" s="20" t="n">
        <v>0</v>
      </c>
      <c r="O53" s="18" t="n">
        <v>0</v>
      </c>
      <c r="P53" s="20" t="n">
        <v>0</v>
      </c>
      <c r="Q53" s="18" t="n">
        <v>25.45648045</v>
      </c>
      <c r="R53" s="20" t="n">
        <v>2.40487623</v>
      </c>
    </row>
    <row r="54" spans="1:18">
      <c r="A54" s="15" t="s">
        <v>478</v>
      </c>
      <c r="B54" s="17" t="n">
        <v>2266</v>
      </c>
      <c r="C54" s="18">
        <f>(1857.0/B54*100)</f>
        <v/>
      </c>
      <c r="D54" s="19" t="n">
        <v>409</v>
      </c>
      <c r="E54" s="18" t="n">
        <v>55.4148578</v>
      </c>
      <c r="F54" s="20" t="n">
        <v>2.70926184</v>
      </c>
      <c r="G54" s="18" t="n">
        <v>3.3953248</v>
      </c>
      <c r="H54" s="20" t="n">
        <v>0.80712028</v>
      </c>
      <c r="I54" s="18" t="s">
        <v>431</v>
      </c>
      <c r="J54" s="20" t="s">
        <v>431</v>
      </c>
      <c r="K54" s="18" t="n">
        <v>13.95787569</v>
      </c>
      <c r="L54" s="20" t="n">
        <v>1.89852151</v>
      </c>
      <c r="M54" s="18" t="n">
        <v>0.24346317</v>
      </c>
      <c r="N54" s="20" t="n">
        <v>0.23462787</v>
      </c>
      <c r="O54" s="18" t="n">
        <v>0</v>
      </c>
      <c r="P54" s="20" t="n">
        <v>0</v>
      </c>
      <c r="Q54" s="18" t="n">
        <v>26.98847854</v>
      </c>
      <c r="R54" s="20" t="n">
        <v>2.22078144</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(2351.0/B56*100)</f>
        <v/>
      </c>
      <c r="D56" s="19" t="n">
        <v>333</v>
      </c>
      <c r="E56" s="18" t="n">
        <v>67.41533029999999</v>
      </c>
      <c r="F56" s="20" t="n">
        <v>2.54113473</v>
      </c>
      <c r="G56" s="18" t="n">
        <v>22.80943066</v>
      </c>
      <c r="H56" s="20" t="n">
        <v>2.62005287</v>
      </c>
      <c r="I56" s="18" t="s">
        <v>431</v>
      </c>
      <c r="J56" s="20" t="s">
        <v>431</v>
      </c>
      <c r="K56" s="18" t="n">
        <v>0.42701137</v>
      </c>
      <c r="L56" s="20" t="n">
        <v>0.42167275</v>
      </c>
      <c r="M56" s="18" t="n">
        <v>0</v>
      </c>
      <c r="N56" s="20" t="n">
        <v>0</v>
      </c>
      <c r="O56" s="18" t="n">
        <v>0</v>
      </c>
      <c r="P56" s="20" t="n">
        <v>0</v>
      </c>
      <c r="Q56" s="18" t="n">
        <v>9.348227680000001</v>
      </c>
      <c r="R56" s="20" t="n">
        <v>1.6195161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(2919.0/B61*100)</f>
        <v/>
      </c>
      <c r="D61" s="19" t="n">
        <v>405</v>
      </c>
      <c r="E61" s="18" t="n">
        <v>60.57940178</v>
      </c>
      <c r="F61" s="20" t="n">
        <v>2.4625879</v>
      </c>
      <c r="G61" s="18" t="n">
        <v>24.46743429</v>
      </c>
      <c r="H61" s="20" t="n">
        <v>2.27477422</v>
      </c>
      <c r="I61" s="18" t="s">
        <v>431</v>
      </c>
      <c r="J61" s="20" t="s">
        <v>431</v>
      </c>
      <c r="K61" s="18" t="n">
        <v>0.25399349</v>
      </c>
      <c r="L61" s="20" t="n">
        <v>0.17708166</v>
      </c>
      <c r="M61" s="18" t="n">
        <v>0</v>
      </c>
      <c r="N61" s="20" t="n">
        <v>0</v>
      </c>
      <c r="O61" s="18" t="n">
        <v>0</v>
      </c>
      <c r="P61" s="20" t="n">
        <v>0</v>
      </c>
      <c r="Q61" s="18" t="n">
        <v>14.69917043</v>
      </c>
      <c r="R61" s="20" t="n">
        <v>2.03383484</v>
      </c>
    </row>
    <row r="62" spans="1:18">
      <c r="A62" s="15" t="s">
        <v>486</v>
      </c>
      <c r="B62" s="17" t="n">
        <v>2246</v>
      </c>
      <c r="C62" s="18">
        <f>(1981.0/B62*100)</f>
        <v/>
      </c>
      <c r="D62" s="19" t="n">
        <v>265</v>
      </c>
      <c r="E62" s="18" t="n">
        <v>70.92134394999999</v>
      </c>
      <c r="F62" s="20" t="n">
        <v>2.91688595</v>
      </c>
      <c r="G62" s="18" t="n">
        <v>21.88642506</v>
      </c>
      <c r="H62" s="20" t="n">
        <v>2.48488904</v>
      </c>
      <c r="I62" s="18" t="s">
        <v>431</v>
      </c>
      <c r="J62" s="20" t="s">
        <v>431</v>
      </c>
      <c r="K62" s="18" t="n">
        <v>0</v>
      </c>
      <c r="L62" s="20" t="n">
        <v>0</v>
      </c>
      <c r="M62" s="18" t="n">
        <v>0</v>
      </c>
      <c r="N62" s="20" t="n">
        <v>0</v>
      </c>
      <c r="O62" s="18" t="n">
        <v>0</v>
      </c>
      <c r="P62" s="20" t="n">
        <v>0</v>
      </c>
      <c r="Q62" s="18" t="n">
        <v>7.19223098</v>
      </c>
      <c r="R62" s="20" t="n">
        <v>1.72193153</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(2541.0/B66*100)</f>
        <v/>
      </c>
      <c r="D66" s="19" t="n">
        <v>353</v>
      </c>
      <c r="E66" s="18" t="n">
        <v>43.62757763</v>
      </c>
      <c r="F66" s="20" t="n">
        <v>2.53846861</v>
      </c>
      <c r="G66" s="18" t="n">
        <v>17.04214552</v>
      </c>
      <c r="H66" s="20" t="n">
        <v>2.08961629</v>
      </c>
      <c r="I66" s="18" t="s">
        <v>431</v>
      </c>
      <c r="J66" s="20" t="s">
        <v>431</v>
      </c>
      <c r="K66" s="18" t="n">
        <v>2.15548795</v>
      </c>
      <c r="L66" s="20" t="n">
        <v>0.7554981200000001</v>
      </c>
      <c r="M66" s="18" t="n">
        <v>0.25349748</v>
      </c>
      <c r="N66" s="20" t="n">
        <v>0.25359369</v>
      </c>
      <c r="O66" s="18" t="n">
        <v>0</v>
      </c>
      <c r="P66" s="20" t="n">
        <v>0</v>
      </c>
      <c r="Q66" s="18" t="n">
        <v>36.92129143</v>
      </c>
      <c r="R66" s="20" t="n">
        <v>2.78770112</v>
      </c>
    </row>
    <row r="67" spans="1:18">
      <c r="A67" s="15" t="s">
        <v>491</v>
      </c>
      <c r="B67" s="17" t="n">
        <v>3511</v>
      </c>
      <c r="C67" s="18">
        <f>(3137.0/B67*100)</f>
        <v/>
      </c>
      <c r="D67" s="19" t="n">
        <v>374</v>
      </c>
      <c r="E67" s="18" t="n">
        <v>74.32794783</v>
      </c>
      <c r="F67" s="20" t="n">
        <v>2.03609438</v>
      </c>
      <c r="G67" s="18" t="n">
        <v>8.76087272</v>
      </c>
      <c r="H67" s="20" t="n">
        <v>1.52444565</v>
      </c>
      <c r="I67" s="18" t="s">
        <v>431</v>
      </c>
      <c r="J67" s="20" t="s">
        <v>431</v>
      </c>
      <c r="K67" s="18" t="n">
        <v>0.35209904</v>
      </c>
      <c r="L67" s="20" t="n">
        <v>0.34941073</v>
      </c>
      <c r="M67" s="18" t="n">
        <v>0</v>
      </c>
      <c r="N67" s="20" t="n">
        <v>0</v>
      </c>
      <c r="O67" s="18" t="n">
        <v>0</v>
      </c>
      <c r="P67" s="20" t="n">
        <v>0</v>
      </c>
      <c r="Q67" s="18" t="n">
        <v>16.55908041</v>
      </c>
      <c r="R67" s="20" t="n">
        <v>1.66289205</v>
      </c>
    </row>
    <row r="68" spans="1:18">
      <c r="A68" s="15" t="s">
        <v>492</v>
      </c>
      <c r="B68" s="17" t="n">
        <v>6049</v>
      </c>
      <c r="C68" s="18">
        <f>(5052.0/B68*100)</f>
        <v/>
      </c>
      <c r="D68" s="19" t="n">
        <v>997</v>
      </c>
      <c r="E68" s="18" t="n">
        <v>66.06986211</v>
      </c>
      <c r="F68" s="20" t="n">
        <v>1.44034566</v>
      </c>
      <c r="G68" s="18" t="n">
        <v>6.31816187</v>
      </c>
      <c r="H68" s="20" t="n">
        <v>0.81176598</v>
      </c>
      <c r="I68" s="18" t="s">
        <v>431</v>
      </c>
      <c r="J68" s="20" t="s">
        <v>431</v>
      </c>
      <c r="K68" s="18" t="n">
        <v>4.79372789</v>
      </c>
      <c r="L68" s="20" t="n">
        <v>0.65002879</v>
      </c>
      <c r="M68" s="18" t="n">
        <v>0</v>
      </c>
      <c r="N68" s="20" t="n">
        <v>0</v>
      </c>
      <c r="O68" s="18" t="n">
        <v>0</v>
      </c>
      <c r="P68" s="20" t="n">
        <v>0</v>
      </c>
      <c r="Q68" s="18" t="n">
        <v>22.81824813</v>
      </c>
      <c r="R68" s="20" t="n">
        <v>1.37728031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(2582.0/B70*100)</f>
        <v/>
      </c>
      <c r="D70" s="19" t="n">
        <v>347</v>
      </c>
      <c r="E70" s="18" t="n">
        <v>68.93166219</v>
      </c>
      <c r="F70" s="20" t="n">
        <v>3.14350841</v>
      </c>
      <c r="G70" s="18" t="n">
        <v>16.99227864</v>
      </c>
      <c r="H70" s="20" t="n">
        <v>2.87684664</v>
      </c>
      <c r="I70" s="18" t="s">
        <v>431</v>
      </c>
      <c r="J70" s="20" t="s">
        <v>431</v>
      </c>
      <c r="K70" s="18" t="n">
        <v>0.38109949</v>
      </c>
      <c r="L70" s="20" t="n">
        <v>0.27693152</v>
      </c>
      <c r="M70" s="18" t="n">
        <v>0</v>
      </c>
      <c r="N70" s="20" t="n">
        <v>0</v>
      </c>
      <c r="O70" s="18" t="n">
        <v>0</v>
      </c>
      <c r="P70" s="20" t="n">
        <v>0</v>
      </c>
      <c r="Q70" s="18" t="n">
        <v>13.69495969</v>
      </c>
      <c r="R70" s="20" t="n">
        <v>2.36309803</v>
      </c>
    </row>
    <row r="71" spans="1:18">
      <c r="A71" s="15" t="s">
        <v>495</v>
      </c>
      <c r="B71" s="17" t="n">
        <v>3142</v>
      </c>
      <c r="C71" s="18">
        <f>(2755.0/B71*100)</f>
        <v/>
      </c>
      <c r="D71" s="19" t="n">
        <v>387</v>
      </c>
      <c r="E71" s="18" t="n">
        <v>70.05512886</v>
      </c>
      <c r="F71" s="20" t="n">
        <v>2.25992931</v>
      </c>
      <c r="G71" s="18" t="n">
        <v>24.33919123</v>
      </c>
      <c r="H71" s="20" t="n">
        <v>2.2393474</v>
      </c>
      <c r="I71" s="18" t="s">
        <v>431</v>
      </c>
      <c r="J71" s="20" t="s">
        <v>431</v>
      </c>
      <c r="K71" s="18" t="n">
        <v>0.23655429</v>
      </c>
      <c r="L71" s="20" t="n">
        <v>0.23908564</v>
      </c>
      <c r="M71" s="18" t="n">
        <v>0.13423767</v>
      </c>
      <c r="N71" s="20" t="n">
        <v>0.13413363</v>
      </c>
      <c r="O71" s="18" t="n">
        <v>0</v>
      </c>
      <c r="P71" s="20" t="n">
        <v>0</v>
      </c>
      <c r="Q71" s="18" t="n">
        <v>5.23488796</v>
      </c>
      <c r="R71" s="20" t="n">
        <v>0.95480723</v>
      </c>
    </row>
    <row r="72" spans="1:18">
      <c r="A72" s="15" t="s">
        <v>496</v>
      </c>
      <c r="B72" s="17" t="n">
        <v>3889</v>
      </c>
      <c r="C72" s="18">
        <f>(3425.0/B72*100)</f>
        <v/>
      </c>
      <c r="D72" s="19" t="n">
        <v>464</v>
      </c>
      <c r="E72" s="18" t="n">
        <v>75.27578321999999</v>
      </c>
      <c r="F72" s="20" t="n">
        <v>2.50490348</v>
      </c>
      <c r="G72" s="18" t="n">
        <v>14.20618106</v>
      </c>
      <c r="H72" s="20" t="n">
        <v>1.84960461</v>
      </c>
      <c r="I72" s="18" t="s">
        <v>431</v>
      </c>
      <c r="J72" s="20" t="s">
        <v>431</v>
      </c>
      <c r="K72" s="18" t="n">
        <v>0.43794447</v>
      </c>
      <c r="L72" s="20" t="n">
        <v>0.31746472</v>
      </c>
      <c r="M72" s="18" t="n">
        <v>0</v>
      </c>
      <c r="N72" s="20" t="n">
        <v>0</v>
      </c>
      <c r="O72" s="18" t="n">
        <v>0</v>
      </c>
      <c r="P72" s="20" t="n">
        <v>0</v>
      </c>
      <c r="Q72" s="18" t="n">
        <v>10.08009124</v>
      </c>
      <c r="R72" s="20" t="n">
        <v>1.40231803</v>
      </c>
    </row>
    <row r="73" spans="1:18">
      <c r="A73" s="15" t="s">
        <v>497</v>
      </c>
      <c r="B73" s="17" t="n">
        <v>3597</v>
      </c>
      <c r="C73" s="18">
        <f>(3166.0/B73*100)</f>
        <v/>
      </c>
      <c r="D73" s="19" t="n">
        <v>431</v>
      </c>
      <c r="E73" s="18" t="n">
        <v>89.72317174</v>
      </c>
      <c r="F73" s="20" t="n">
        <v>1.7641396</v>
      </c>
      <c r="G73" s="18" t="n">
        <v>4.87504029</v>
      </c>
      <c r="H73" s="20" t="n">
        <v>1.24799185</v>
      </c>
      <c r="I73" s="18" t="s">
        <v>431</v>
      </c>
      <c r="J73" s="20" t="s">
        <v>431</v>
      </c>
      <c r="K73" s="18" t="n">
        <v>0</v>
      </c>
      <c r="L73" s="20" t="n">
        <v>0</v>
      </c>
      <c r="M73" s="18" t="n">
        <v>0.33628478</v>
      </c>
      <c r="N73" s="20" t="n">
        <v>0.33244086</v>
      </c>
      <c r="O73" s="18" t="n">
        <v>0</v>
      </c>
      <c r="P73" s="20" t="n">
        <v>0</v>
      </c>
      <c r="Q73" s="18" t="n">
        <v>5.06550319</v>
      </c>
      <c r="R73" s="20" t="n">
        <v>1.30839671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(2131.0/B75*100)</f>
        <v/>
      </c>
      <c r="D75" s="19" t="n">
        <v>275</v>
      </c>
      <c r="E75" s="18" t="n">
        <v>50.43232152</v>
      </c>
      <c r="F75" s="20" t="n">
        <v>3.46780534</v>
      </c>
      <c r="G75" s="18" t="n">
        <v>0.64925596</v>
      </c>
      <c r="H75" s="20" t="n">
        <v>0.4557342</v>
      </c>
      <c r="I75" s="18" t="s">
        <v>431</v>
      </c>
      <c r="J75" s="20" t="s">
        <v>431</v>
      </c>
      <c r="K75" s="18" t="n">
        <v>3.13130541</v>
      </c>
      <c r="L75" s="20" t="n">
        <v>1.17933673</v>
      </c>
      <c r="M75" s="18" t="n">
        <v>0</v>
      </c>
      <c r="N75" s="20" t="n">
        <v>0</v>
      </c>
      <c r="O75" s="18" t="n">
        <v>0</v>
      </c>
      <c r="P75" s="20" t="n">
        <v>0</v>
      </c>
      <c r="Q75" s="18" t="n">
        <v>45.78711711</v>
      </c>
      <c r="R75" s="20" t="n">
        <v>3.36603082</v>
      </c>
    </row>
    <row r="76" spans="1:18">
      <c r="A76" s="15" t="s">
        <v>500</v>
      </c>
      <c r="B76" s="17" t="n">
        <v>7052</v>
      </c>
      <c r="C76" s="18">
        <f>(6209.0/B76*100)</f>
        <v/>
      </c>
      <c r="D76" s="19" t="n">
        <v>843</v>
      </c>
      <c r="E76" s="18" t="n">
        <v>73.10564432</v>
      </c>
      <c r="F76" s="20" t="n">
        <v>1.49930518</v>
      </c>
      <c r="G76" s="18" t="n">
        <v>10.57644736</v>
      </c>
      <c r="H76" s="20" t="n">
        <v>1.201249</v>
      </c>
      <c r="I76" s="18" t="s">
        <v>431</v>
      </c>
      <c r="J76" s="20" t="s">
        <v>431</v>
      </c>
      <c r="K76" s="18" t="n">
        <v>1.40153644</v>
      </c>
      <c r="L76" s="20" t="n">
        <v>0.45744343</v>
      </c>
      <c r="M76" s="18" t="n">
        <v>0.37819918</v>
      </c>
      <c r="N76" s="20" t="n">
        <v>0.23785105</v>
      </c>
      <c r="O76" s="18" t="n">
        <v>0</v>
      </c>
      <c r="P76" s="20" t="n">
        <v>0</v>
      </c>
      <c r="Q76" s="18" t="n">
        <v>14.5381727</v>
      </c>
      <c r="R76" s="20" t="n">
        <v>1.29622259</v>
      </c>
    </row>
    <row r="77" spans="1:18">
      <c r="A77" s="15" t="s">
        <v>501</v>
      </c>
      <c r="B77" s="17" t="n">
        <v>2908</v>
      </c>
      <c r="C77" s="18">
        <f>(2588.0/B77*100)</f>
        <v/>
      </c>
      <c r="D77" s="19" t="n">
        <v>320</v>
      </c>
      <c r="E77" s="18" t="n">
        <v>46.52111274</v>
      </c>
      <c r="F77" s="20" t="n">
        <v>2.67641601</v>
      </c>
      <c r="G77" s="18" t="n">
        <v>13.72931755</v>
      </c>
      <c r="H77" s="20" t="n">
        <v>2.29301209</v>
      </c>
      <c r="I77" s="18" t="s">
        <v>431</v>
      </c>
      <c r="J77" s="20" t="s">
        <v>431</v>
      </c>
      <c r="K77" s="18" t="n">
        <v>3.43522052</v>
      </c>
      <c r="L77" s="20" t="n">
        <v>1.1048544</v>
      </c>
      <c r="M77" s="18" t="n">
        <v>0</v>
      </c>
      <c r="N77" s="20" t="n">
        <v>0</v>
      </c>
      <c r="O77" s="18" t="n">
        <v>0</v>
      </c>
      <c r="P77" s="20" t="n">
        <v>0</v>
      </c>
      <c r="Q77" s="18" t="n">
        <v>36.31434919</v>
      </c>
      <c r="R77" s="20" t="n">
        <v>2.79902095</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(3656.0/B81*100)</f>
        <v/>
      </c>
      <c r="D81" s="19" t="n">
        <v>507</v>
      </c>
      <c r="E81" s="18" t="n">
        <v>88.31336496</v>
      </c>
      <c r="F81" s="20" t="n">
        <v>1.78250356</v>
      </c>
      <c r="G81" s="18" t="n">
        <v>3.90049568</v>
      </c>
      <c r="H81" s="20" t="n">
        <v>1.13922082</v>
      </c>
      <c r="I81" s="18" t="s">
        <v>431</v>
      </c>
      <c r="J81" s="20" t="s">
        <v>431</v>
      </c>
      <c r="K81" s="18" t="n">
        <v>0.21657764</v>
      </c>
      <c r="L81" s="20" t="n">
        <v>0.15230674</v>
      </c>
      <c r="M81" s="18" t="n">
        <v>0</v>
      </c>
      <c r="N81" s="20" t="n">
        <v>0</v>
      </c>
      <c r="O81" s="18" t="n">
        <v>0</v>
      </c>
      <c r="P81" s="20" t="n">
        <v>0</v>
      </c>
      <c r="Q81" s="18" t="n">
        <v>7.56956172</v>
      </c>
      <c r="R81" s="20" t="n">
        <v>1.6132173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(6463.0/B7*100)</f>
        <v/>
      </c>
      <c r="D7" s="19" t="n">
        <v>904</v>
      </c>
      <c r="E7" s="18" t="n">
        <v>44.7334507</v>
      </c>
      <c r="F7" s="20" t="n">
        <v>2.06278569</v>
      </c>
      <c r="G7" s="18" t="n">
        <v>48.88403839</v>
      </c>
      <c r="H7" s="20" t="n">
        <v>2.09721267</v>
      </c>
      <c r="I7" s="18" t="s">
        <v>431</v>
      </c>
      <c r="J7" s="20" t="s">
        <v>431</v>
      </c>
      <c r="K7" s="18" t="n">
        <v>0.25612707</v>
      </c>
      <c r="L7" s="20" t="n">
        <v>0.20465162</v>
      </c>
      <c r="M7" s="18" t="n">
        <v>0.03021916</v>
      </c>
      <c r="N7" s="20" t="n">
        <v>0.02182883</v>
      </c>
      <c r="O7" s="18" t="n">
        <v>0</v>
      </c>
      <c r="P7" s="20" t="n">
        <v>0</v>
      </c>
      <c r="Q7" s="18" t="n">
        <v>6.09616468</v>
      </c>
      <c r="R7" s="20" t="n">
        <v>0.93356841</v>
      </c>
    </row>
    <row r="8" spans="1:18">
      <c r="A8" s="15" t="s">
        <v>432</v>
      </c>
      <c r="B8" s="17" t="n">
        <v>3564</v>
      </c>
      <c r="C8" s="18">
        <f>(3141.0/B8*100)</f>
        <v/>
      </c>
      <c r="D8" s="19" t="n">
        <v>423</v>
      </c>
      <c r="E8" s="18" t="n">
        <v>61.4486053</v>
      </c>
      <c r="F8" s="20" t="n">
        <v>2.41974475</v>
      </c>
      <c r="G8" s="18" t="n">
        <v>30.89808644</v>
      </c>
      <c r="H8" s="20" t="n">
        <v>2.40385958</v>
      </c>
      <c r="I8" s="18" t="s">
        <v>431</v>
      </c>
      <c r="J8" s="20" t="s">
        <v>431</v>
      </c>
      <c r="K8" s="18" t="n">
        <v>0.13155625</v>
      </c>
      <c r="L8" s="20" t="n">
        <v>0.12943162</v>
      </c>
      <c r="M8" s="18" t="n">
        <v>0</v>
      </c>
      <c r="N8" s="20" t="n">
        <v>0</v>
      </c>
      <c r="O8" s="18" t="n">
        <v>0</v>
      </c>
      <c r="P8" s="20" t="n">
        <v>0</v>
      </c>
      <c r="Q8" s="18" t="n">
        <v>7.52175201</v>
      </c>
      <c r="R8" s="20" t="n">
        <v>1.22579244</v>
      </c>
    </row>
    <row r="9" spans="1:18">
      <c r="A9" s="15" t="s">
        <v>433</v>
      </c>
      <c r="B9" s="17" t="n">
        <v>4899</v>
      </c>
      <c r="C9" s="18">
        <f>(4333.0/B9*100)</f>
        <v/>
      </c>
      <c r="D9" s="19" t="n">
        <v>566</v>
      </c>
      <c r="E9" s="18" t="n">
        <v>57.04937596</v>
      </c>
      <c r="F9" s="20" t="n">
        <v>2.39815695</v>
      </c>
      <c r="G9" s="18" t="n">
        <v>34.98312504</v>
      </c>
      <c r="H9" s="20" t="n">
        <v>2.16576917</v>
      </c>
      <c r="I9" s="18" t="s">
        <v>431</v>
      </c>
      <c r="J9" s="20" t="s">
        <v>431</v>
      </c>
      <c r="K9" s="18" t="n">
        <v>0.56338347</v>
      </c>
      <c r="L9" s="20" t="n">
        <v>0.34106692</v>
      </c>
      <c r="M9" s="18" t="n">
        <v>0.5371192299999999</v>
      </c>
      <c r="N9" s="20" t="n">
        <v>0.26776582</v>
      </c>
      <c r="O9" s="18" t="n">
        <v>0</v>
      </c>
      <c r="P9" s="20" t="n">
        <v>0</v>
      </c>
      <c r="Q9" s="18" t="n">
        <v>6.8669963</v>
      </c>
      <c r="R9" s="20" t="n">
        <v>1.08546148</v>
      </c>
    </row>
    <row r="10" spans="1:18">
      <c r="A10" s="15" t="s">
        <v>434</v>
      </c>
      <c r="B10" s="17" t="n">
        <v>10036</v>
      </c>
      <c r="C10" s="18">
        <f>(8840.0/B10*100)</f>
        <v/>
      </c>
      <c r="D10" s="19" t="n">
        <v>1196</v>
      </c>
      <c r="E10" s="18" t="n">
        <v>53.02591258</v>
      </c>
      <c r="F10" s="20" t="n">
        <v>1.85179236</v>
      </c>
      <c r="G10" s="18" t="n">
        <v>43.38729222</v>
      </c>
      <c r="H10" s="20" t="n">
        <v>1.97801201</v>
      </c>
      <c r="I10" s="18" t="s">
        <v>431</v>
      </c>
      <c r="J10" s="20" t="s">
        <v>431</v>
      </c>
      <c r="K10" s="18" t="n">
        <v>0.24376491</v>
      </c>
      <c r="L10" s="20" t="n">
        <v>0.18809262</v>
      </c>
      <c r="M10" s="18" t="n">
        <v>0</v>
      </c>
      <c r="N10" s="20" t="n">
        <v>0</v>
      </c>
      <c r="O10" s="18" t="n">
        <v>0</v>
      </c>
      <c r="P10" s="20" t="n">
        <v>0</v>
      </c>
      <c r="Q10" s="18" t="n">
        <v>3.34303029</v>
      </c>
      <c r="R10" s="20" t="n">
        <v>0.7459766</v>
      </c>
    </row>
    <row r="11" spans="1:18">
      <c r="A11" s="15" t="s">
        <v>435</v>
      </c>
      <c r="B11" s="17" t="n">
        <v>3553</v>
      </c>
      <c r="C11" s="18">
        <f>(3131.0/B11*100)</f>
        <v/>
      </c>
      <c r="D11" s="19" t="n">
        <v>422</v>
      </c>
      <c r="E11" s="18" t="n">
        <v>77.94126993</v>
      </c>
      <c r="F11" s="20" t="n">
        <v>2.45148411</v>
      </c>
      <c r="G11" s="18" t="n">
        <v>11.533522</v>
      </c>
      <c r="H11" s="20" t="n">
        <v>1.71678421</v>
      </c>
      <c r="I11" s="18" t="s">
        <v>431</v>
      </c>
      <c r="J11" s="20" t="s">
        <v>431</v>
      </c>
      <c r="K11" s="18" t="n">
        <v>0.7203059000000001</v>
      </c>
      <c r="L11" s="20" t="n">
        <v>0.7183178</v>
      </c>
      <c r="M11" s="18" t="n">
        <v>0</v>
      </c>
      <c r="N11" s="20" t="n">
        <v>0</v>
      </c>
      <c r="O11" s="18" t="n">
        <v>0</v>
      </c>
      <c r="P11" s="20" t="n">
        <v>0</v>
      </c>
      <c r="Q11" s="18" t="n">
        <v>9.80490217</v>
      </c>
      <c r="R11" s="20" t="n">
        <v>2.04461793</v>
      </c>
    </row>
    <row r="12" spans="1:18">
      <c r="A12" s="15" t="s">
        <v>436</v>
      </c>
      <c r="B12" s="17" t="n">
        <v>3472</v>
      </c>
      <c r="C12" s="18">
        <f>(3051.0/B12*100)</f>
        <v/>
      </c>
      <c r="D12" s="19" t="n">
        <v>421</v>
      </c>
      <c r="E12" s="18" t="n">
        <v>61.50499691</v>
      </c>
      <c r="F12" s="20" t="n">
        <v>2.83971221</v>
      </c>
      <c r="G12" s="18" t="n">
        <v>30.24296944</v>
      </c>
      <c r="H12" s="20" t="n">
        <v>2.57987508</v>
      </c>
      <c r="I12" s="18" t="s">
        <v>431</v>
      </c>
      <c r="J12" s="20" t="s">
        <v>431</v>
      </c>
      <c r="K12" s="18" t="n">
        <v>0.27373294</v>
      </c>
      <c r="L12" s="20" t="n">
        <v>0.19795576</v>
      </c>
      <c r="M12" s="18" t="n">
        <v>0.13663071</v>
      </c>
      <c r="N12" s="20" t="n">
        <v>0.18263798</v>
      </c>
      <c r="O12" s="18" t="n">
        <v>0</v>
      </c>
      <c r="P12" s="20" t="n">
        <v>0</v>
      </c>
      <c r="Q12" s="18" t="n">
        <v>7.84166999</v>
      </c>
      <c r="R12" s="20" t="n">
        <v>1.28465793</v>
      </c>
    </row>
    <row r="13" spans="1:18">
      <c r="A13" s="15" t="s">
        <v>437</v>
      </c>
      <c r="B13" s="17" t="n">
        <v>3559</v>
      </c>
      <c r="C13" s="18">
        <f>(3158.0/B13*100)</f>
        <v/>
      </c>
      <c r="D13" s="19" t="n">
        <v>401</v>
      </c>
      <c r="E13" s="18" t="n">
        <v>49.62927339</v>
      </c>
      <c r="F13" s="20" t="n">
        <v>2.8041568</v>
      </c>
      <c r="G13" s="18" t="n">
        <v>46.89549239</v>
      </c>
      <c r="H13" s="20" t="n">
        <v>3.00937837</v>
      </c>
      <c r="I13" s="18" t="s">
        <v>431</v>
      </c>
      <c r="J13" s="20" t="s">
        <v>431</v>
      </c>
      <c r="K13" s="18" t="n">
        <v>0.59061602</v>
      </c>
      <c r="L13" s="20" t="n">
        <v>0.27366052</v>
      </c>
      <c r="M13" s="18" t="n">
        <v>0</v>
      </c>
      <c r="N13" s="20" t="n">
        <v>0</v>
      </c>
      <c r="O13" s="18" t="n">
        <v>0</v>
      </c>
      <c r="P13" s="20" t="n">
        <v>0</v>
      </c>
      <c r="Q13" s="18" t="n">
        <v>2.88461821</v>
      </c>
      <c r="R13" s="20" t="n">
        <v>1.11559133</v>
      </c>
    </row>
    <row r="14" spans="1:18">
      <c r="A14" s="15" t="s">
        <v>438</v>
      </c>
      <c r="B14" s="17" t="n">
        <v>2799</v>
      </c>
      <c r="C14" s="18">
        <f>(2447.0/B14*100)</f>
        <v/>
      </c>
      <c r="D14" s="19" t="n">
        <v>352</v>
      </c>
      <c r="E14" s="18" t="n">
        <v>64.0814381</v>
      </c>
      <c r="F14" s="20" t="n">
        <v>2.75025126</v>
      </c>
      <c r="G14" s="18" t="n">
        <v>32.91318853</v>
      </c>
      <c r="H14" s="20" t="n">
        <v>2.82164242</v>
      </c>
      <c r="I14" s="18" t="s">
        <v>431</v>
      </c>
      <c r="J14" s="20" t="s">
        <v>431</v>
      </c>
      <c r="K14" s="18" t="n">
        <v>0.41167977</v>
      </c>
      <c r="L14" s="20" t="n">
        <v>0.28717347</v>
      </c>
      <c r="M14" s="18" t="n">
        <v>0</v>
      </c>
      <c r="N14" s="20" t="n">
        <v>0</v>
      </c>
      <c r="O14" s="18" t="n">
        <v>0</v>
      </c>
      <c r="P14" s="20" t="n">
        <v>0</v>
      </c>
      <c r="Q14" s="18" t="n">
        <v>2.59369361</v>
      </c>
      <c r="R14" s="20" t="n">
        <v>0.83339517</v>
      </c>
    </row>
    <row r="15" spans="1:18">
      <c r="A15" s="15" t="s">
        <v>439</v>
      </c>
      <c r="B15" s="17" t="n">
        <v>3019</v>
      </c>
      <c r="C15" s="18">
        <f>(2671.0/B15*100)</f>
        <v/>
      </c>
      <c r="D15" s="19" t="n">
        <v>348</v>
      </c>
      <c r="E15" s="18" t="n">
        <v>60.93684274</v>
      </c>
      <c r="F15" s="20" t="n">
        <v>2.89027348</v>
      </c>
      <c r="G15" s="18" t="n">
        <v>33.50704781</v>
      </c>
      <c r="H15" s="20" t="n">
        <v>2.77857676</v>
      </c>
      <c r="I15" s="18" t="s">
        <v>431</v>
      </c>
      <c r="J15" s="20" t="s">
        <v>431</v>
      </c>
      <c r="K15" s="18" t="n">
        <v>0</v>
      </c>
      <c r="L15" s="20" t="n">
        <v>0</v>
      </c>
      <c r="M15" s="18" t="n">
        <v>0</v>
      </c>
      <c r="N15" s="20" t="n">
        <v>0</v>
      </c>
      <c r="O15" s="18" t="n">
        <v>0</v>
      </c>
      <c r="P15" s="20" t="n">
        <v>0</v>
      </c>
      <c r="Q15" s="18" t="n">
        <v>5.55610945</v>
      </c>
      <c r="R15" s="20" t="n">
        <v>1.21641081</v>
      </c>
    </row>
    <row r="16" spans="1:18">
      <c r="A16" s="15" t="s">
        <v>440</v>
      </c>
      <c r="B16" s="17" t="n">
        <v>2997</v>
      </c>
      <c r="C16" s="18">
        <f>(2626.0/B16*100)</f>
        <v/>
      </c>
      <c r="D16" s="19" t="n">
        <v>371</v>
      </c>
      <c r="E16" s="18" t="n">
        <v>54.79244035</v>
      </c>
      <c r="F16" s="20" t="n">
        <v>2.54583875</v>
      </c>
      <c r="G16" s="18" t="n">
        <v>30.3130853</v>
      </c>
      <c r="H16" s="20" t="n">
        <v>2.28505731</v>
      </c>
      <c r="I16" s="18" t="s">
        <v>431</v>
      </c>
      <c r="J16" s="20" t="s">
        <v>431</v>
      </c>
      <c r="K16" s="18" t="n">
        <v>2.43174025</v>
      </c>
      <c r="L16" s="20" t="n">
        <v>1.15253221</v>
      </c>
      <c r="M16" s="18" t="n">
        <v>0</v>
      </c>
      <c r="N16" s="20" t="n">
        <v>0</v>
      </c>
      <c r="O16" s="18" t="n">
        <v>0</v>
      </c>
      <c r="P16" s="20" t="n">
        <v>0</v>
      </c>
      <c r="Q16" s="18" t="n">
        <v>12.46273409</v>
      </c>
      <c r="R16" s="20" t="n">
        <v>1.93797733</v>
      </c>
    </row>
    <row r="17" spans="1:18">
      <c r="A17" s="15" t="s">
        <v>441</v>
      </c>
      <c r="B17" s="17" t="n">
        <v>3307</v>
      </c>
      <c r="C17" s="18">
        <f>(2912.0/B17*100)</f>
        <v/>
      </c>
      <c r="D17" s="19" t="n">
        <v>395</v>
      </c>
      <c r="E17" s="18" t="n">
        <v>60.51538272</v>
      </c>
      <c r="F17" s="20" t="n">
        <v>2.73826554</v>
      </c>
      <c r="G17" s="18" t="n">
        <v>31.20171017</v>
      </c>
      <c r="H17" s="20" t="n">
        <v>2.52398014</v>
      </c>
      <c r="I17" s="18" t="s">
        <v>431</v>
      </c>
      <c r="J17" s="20" t="s">
        <v>431</v>
      </c>
      <c r="K17" s="18" t="n">
        <v>1.18836991</v>
      </c>
      <c r="L17" s="20" t="n">
        <v>0.55035675</v>
      </c>
      <c r="M17" s="18" t="n">
        <v>0</v>
      </c>
      <c r="N17" s="20" t="n">
        <v>0</v>
      </c>
      <c r="O17" s="18" t="n">
        <v>0</v>
      </c>
      <c r="P17" s="20" t="n">
        <v>0</v>
      </c>
      <c r="Q17" s="18" t="n">
        <v>7.0945372</v>
      </c>
      <c r="R17" s="20" t="n">
        <v>1.60233163</v>
      </c>
    </row>
    <row r="18" spans="1:18">
      <c r="A18" s="15" t="s">
        <v>442</v>
      </c>
      <c r="B18" s="17" t="n">
        <v>2826</v>
      </c>
      <c r="C18" s="18">
        <f>(2466.0/B18*100)</f>
        <v/>
      </c>
      <c r="D18" s="19" t="n">
        <v>360</v>
      </c>
      <c r="E18" s="18" t="n">
        <v>58.90923974</v>
      </c>
      <c r="F18" s="20" t="n">
        <v>2.86514644</v>
      </c>
      <c r="G18" s="18" t="n">
        <v>26.07787526</v>
      </c>
      <c r="H18" s="20" t="n">
        <v>2.55615221</v>
      </c>
      <c r="I18" s="18" t="s">
        <v>431</v>
      </c>
      <c r="J18" s="20" t="s">
        <v>431</v>
      </c>
      <c r="K18" s="18" t="n">
        <v>0.85637058</v>
      </c>
      <c r="L18" s="20" t="n">
        <v>0.55168736</v>
      </c>
      <c r="M18" s="18" t="n">
        <v>0</v>
      </c>
      <c r="N18" s="20" t="n">
        <v>0</v>
      </c>
      <c r="O18" s="18" t="n">
        <v>0</v>
      </c>
      <c r="P18" s="20" t="n">
        <v>0</v>
      </c>
      <c r="Q18" s="18" t="n">
        <v>14.15651442</v>
      </c>
      <c r="R18" s="20" t="n">
        <v>2.81536211</v>
      </c>
    </row>
    <row r="19" spans="1:18">
      <c r="A19" s="15" t="s">
        <v>443</v>
      </c>
      <c r="B19" s="17" t="n">
        <v>2808</v>
      </c>
      <c r="C19" s="18">
        <f>(2462.0/B19*100)</f>
        <v/>
      </c>
      <c r="D19" s="19" t="n">
        <v>346</v>
      </c>
      <c r="E19" s="18" t="n">
        <v>67.32961715</v>
      </c>
      <c r="F19" s="20" t="n">
        <v>2.97063589</v>
      </c>
      <c r="G19" s="18" t="n">
        <v>25.21885856</v>
      </c>
      <c r="H19" s="20" t="n">
        <v>2.72607761</v>
      </c>
      <c r="I19" s="18" t="s">
        <v>431</v>
      </c>
      <c r="J19" s="20" t="s">
        <v>431</v>
      </c>
      <c r="K19" s="18" t="n">
        <v>0.24741171</v>
      </c>
      <c r="L19" s="20" t="n">
        <v>0.26339349</v>
      </c>
      <c r="M19" s="18" t="n">
        <v>0</v>
      </c>
      <c r="N19" s="20" t="n">
        <v>0</v>
      </c>
      <c r="O19" s="18" t="n">
        <v>0</v>
      </c>
      <c r="P19" s="20" t="n">
        <v>0</v>
      </c>
      <c r="Q19" s="18" t="n">
        <v>7.20411257</v>
      </c>
      <c r="R19" s="20" t="n">
        <v>1.81433274</v>
      </c>
    </row>
    <row r="20" spans="1:18">
      <c r="A20" s="15" t="s">
        <v>444</v>
      </c>
      <c r="B20" s="17" t="n">
        <v>1630</v>
      </c>
      <c r="C20" s="18">
        <f>(1429.0/B20*100)</f>
        <v/>
      </c>
      <c r="D20" s="19" t="n">
        <v>201</v>
      </c>
      <c r="E20" s="18" t="n">
        <v>57.64729864</v>
      </c>
      <c r="F20" s="20" t="n">
        <v>3.45500178</v>
      </c>
      <c r="G20" s="18" t="n">
        <v>35.64662848</v>
      </c>
      <c r="H20" s="20" t="n">
        <v>3.28862173</v>
      </c>
      <c r="I20" s="18" t="s">
        <v>431</v>
      </c>
      <c r="J20" s="20" t="s">
        <v>431</v>
      </c>
      <c r="K20" s="18" t="n">
        <v>0.42185394</v>
      </c>
      <c r="L20" s="20" t="n">
        <v>0.42066103</v>
      </c>
      <c r="M20" s="18" t="n">
        <v>0</v>
      </c>
      <c r="N20" s="20" t="n">
        <v>0</v>
      </c>
      <c r="O20" s="18" t="n">
        <v>0</v>
      </c>
      <c r="P20" s="20" t="n">
        <v>0</v>
      </c>
      <c r="Q20" s="18" t="n">
        <v>6.28421895</v>
      </c>
      <c r="R20" s="20" t="n">
        <v>1.82851502</v>
      </c>
    </row>
    <row r="21" spans="1:18">
      <c r="A21" s="15" t="s">
        <v>445</v>
      </c>
      <c r="B21" s="17" t="n">
        <v>2908</v>
      </c>
      <c r="C21" s="18">
        <f>(2446.0/B21*100)</f>
        <v/>
      </c>
      <c r="D21" s="19" t="n">
        <v>462</v>
      </c>
      <c r="E21" s="18" t="n">
        <v>43.16990379</v>
      </c>
      <c r="F21" s="20" t="n">
        <v>2.29142889</v>
      </c>
      <c r="G21" s="18" t="n">
        <v>52.24534626</v>
      </c>
      <c r="H21" s="20" t="n">
        <v>2.37538144</v>
      </c>
      <c r="I21" s="18" t="s">
        <v>431</v>
      </c>
      <c r="J21" s="20" t="s">
        <v>431</v>
      </c>
      <c r="K21" s="18" t="n">
        <v>0.22582334</v>
      </c>
      <c r="L21" s="20" t="n">
        <v>0.22598108</v>
      </c>
      <c r="M21" s="18" t="n">
        <v>0</v>
      </c>
      <c r="N21" s="20" t="n">
        <v>0</v>
      </c>
      <c r="O21" s="18" t="n">
        <v>0</v>
      </c>
      <c r="P21" s="20" t="n">
        <v>0</v>
      </c>
      <c r="Q21" s="18" t="n">
        <v>4.35892661</v>
      </c>
      <c r="R21" s="20" t="n">
        <v>0.90233579</v>
      </c>
    </row>
    <row r="22" spans="1:18">
      <c r="A22" s="15" t="s">
        <v>446</v>
      </c>
      <c r="B22" s="17" t="n">
        <v>2931</v>
      </c>
      <c r="C22" s="18">
        <f>(2586.0/B22*100)</f>
        <v/>
      </c>
      <c r="D22" s="19" t="n">
        <v>345</v>
      </c>
      <c r="E22" s="18" t="n">
        <v>51.34316178</v>
      </c>
      <c r="F22" s="20" t="n">
        <v>3.71751837</v>
      </c>
      <c r="G22" s="18" t="n">
        <v>34.59664595</v>
      </c>
      <c r="H22" s="20" t="n">
        <v>3.62613732</v>
      </c>
      <c r="I22" s="18" t="s">
        <v>431</v>
      </c>
      <c r="J22" s="20" t="s">
        <v>431</v>
      </c>
      <c r="K22" s="18" t="n">
        <v>1.13462369</v>
      </c>
      <c r="L22" s="20" t="n">
        <v>0.6626338899999999</v>
      </c>
      <c r="M22" s="18" t="n">
        <v>0</v>
      </c>
      <c r="N22" s="20" t="n">
        <v>0</v>
      </c>
      <c r="O22" s="18" t="n">
        <v>0</v>
      </c>
      <c r="P22" s="20" t="n">
        <v>0</v>
      </c>
      <c r="Q22" s="18" t="n">
        <v>12.92556859</v>
      </c>
      <c r="R22" s="20" t="n">
        <v>1.6693423</v>
      </c>
    </row>
    <row r="23" spans="1:18">
      <c r="A23" s="15" t="s">
        <v>447</v>
      </c>
      <c r="B23" s="17" t="n">
        <v>5791</v>
      </c>
      <c r="C23" s="18">
        <f>(5107.0/B23*100)</f>
        <v/>
      </c>
      <c r="D23" s="19" t="n">
        <v>684</v>
      </c>
      <c r="E23" s="18" t="n">
        <v>64.10637127</v>
      </c>
      <c r="F23" s="20" t="n">
        <v>2.80046813</v>
      </c>
      <c r="G23" s="18" t="n">
        <v>26.06494826</v>
      </c>
      <c r="H23" s="20" t="n">
        <v>2.24050014</v>
      </c>
      <c r="I23" s="18" t="s">
        <v>431</v>
      </c>
      <c r="J23" s="20" t="s">
        <v>431</v>
      </c>
      <c r="K23" s="18" t="n">
        <v>1.42393064</v>
      </c>
      <c r="L23" s="20" t="n">
        <v>0.8161362599999999</v>
      </c>
      <c r="M23" s="18" t="n">
        <v>0.30586448</v>
      </c>
      <c r="N23" s="20" t="n">
        <v>0.20823585</v>
      </c>
      <c r="O23" s="18" t="n">
        <v>0</v>
      </c>
      <c r="P23" s="20" t="n">
        <v>0</v>
      </c>
      <c r="Q23" s="18" t="n">
        <v>8.098885360000001</v>
      </c>
      <c r="R23" s="20" t="n">
        <v>1.46998186</v>
      </c>
    </row>
    <row r="24" spans="1:18">
      <c r="A24" s="15" t="s">
        <v>448</v>
      </c>
      <c r="B24" s="17" t="n">
        <v>3338</v>
      </c>
      <c r="C24" s="18">
        <f>(2939.0/B24*100)</f>
        <v/>
      </c>
      <c r="D24" s="19" t="n">
        <v>399</v>
      </c>
      <c r="E24" s="18" t="n">
        <v>57.45753386</v>
      </c>
      <c r="F24" s="20" t="n">
        <v>2.41308872</v>
      </c>
      <c r="G24" s="18" t="n">
        <v>35.18890932</v>
      </c>
      <c r="H24" s="20" t="n">
        <v>2.65053437</v>
      </c>
      <c r="I24" s="18" t="s">
        <v>431</v>
      </c>
      <c r="J24" s="20" t="s">
        <v>431</v>
      </c>
      <c r="K24" s="18" t="n">
        <v>0.47876083</v>
      </c>
      <c r="L24" s="20" t="n">
        <v>0.338955</v>
      </c>
      <c r="M24" s="18" t="n">
        <v>0</v>
      </c>
      <c r="N24" s="20" t="n">
        <v>0</v>
      </c>
      <c r="O24" s="18" t="n">
        <v>0</v>
      </c>
      <c r="P24" s="20" t="n">
        <v>0</v>
      </c>
      <c r="Q24" s="18" t="n">
        <v>6.87479598</v>
      </c>
      <c r="R24" s="20" t="n">
        <v>1.0888531</v>
      </c>
    </row>
    <row r="25" spans="1:18">
      <c r="A25" s="15" t="s">
        <v>449</v>
      </c>
      <c r="B25" s="17" t="n">
        <v>2912</v>
      </c>
      <c r="C25" s="18">
        <f>(2541.0/B25*100)</f>
        <v/>
      </c>
      <c r="D25" s="19" t="n">
        <v>371</v>
      </c>
      <c r="E25" s="18" t="n">
        <v>62.577439</v>
      </c>
      <c r="F25" s="20" t="n">
        <v>2.57531072</v>
      </c>
      <c r="G25" s="18" t="n">
        <v>29.78838667</v>
      </c>
      <c r="H25" s="20" t="n">
        <v>2.31056985</v>
      </c>
      <c r="I25" s="18" t="s">
        <v>431</v>
      </c>
      <c r="J25" s="20" t="s">
        <v>431</v>
      </c>
      <c r="K25" s="18" t="n">
        <v>0</v>
      </c>
      <c r="L25" s="20" t="n">
        <v>0</v>
      </c>
      <c r="M25" s="18" t="n">
        <v>0.27649259</v>
      </c>
      <c r="N25" s="20" t="n">
        <v>0.2759553</v>
      </c>
      <c r="O25" s="18" t="n">
        <v>0</v>
      </c>
      <c r="P25" s="20" t="n">
        <v>0</v>
      </c>
      <c r="Q25" s="18" t="n">
        <v>7.35768173</v>
      </c>
      <c r="R25" s="20" t="n">
        <v>1.5032443</v>
      </c>
    </row>
    <row r="26" spans="1:18">
      <c r="A26" s="15" t="s">
        <v>450</v>
      </c>
      <c r="B26" s="17" t="n">
        <v>2450</v>
      </c>
      <c r="C26" s="18">
        <f>(2160.0/B26*100)</f>
        <v/>
      </c>
      <c r="D26" s="19" t="n">
        <v>290</v>
      </c>
      <c r="E26" s="18" t="n">
        <v>62.02093115</v>
      </c>
      <c r="F26" s="20" t="n">
        <v>3.02413608</v>
      </c>
      <c r="G26" s="18" t="n">
        <v>31.96744116</v>
      </c>
      <c r="H26" s="20" t="n">
        <v>3.03487402</v>
      </c>
      <c r="I26" s="18" t="s">
        <v>431</v>
      </c>
      <c r="J26" s="20" t="s">
        <v>431</v>
      </c>
      <c r="K26" s="18" t="n">
        <v>0.34156397</v>
      </c>
      <c r="L26" s="20" t="n">
        <v>0.32270398</v>
      </c>
      <c r="M26" s="18" t="n">
        <v>0</v>
      </c>
      <c r="N26" s="20" t="n">
        <v>0</v>
      </c>
      <c r="O26" s="18" t="n">
        <v>0</v>
      </c>
      <c r="P26" s="20" t="n">
        <v>0</v>
      </c>
      <c r="Q26" s="18" t="n">
        <v>5.67006372</v>
      </c>
      <c r="R26" s="20" t="n">
        <v>1.35146574</v>
      </c>
    </row>
    <row r="27" spans="1:18">
      <c r="A27" s="15" t="s">
        <v>451</v>
      </c>
      <c r="B27" s="17" t="n">
        <v>2616</v>
      </c>
      <c r="C27" s="18">
        <f>(2282.0/B27*100)</f>
        <v/>
      </c>
      <c r="D27" s="19" t="n">
        <v>334</v>
      </c>
      <c r="E27" s="18" t="n">
        <v>61.71802311</v>
      </c>
      <c r="F27" s="20" t="n">
        <v>2.66104561</v>
      </c>
      <c r="G27" s="18" t="n">
        <v>27.71571785</v>
      </c>
      <c r="H27" s="20" t="n">
        <v>2.64935373</v>
      </c>
      <c r="I27" s="18" t="s">
        <v>431</v>
      </c>
      <c r="J27" s="20" t="s">
        <v>431</v>
      </c>
      <c r="K27" s="18" t="n">
        <v>0.9134686400000001</v>
      </c>
      <c r="L27" s="20" t="n">
        <v>0.52401609</v>
      </c>
      <c r="M27" s="18" t="n">
        <v>0</v>
      </c>
      <c r="N27" s="20" t="n">
        <v>0</v>
      </c>
      <c r="O27" s="18" t="n">
        <v>0</v>
      </c>
      <c r="P27" s="20" t="n">
        <v>0</v>
      </c>
      <c r="Q27" s="18" t="n">
        <v>9.652790400000001</v>
      </c>
      <c r="R27" s="20" t="n">
        <v>1.46653427</v>
      </c>
    </row>
    <row r="28" spans="1:18">
      <c r="A28" s="15" t="s">
        <v>452</v>
      </c>
      <c r="B28" s="17" t="n">
        <v>3765</v>
      </c>
      <c r="C28" s="18">
        <f>(3353.0/B28*100)</f>
        <v/>
      </c>
      <c r="D28" s="19" t="n">
        <v>412</v>
      </c>
      <c r="E28" s="18" t="n">
        <v>77.80708962999999</v>
      </c>
      <c r="F28" s="20" t="n">
        <v>2.01478896</v>
      </c>
      <c r="G28" s="18" t="n">
        <v>19.77503573</v>
      </c>
      <c r="H28" s="20" t="n">
        <v>2.04161333</v>
      </c>
      <c r="I28" s="18" t="s">
        <v>431</v>
      </c>
      <c r="J28" s="20" t="s">
        <v>431</v>
      </c>
      <c r="K28" s="18" t="n">
        <v>0.32185262</v>
      </c>
      <c r="L28" s="20" t="n">
        <v>0.23658086</v>
      </c>
      <c r="M28" s="18" t="n">
        <v>0</v>
      </c>
      <c r="N28" s="20" t="n">
        <v>0</v>
      </c>
      <c r="O28" s="18" t="n">
        <v>0</v>
      </c>
      <c r="P28" s="20" t="n">
        <v>0</v>
      </c>
      <c r="Q28" s="18" t="n">
        <v>2.09602201</v>
      </c>
      <c r="R28" s="20" t="n">
        <v>0.72254584</v>
      </c>
    </row>
    <row r="29" spans="1:18">
      <c r="A29" s="15" t="s">
        <v>453</v>
      </c>
      <c r="B29" s="17" t="n">
        <v>2685</v>
      </c>
      <c r="C29" s="18">
        <f>(2368.0/B29*100)</f>
        <v/>
      </c>
      <c r="D29" s="19" t="n">
        <v>317</v>
      </c>
      <c r="E29" s="18" t="n">
        <v>52.77580955</v>
      </c>
      <c r="F29" s="20" t="n">
        <v>2.65832281</v>
      </c>
      <c r="G29" s="18" t="n">
        <v>44.66143737</v>
      </c>
      <c r="H29" s="20" t="n">
        <v>2.72631913</v>
      </c>
      <c r="I29" s="18" t="s">
        <v>431</v>
      </c>
      <c r="J29" s="20" t="s">
        <v>431</v>
      </c>
      <c r="K29" s="18" t="n">
        <v>0</v>
      </c>
      <c r="L29" s="20" t="n">
        <v>0</v>
      </c>
      <c r="M29" s="18" t="n">
        <v>0</v>
      </c>
      <c r="N29" s="20" t="n">
        <v>0</v>
      </c>
      <c r="O29" s="18" t="n">
        <v>0</v>
      </c>
      <c r="P29" s="20" t="n">
        <v>0</v>
      </c>
      <c r="Q29" s="18" t="n">
        <v>2.56275308</v>
      </c>
      <c r="R29" s="20" t="n">
        <v>1.01941871</v>
      </c>
    </row>
    <row r="30" spans="1:18">
      <c r="A30" s="15" t="s">
        <v>454</v>
      </c>
      <c r="B30" s="17" t="n">
        <v>2263</v>
      </c>
      <c r="C30" s="18">
        <f>(1992.0/B30*100)</f>
        <v/>
      </c>
      <c r="D30" s="19" t="n">
        <v>271</v>
      </c>
      <c r="E30" s="18" t="n">
        <v>43.45603845</v>
      </c>
      <c r="F30" s="20" t="n">
        <v>3.1017127</v>
      </c>
      <c r="G30" s="18" t="n">
        <v>46.15062158</v>
      </c>
      <c r="H30" s="20" t="n">
        <v>3.13708693</v>
      </c>
      <c r="I30" s="18" t="s">
        <v>431</v>
      </c>
      <c r="J30" s="20" t="s">
        <v>431</v>
      </c>
      <c r="K30" s="18" t="n">
        <v>2.45573195</v>
      </c>
      <c r="L30" s="20" t="n">
        <v>0.9933731099999999</v>
      </c>
      <c r="M30" s="18" t="n">
        <v>0</v>
      </c>
      <c r="N30" s="20" t="n">
        <v>0</v>
      </c>
      <c r="O30" s="18" t="n">
        <v>0</v>
      </c>
      <c r="P30" s="20" t="n">
        <v>0</v>
      </c>
      <c r="Q30" s="18" t="n">
        <v>7.93760802</v>
      </c>
      <c r="R30" s="20" t="n">
        <v>1.6425299</v>
      </c>
    </row>
    <row r="31" spans="1:18">
      <c r="A31" s="15" t="s">
        <v>455</v>
      </c>
      <c r="B31" s="17" t="n">
        <v>2750</v>
      </c>
      <c r="C31" s="18">
        <f>(2395.0/B31*100)</f>
        <v/>
      </c>
      <c r="D31" s="19" t="n">
        <v>355</v>
      </c>
      <c r="E31" s="18" t="n">
        <v>55.75441783</v>
      </c>
      <c r="F31" s="20" t="n">
        <v>2.5828967</v>
      </c>
      <c r="G31" s="18" t="n">
        <v>33.59728333</v>
      </c>
      <c r="H31" s="20" t="n">
        <v>2.73749496</v>
      </c>
      <c r="I31" s="18" t="s">
        <v>431</v>
      </c>
      <c r="J31" s="20" t="s">
        <v>431</v>
      </c>
      <c r="K31" s="18" t="n">
        <v>0.50487315</v>
      </c>
      <c r="L31" s="20" t="n">
        <v>0.35250384</v>
      </c>
      <c r="M31" s="18" t="n">
        <v>0</v>
      </c>
      <c r="N31" s="20" t="n">
        <v>0</v>
      </c>
      <c r="O31" s="18" t="n">
        <v>0</v>
      </c>
      <c r="P31" s="20" t="n">
        <v>0</v>
      </c>
      <c r="Q31" s="18" t="n">
        <v>10.1434257</v>
      </c>
      <c r="R31" s="20" t="n">
        <v>1.52921023</v>
      </c>
    </row>
    <row r="32" spans="1:18">
      <c r="A32" s="15" t="s">
        <v>456</v>
      </c>
      <c r="B32" s="17" t="n">
        <v>2269</v>
      </c>
      <c r="C32" s="18">
        <f>(1893.0/B32*100)</f>
        <v/>
      </c>
      <c r="D32" s="19" t="n">
        <v>376</v>
      </c>
      <c r="E32" s="18" t="n">
        <v>43.73555732</v>
      </c>
      <c r="F32" s="20" t="n">
        <v>2.52831376</v>
      </c>
      <c r="G32" s="18" t="n">
        <v>47.39589986</v>
      </c>
      <c r="H32" s="20" t="n">
        <v>2.37333472</v>
      </c>
      <c r="I32" s="18" t="s">
        <v>431</v>
      </c>
      <c r="J32" s="20" t="s">
        <v>431</v>
      </c>
      <c r="K32" s="18" t="n">
        <v>0.47871517</v>
      </c>
      <c r="L32" s="20" t="n">
        <v>0.33687342</v>
      </c>
      <c r="M32" s="18" t="n">
        <v>0</v>
      </c>
      <c r="N32" s="20" t="n">
        <v>0</v>
      </c>
      <c r="O32" s="18" t="n">
        <v>0</v>
      </c>
      <c r="P32" s="20" t="n">
        <v>0</v>
      </c>
      <c r="Q32" s="18" t="n">
        <v>8.389827650000001</v>
      </c>
      <c r="R32" s="20" t="n">
        <v>1.60388027</v>
      </c>
    </row>
    <row r="33" spans="1:18">
      <c r="A33" s="15" t="s">
        <v>457</v>
      </c>
      <c r="B33" s="17" t="n">
        <v>3674</v>
      </c>
      <c r="C33" s="18">
        <f>(3222.0/B33*100)</f>
        <v/>
      </c>
      <c r="D33" s="19" t="n">
        <v>452</v>
      </c>
      <c r="E33" s="18" t="n">
        <v>63.06299312</v>
      </c>
      <c r="F33" s="20" t="n">
        <v>2.66315031</v>
      </c>
      <c r="G33" s="18" t="n">
        <v>32.1174315</v>
      </c>
      <c r="H33" s="20" t="n">
        <v>2.70852019</v>
      </c>
      <c r="I33" s="18" t="s">
        <v>431</v>
      </c>
      <c r="J33" s="20" t="s">
        <v>431</v>
      </c>
      <c r="K33" s="18" t="n">
        <v>1.06956119</v>
      </c>
      <c r="L33" s="20" t="n">
        <v>0.73754075</v>
      </c>
      <c r="M33" s="18" t="n">
        <v>0</v>
      </c>
      <c r="N33" s="20" t="n">
        <v>0</v>
      </c>
      <c r="O33" s="18" t="n">
        <v>0</v>
      </c>
      <c r="P33" s="20" t="n">
        <v>0</v>
      </c>
      <c r="Q33" s="18" t="n">
        <v>3.75001419</v>
      </c>
      <c r="R33" s="20" t="n">
        <v>0.95517608</v>
      </c>
    </row>
    <row r="34" spans="1:18">
      <c r="A34" s="15" t="s">
        <v>458</v>
      </c>
      <c r="B34" s="17" t="n">
        <v>3315</v>
      </c>
      <c r="C34" s="18">
        <f>(2916.0/B34*100)</f>
        <v/>
      </c>
      <c r="D34" s="19" t="n">
        <v>399</v>
      </c>
      <c r="E34" s="18" t="n">
        <v>68.39342193</v>
      </c>
      <c r="F34" s="20" t="n">
        <v>2.49067574</v>
      </c>
      <c r="G34" s="18" t="n">
        <v>24.86608081</v>
      </c>
      <c r="H34" s="20" t="n">
        <v>2.24031965</v>
      </c>
      <c r="I34" s="18" t="s">
        <v>431</v>
      </c>
      <c r="J34" s="20" t="s">
        <v>431</v>
      </c>
      <c r="K34" s="18" t="n">
        <v>0</v>
      </c>
      <c r="L34" s="20" t="n">
        <v>0</v>
      </c>
      <c r="M34" s="18" t="n">
        <v>0</v>
      </c>
      <c r="N34" s="20" t="n">
        <v>0</v>
      </c>
      <c r="O34" s="18" t="n">
        <v>0</v>
      </c>
      <c r="P34" s="20" t="n">
        <v>0</v>
      </c>
      <c r="Q34" s="18" t="n">
        <v>6.74049726</v>
      </c>
      <c r="R34" s="20" t="n">
        <v>1.41797551</v>
      </c>
    </row>
    <row r="35" spans="1:18">
      <c r="A35" s="15" t="s">
        <v>459</v>
      </c>
      <c r="B35" s="17" t="n">
        <v>3505</v>
      </c>
      <c r="C35" s="18">
        <f>(3088.0/B35*100)</f>
        <v/>
      </c>
      <c r="D35" s="19" t="n">
        <v>417</v>
      </c>
      <c r="E35" s="18" t="n">
        <v>59.4125014</v>
      </c>
      <c r="F35" s="20" t="n">
        <v>3.12031893</v>
      </c>
      <c r="G35" s="18" t="n">
        <v>35.85617545</v>
      </c>
      <c r="H35" s="20" t="n">
        <v>2.96300259</v>
      </c>
      <c r="I35" s="18" t="s">
        <v>431</v>
      </c>
      <c r="J35" s="20" t="s">
        <v>431</v>
      </c>
      <c r="K35" s="18" t="n">
        <v>0.11239858</v>
      </c>
      <c r="L35" s="20" t="n">
        <v>0.11817391</v>
      </c>
      <c r="M35" s="18" t="n">
        <v>0</v>
      </c>
      <c r="N35" s="20" t="n">
        <v>0</v>
      </c>
      <c r="O35" s="18" t="n">
        <v>0</v>
      </c>
      <c r="P35" s="20" t="n">
        <v>0</v>
      </c>
      <c r="Q35" s="18" t="n">
        <v>4.61892458</v>
      </c>
      <c r="R35" s="20" t="n">
        <v>1.12976433</v>
      </c>
    </row>
    <row r="36" spans="1:18">
      <c r="A36" s="15" t="s">
        <v>460</v>
      </c>
      <c r="B36" s="17" t="n">
        <v>3332</v>
      </c>
      <c r="C36" s="18">
        <f>(2929.0/B36*100)</f>
        <v/>
      </c>
      <c r="D36" s="19" t="n">
        <v>403</v>
      </c>
      <c r="E36" s="18" t="n">
        <v>60.00401497</v>
      </c>
      <c r="F36" s="20" t="n">
        <v>2.45230672</v>
      </c>
      <c r="G36" s="18" t="n">
        <v>31.03836727</v>
      </c>
      <c r="H36" s="20" t="n">
        <v>2.09499441</v>
      </c>
      <c r="I36" s="18" t="s">
        <v>431</v>
      </c>
      <c r="J36" s="20" t="s">
        <v>431</v>
      </c>
      <c r="K36" s="18" t="n">
        <v>0.56633727</v>
      </c>
      <c r="L36" s="20" t="n">
        <v>0.32682873</v>
      </c>
      <c r="M36" s="18" t="n">
        <v>0.27888745</v>
      </c>
      <c r="N36" s="20" t="n">
        <v>0.29295182</v>
      </c>
      <c r="O36" s="18" t="n">
        <v>0</v>
      </c>
      <c r="P36" s="20" t="n">
        <v>0</v>
      </c>
      <c r="Q36" s="18" t="n">
        <v>8.11239305</v>
      </c>
      <c r="R36" s="20" t="n">
        <v>1.45819995</v>
      </c>
    </row>
    <row r="37" spans="1:18">
      <c r="A37" s="15" t="s">
        <v>461</v>
      </c>
      <c r="B37" s="17" t="n">
        <v>2727</v>
      </c>
      <c r="C37" s="18">
        <f>(2402.0/B37*100)</f>
        <v/>
      </c>
      <c r="D37" s="19" t="n">
        <v>325</v>
      </c>
      <c r="E37" s="18" t="n">
        <v>52.34016611</v>
      </c>
      <c r="F37" s="20" t="n">
        <v>2.99762555</v>
      </c>
      <c r="G37" s="18" t="n">
        <v>36.74661877</v>
      </c>
      <c r="H37" s="20" t="n">
        <v>2.68699219</v>
      </c>
      <c r="I37" s="18" t="s">
        <v>431</v>
      </c>
      <c r="J37" s="20" t="s">
        <v>431</v>
      </c>
      <c r="K37" s="18" t="n">
        <v>1.02791332</v>
      </c>
      <c r="L37" s="20" t="n">
        <v>0.58903131</v>
      </c>
      <c r="M37" s="18" t="n">
        <v>0</v>
      </c>
      <c r="N37" s="20" t="n">
        <v>0</v>
      </c>
      <c r="O37" s="18" t="n">
        <v>0</v>
      </c>
      <c r="P37" s="20" t="n">
        <v>0</v>
      </c>
      <c r="Q37" s="18" t="n">
        <v>9.88530179</v>
      </c>
      <c r="R37" s="20" t="n">
        <v>1.63353765</v>
      </c>
    </row>
    <row r="38" spans="1:18">
      <c r="A38" s="15" t="s">
        <v>462</v>
      </c>
      <c r="B38" s="17" t="n">
        <v>3053</v>
      </c>
      <c r="C38" s="18">
        <f>(2540.0/B38*100)</f>
        <v/>
      </c>
      <c r="D38" s="19" t="n">
        <v>513</v>
      </c>
      <c r="E38" s="18" t="n">
        <v>63.30064705</v>
      </c>
      <c r="F38" s="20" t="n">
        <v>2.22608259</v>
      </c>
      <c r="G38" s="18" t="n">
        <v>27.42804696</v>
      </c>
      <c r="H38" s="20" t="n">
        <v>2.06465138</v>
      </c>
      <c r="I38" s="18" t="s">
        <v>431</v>
      </c>
      <c r="J38" s="20" t="s">
        <v>431</v>
      </c>
      <c r="K38" s="18" t="n">
        <v>1.37727496</v>
      </c>
      <c r="L38" s="20" t="n">
        <v>0.50886663</v>
      </c>
      <c r="M38" s="18" t="n">
        <v>0.16492325</v>
      </c>
      <c r="N38" s="20" t="n">
        <v>0.16390184</v>
      </c>
      <c r="O38" s="18" t="n">
        <v>0</v>
      </c>
      <c r="P38" s="20" t="n">
        <v>0</v>
      </c>
      <c r="Q38" s="18" t="n">
        <v>7.72910777</v>
      </c>
      <c r="R38" s="20" t="n">
        <v>1.37804274</v>
      </c>
    </row>
    <row r="39" spans="1:18">
      <c r="A39" s="15" t="s">
        <v>463</v>
      </c>
      <c r="B39" s="17" t="n">
        <v>2957</v>
      </c>
      <c r="C39" s="18">
        <f>(2592.0/B39*100)</f>
        <v/>
      </c>
      <c r="D39" s="19" t="n">
        <v>365</v>
      </c>
      <c r="E39" s="18" t="n">
        <v>74.87200283999999</v>
      </c>
      <c r="F39" s="20" t="n">
        <v>2.63033938</v>
      </c>
      <c r="G39" s="18" t="n">
        <v>15.10148558</v>
      </c>
      <c r="H39" s="20" t="n">
        <v>2.19048373</v>
      </c>
      <c r="I39" s="18" t="s">
        <v>431</v>
      </c>
      <c r="J39" s="20" t="s">
        <v>431</v>
      </c>
      <c r="K39" s="18" t="n">
        <v>0.27796175</v>
      </c>
      <c r="L39" s="20" t="n">
        <v>0.26882528</v>
      </c>
      <c r="M39" s="18" t="n">
        <v>0.24481936</v>
      </c>
      <c r="N39" s="20" t="n">
        <v>0.2503347</v>
      </c>
      <c r="O39" s="18" t="n">
        <v>0</v>
      </c>
      <c r="P39" s="20" t="n">
        <v>0</v>
      </c>
      <c r="Q39" s="18" t="n">
        <v>9.503730470000001</v>
      </c>
      <c r="R39" s="20" t="n">
        <v>1.91835883</v>
      </c>
    </row>
    <row r="40" spans="1:18">
      <c r="A40" s="15" t="s">
        <v>464</v>
      </c>
      <c r="B40" s="17" t="n">
        <v>7235</v>
      </c>
      <c r="C40" s="18">
        <f>(6353.0/B40*100)</f>
        <v/>
      </c>
      <c r="D40" s="19" t="n">
        <v>882</v>
      </c>
      <c r="E40" s="18" t="n">
        <v>47.05666558</v>
      </c>
      <c r="F40" s="20" t="n">
        <v>3.01449899</v>
      </c>
      <c r="G40" s="18" t="n">
        <v>44.70844432</v>
      </c>
      <c r="H40" s="20" t="n">
        <v>2.84268702</v>
      </c>
      <c r="I40" s="18" t="s">
        <v>431</v>
      </c>
      <c r="J40" s="20" t="s">
        <v>431</v>
      </c>
      <c r="K40" s="18" t="n">
        <v>0.59633784</v>
      </c>
      <c r="L40" s="20" t="n">
        <v>0.28840174</v>
      </c>
      <c r="M40" s="18" t="n">
        <v>0.29708949</v>
      </c>
      <c r="N40" s="20" t="n">
        <v>0.29324644</v>
      </c>
      <c r="O40" s="18" t="n">
        <v>0</v>
      </c>
      <c r="P40" s="20" t="n">
        <v>0</v>
      </c>
      <c r="Q40" s="18" t="n">
        <v>7.34146278</v>
      </c>
      <c r="R40" s="20" t="n">
        <v>1.43851136</v>
      </c>
    </row>
    <row r="41" spans="1:18">
      <c r="A41" s="15" t="s">
        <v>465</v>
      </c>
      <c r="B41" s="17" t="n">
        <v>2858</v>
      </c>
      <c r="C41" s="18">
        <f>(2509.0/B41*100)</f>
        <v/>
      </c>
      <c r="D41" s="19" t="n">
        <v>349</v>
      </c>
      <c r="E41" s="18" t="n">
        <v>49.5391047</v>
      </c>
      <c r="F41" s="20" t="n">
        <v>2.69581095</v>
      </c>
      <c r="G41" s="18" t="n">
        <v>47.74717865</v>
      </c>
      <c r="H41" s="20" t="n">
        <v>2.8617641</v>
      </c>
      <c r="I41" s="18" t="s">
        <v>431</v>
      </c>
      <c r="J41" s="20" t="s">
        <v>431</v>
      </c>
      <c r="K41" s="18" t="n">
        <v>0.45842689</v>
      </c>
      <c r="L41" s="20" t="n">
        <v>0.31637052</v>
      </c>
      <c r="M41" s="18" t="n">
        <v>0</v>
      </c>
      <c r="N41" s="20" t="n">
        <v>0</v>
      </c>
      <c r="O41" s="18" t="n">
        <v>0</v>
      </c>
      <c r="P41" s="20" t="n">
        <v>0</v>
      </c>
      <c r="Q41" s="18" t="n">
        <v>2.25528976</v>
      </c>
      <c r="R41" s="20" t="n">
        <v>0.63189785</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(9925.0/B46*100)</f>
        <v/>
      </c>
      <c r="D46" s="19" t="n">
        <v>1143</v>
      </c>
      <c r="E46" s="18" t="n">
        <v>74.29040765000001</v>
      </c>
      <c r="F46" s="20" t="n">
        <v>1.7562195</v>
      </c>
      <c r="G46" s="18" t="n">
        <v>13.11992567</v>
      </c>
      <c r="H46" s="20" t="n">
        <v>1.64688049</v>
      </c>
      <c r="I46" s="18" t="s">
        <v>431</v>
      </c>
      <c r="J46" s="20" t="s">
        <v>431</v>
      </c>
      <c r="K46" s="18" t="n">
        <v>1.16844918</v>
      </c>
      <c r="L46" s="20" t="n">
        <v>0.37049073</v>
      </c>
      <c r="M46" s="18" t="n">
        <v>0.10696045</v>
      </c>
      <c r="N46" s="20" t="n">
        <v>0.05639837</v>
      </c>
      <c r="O46" s="18" t="n">
        <v>0</v>
      </c>
      <c r="P46" s="20" t="n">
        <v>0</v>
      </c>
      <c r="Q46" s="18" t="n">
        <v>11.31425705</v>
      </c>
      <c r="R46" s="20" t="n">
        <v>1.09474137</v>
      </c>
    </row>
    <row r="47" spans="1:18">
      <c r="A47" s="15" t="s">
        <v>471</v>
      </c>
      <c r="B47" s="17" t="n">
        <v>3105</v>
      </c>
      <c r="C47" s="18">
        <f>(2733.0/B47*100)</f>
        <v/>
      </c>
      <c r="D47" s="19" t="n">
        <v>372</v>
      </c>
      <c r="E47" s="18" t="n">
        <v>62.11485768</v>
      </c>
      <c r="F47" s="20" t="n">
        <v>2.75763908</v>
      </c>
      <c r="G47" s="18" t="n">
        <v>18.81225286</v>
      </c>
      <c r="H47" s="20" t="n">
        <v>2.3431048</v>
      </c>
      <c r="I47" s="18" t="s">
        <v>431</v>
      </c>
      <c r="J47" s="20" t="s">
        <v>431</v>
      </c>
      <c r="K47" s="18" t="n">
        <v>1.31027466</v>
      </c>
      <c r="L47" s="20" t="n">
        <v>0.61022375</v>
      </c>
      <c r="M47" s="18" t="n">
        <v>0</v>
      </c>
      <c r="N47" s="20" t="n">
        <v>0</v>
      </c>
      <c r="O47" s="18" t="n">
        <v>0</v>
      </c>
      <c r="P47" s="20" t="n">
        <v>0</v>
      </c>
      <c r="Q47" s="18" t="n">
        <v>17.76261481</v>
      </c>
      <c r="R47" s="20" t="n">
        <v>2.47450124</v>
      </c>
    </row>
    <row r="48" spans="1:18">
      <c r="A48" s="15" t="s">
        <v>472</v>
      </c>
      <c r="B48" s="17" t="n">
        <v>5159</v>
      </c>
      <c r="C48" s="18">
        <f>(4503.0/B48*100)</f>
        <v/>
      </c>
      <c r="D48" s="19" t="n">
        <v>656</v>
      </c>
      <c r="E48" s="18" t="n">
        <v>57.42378924</v>
      </c>
      <c r="F48" s="20" t="n">
        <v>2.44973049</v>
      </c>
      <c r="G48" s="18" t="n">
        <v>35.47033126</v>
      </c>
      <c r="H48" s="20" t="n">
        <v>2.50784359</v>
      </c>
      <c r="I48" s="18" t="s">
        <v>431</v>
      </c>
      <c r="J48" s="20" t="s">
        <v>431</v>
      </c>
      <c r="K48" s="18" t="n">
        <v>0.81276697</v>
      </c>
      <c r="L48" s="20" t="n">
        <v>0.4724993</v>
      </c>
      <c r="M48" s="18" t="n">
        <v>0</v>
      </c>
      <c r="N48" s="20" t="n">
        <v>0</v>
      </c>
      <c r="O48" s="18" t="n">
        <v>0</v>
      </c>
      <c r="P48" s="20" t="n">
        <v>0</v>
      </c>
      <c r="Q48" s="18" t="n">
        <v>6.29311253</v>
      </c>
      <c r="R48" s="20" t="n">
        <v>1.45125414</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(4986.0/B50*100)</f>
        <v/>
      </c>
      <c r="D50" s="19" t="n">
        <v>651</v>
      </c>
      <c r="E50" s="18" t="n">
        <v>69.33782692</v>
      </c>
      <c r="F50" s="20" t="n">
        <v>2.62031696</v>
      </c>
      <c r="G50" s="18" t="n">
        <v>20.83773649</v>
      </c>
      <c r="H50" s="20" t="n">
        <v>2.09740829</v>
      </c>
      <c r="I50" s="18" t="s">
        <v>431</v>
      </c>
      <c r="J50" s="20" t="s">
        <v>431</v>
      </c>
      <c r="K50" s="18" t="n">
        <v>2.68908684</v>
      </c>
      <c r="L50" s="20" t="n">
        <v>0.91832821</v>
      </c>
      <c r="M50" s="18" t="n">
        <v>0</v>
      </c>
      <c r="N50" s="20" t="n">
        <v>0</v>
      </c>
      <c r="O50" s="18" t="n">
        <v>0</v>
      </c>
      <c r="P50" s="20" t="n">
        <v>0</v>
      </c>
      <c r="Q50" s="18" t="n">
        <v>7.13534975</v>
      </c>
      <c r="R50" s="20" t="n">
        <v>1.48518359</v>
      </c>
    </row>
    <row r="51" spans="1:18">
      <c r="A51" s="15" t="s">
        <v>475</v>
      </c>
      <c r="B51" s="17" t="n">
        <v>3372</v>
      </c>
      <c r="C51" s="18">
        <f>(3057.0/B51*100)</f>
        <v/>
      </c>
      <c r="D51" s="19" t="n">
        <v>315</v>
      </c>
      <c r="E51" s="18" t="n">
        <v>79.66803516</v>
      </c>
      <c r="F51" s="20" t="n">
        <v>2.57277077</v>
      </c>
      <c r="G51" s="18" t="n">
        <v>9.13978051</v>
      </c>
      <c r="H51" s="20" t="n">
        <v>1.88579772</v>
      </c>
      <c r="I51" s="18" t="s">
        <v>431</v>
      </c>
      <c r="J51" s="20" t="s">
        <v>431</v>
      </c>
      <c r="K51" s="18" t="n">
        <v>0.47022803</v>
      </c>
      <c r="L51" s="20" t="n">
        <v>0.42282831</v>
      </c>
      <c r="M51" s="18" t="n">
        <v>0</v>
      </c>
      <c r="N51" s="20" t="n">
        <v>0</v>
      </c>
      <c r="O51" s="18" t="n">
        <v>0</v>
      </c>
      <c r="P51" s="20" t="n">
        <v>0</v>
      </c>
      <c r="Q51" s="18" t="n">
        <v>10.7219563</v>
      </c>
      <c r="R51" s="20" t="n">
        <v>2.01523756</v>
      </c>
    </row>
    <row r="52" spans="1:18">
      <c r="A52" s="15" t="s">
        <v>476</v>
      </c>
      <c r="B52" s="17" t="n">
        <v>2796</v>
      </c>
      <c r="C52" s="18">
        <f>(2448.0/B52*100)</f>
        <v/>
      </c>
      <c r="D52" s="19" t="n">
        <v>348</v>
      </c>
      <c r="E52" s="18" t="n">
        <v>76.03960832999999</v>
      </c>
      <c r="F52" s="20" t="n">
        <v>1.96654062</v>
      </c>
      <c r="G52" s="18" t="n">
        <v>18.16455141</v>
      </c>
      <c r="H52" s="20" t="n">
        <v>2.01878418</v>
      </c>
      <c r="I52" s="18" t="s">
        <v>431</v>
      </c>
      <c r="J52" s="20" t="s">
        <v>431</v>
      </c>
      <c r="K52" s="18" t="n">
        <v>0.3185223</v>
      </c>
      <c r="L52" s="20" t="n">
        <v>0.3185284</v>
      </c>
      <c r="M52" s="18" t="n">
        <v>0</v>
      </c>
      <c r="N52" s="20" t="n">
        <v>0</v>
      </c>
      <c r="O52" s="18" t="n">
        <v>0</v>
      </c>
      <c r="P52" s="20" t="n">
        <v>0</v>
      </c>
      <c r="Q52" s="18" t="n">
        <v>5.47731796</v>
      </c>
      <c r="R52" s="20" t="n">
        <v>1.05784921</v>
      </c>
    </row>
    <row r="53" spans="1:18">
      <c r="A53" s="15" t="s">
        <v>477</v>
      </c>
      <c r="B53" s="17" t="n">
        <v>2811</v>
      </c>
      <c r="C53" s="18">
        <f>(2466.0/B53*100)</f>
        <v/>
      </c>
      <c r="D53" s="19" t="n">
        <v>345</v>
      </c>
      <c r="E53" s="18" t="n">
        <v>57.77702204</v>
      </c>
      <c r="F53" s="20" t="n">
        <v>2.80187263</v>
      </c>
      <c r="G53" s="18" t="n">
        <v>20.89373452</v>
      </c>
      <c r="H53" s="20" t="n">
        <v>2.51533985</v>
      </c>
      <c r="I53" s="18" t="s">
        <v>431</v>
      </c>
      <c r="J53" s="20" t="s">
        <v>431</v>
      </c>
      <c r="K53" s="18" t="n">
        <v>2.41951286</v>
      </c>
      <c r="L53" s="20" t="n">
        <v>0.94983304</v>
      </c>
      <c r="M53" s="18" t="n">
        <v>0</v>
      </c>
      <c r="N53" s="20" t="n">
        <v>0</v>
      </c>
      <c r="O53" s="18" t="n">
        <v>0</v>
      </c>
      <c r="P53" s="20" t="n">
        <v>0</v>
      </c>
      <c r="Q53" s="18" t="n">
        <v>18.90973058</v>
      </c>
      <c r="R53" s="20" t="n">
        <v>1.97285331</v>
      </c>
    </row>
    <row r="54" spans="1:18">
      <c r="A54" s="15" t="s">
        <v>478</v>
      </c>
      <c r="B54" s="17" t="n">
        <v>2266</v>
      </c>
      <c r="C54" s="18">
        <f>(1857.0/B54*100)</f>
        <v/>
      </c>
      <c r="D54" s="19" t="n">
        <v>409</v>
      </c>
      <c r="E54" s="18" t="n">
        <v>64.59112766</v>
      </c>
      <c r="F54" s="20" t="n">
        <v>2.48473716</v>
      </c>
      <c r="G54" s="18" t="n">
        <v>1.08133774</v>
      </c>
      <c r="H54" s="20" t="n">
        <v>0.45721755</v>
      </c>
      <c r="I54" s="18" t="s">
        <v>431</v>
      </c>
      <c r="J54" s="20" t="s">
        <v>431</v>
      </c>
      <c r="K54" s="18" t="n">
        <v>15.14750771</v>
      </c>
      <c r="L54" s="20" t="n">
        <v>2.04886534</v>
      </c>
      <c r="M54" s="18" t="n">
        <v>0.24346317</v>
      </c>
      <c r="N54" s="20" t="n">
        <v>0.23462787</v>
      </c>
      <c r="O54" s="18" t="n">
        <v>0</v>
      </c>
      <c r="P54" s="20" t="n">
        <v>0</v>
      </c>
      <c r="Q54" s="18" t="n">
        <v>18.93656371</v>
      </c>
      <c r="R54" s="20" t="n">
        <v>1.95773698</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(2351.0/B56*100)</f>
        <v/>
      </c>
      <c r="D56" s="19" t="n">
        <v>333</v>
      </c>
      <c r="E56" s="18" t="n">
        <v>54.07280549</v>
      </c>
      <c r="F56" s="20" t="n">
        <v>2.76818242</v>
      </c>
      <c r="G56" s="18" t="n">
        <v>41.74334134</v>
      </c>
      <c r="H56" s="20" t="n">
        <v>2.43139182</v>
      </c>
      <c r="I56" s="18" t="s">
        <v>431</v>
      </c>
      <c r="J56" s="20" t="s">
        <v>431</v>
      </c>
      <c r="K56" s="18" t="n">
        <v>0.42701137</v>
      </c>
      <c r="L56" s="20" t="n">
        <v>0.42167275</v>
      </c>
      <c r="M56" s="18" t="n">
        <v>0</v>
      </c>
      <c r="N56" s="20" t="n">
        <v>0</v>
      </c>
      <c r="O56" s="18" t="n">
        <v>0</v>
      </c>
      <c r="P56" s="20" t="n">
        <v>0</v>
      </c>
      <c r="Q56" s="18" t="n">
        <v>3.7568418</v>
      </c>
      <c r="R56" s="20" t="n">
        <v>1.08002227</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(2919.0/B61*100)</f>
        <v/>
      </c>
      <c r="D61" s="19" t="n">
        <v>405</v>
      </c>
      <c r="E61" s="18" t="n">
        <v>67.04263681</v>
      </c>
      <c r="F61" s="20" t="n">
        <v>2.49772867</v>
      </c>
      <c r="G61" s="18" t="n">
        <v>25.48668908</v>
      </c>
      <c r="H61" s="20" t="n">
        <v>2.31266263</v>
      </c>
      <c r="I61" s="18" t="s">
        <v>431</v>
      </c>
      <c r="J61" s="20" t="s">
        <v>431</v>
      </c>
      <c r="K61" s="18" t="n">
        <v>0.25399349</v>
      </c>
      <c r="L61" s="20" t="n">
        <v>0.17708166</v>
      </c>
      <c r="M61" s="18" t="n">
        <v>0</v>
      </c>
      <c r="N61" s="20" t="n">
        <v>0</v>
      </c>
      <c r="O61" s="18" t="n">
        <v>0</v>
      </c>
      <c r="P61" s="20" t="n">
        <v>0</v>
      </c>
      <c r="Q61" s="18" t="n">
        <v>7.21668063</v>
      </c>
      <c r="R61" s="20" t="n">
        <v>1.43419432</v>
      </c>
    </row>
    <row r="62" spans="1:18">
      <c r="A62" s="15" t="s">
        <v>486</v>
      </c>
      <c r="B62" s="17" t="n">
        <v>2246</v>
      </c>
      <c r="C62" s="18">
        <f>(1981.0/B62*100)</f>
        <v/>
      </c>
      <c r="D62" s="19" t="n">
        <v>265</v>
      </c>
      <c r="E62" s="18" t="n">
        <v>54.35635459</v>
      </c>
      <c r="F62" s="20" t="n">
        <v>2.87507081</v>
      </c>
      <c r="G62" s="18" t="n">
        <v>43.36798248</v>
      </c>
      <c r="H62" s="20" t="n">
        <v>2.80530081</v>
      </c>
      <c r="I62" s="18" t="s">
        <v>431</v>
      </c>
      <c r="J62" s="20" t="s">
        <v>431</v>
      </c>
      <c r="K62" s="18" t="n">
        <v>0</v>
      </c>
      <c r="L62" s="20" t="n">
        <v>0</v>
      </c>
      <c r="M62" s="18" t="n">
        <v>0</v>
      </c>
      <c r="N62" s="20" t="n">
        <v>0</v>
      </c>
      <c r="O62" s="18" t="n">
        <v>0</v>
      </c>
      <c r="P62" s="20" t="n">
        <v>0</v>
      </c>
      <c r="Q62" s="18" t="n">
        <v>2.27566293</v>
      </c>
      <c r="R62" s="20" t="n">
        <v>0.9320120200000001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(2542.0/B66*100)</f>
        <v/>
      </c>
      <c r="D66" s="19" t="n">
        <v>352</v>
      </c>
      <c r="E66" s="18" t="n">
        <v>64.39663066</v>
      </c>
      <c r="F66" s="20" t="n">
        <v>2.15988511</v>
      </c>
      <c r="G66" s="18" t="n">
        <v>12.32247491</v>
      </c>
      <c r="H66" s="20" t="n">
        <v>1.74619092</v>
      </c>
      <c r="I66" s="18" t="s">
        <v>431</v>
      </c>
      <c r="J66" s="20" t="s">
        <v>431</v>
      </c>
      <c r="K66" s="18" t="n">
        <v>2.1617343</v>
      </c>
      <c r="L66" s="20" t="n">
        <v>0.75764451</v>
      </c>
      <c r="M66" s="18" t="n">
        <v>0.25423209</v>
      </c>
      <c r="N66" s="20" t="n">
        <v>0.25432992</v>
      </c>
      <c r="O66" s="18" t="n">
        <v>0</v>
      </c>
      <c r="P66" s="20" t="n">
        <v>0</v>
      </c>
      <c r="Q66" s="18" t="n">
        <v>20.86492804</v>
      </c>
      <c r="R66" s="20" t="n">
        <v>2.02266037</v>
      </c>
    </row>
    <row r="67" spans="1:18">
      <c r="A67" s="15" t="s">
        <v>491</v>
      </c>
      <c r="B67" s="17" t="n">
        <v>3511</v>
      </c>
      <c r="C67" s="18">
        <f>(3137.0/B67*100)</f>
        <v/>
      </c>
      <c r="D67" s="19" t="n">
        <v>374</v>
      </c>
      <c r="E67" s="18" t="n">
        <v>77.80951879</v>
      </c>
      <c r="F67" s="20" t="n">
        <v>2.58710758</v>
      </c>
      <c r="G67" s="18" t="n">
        <v>14.7433131</v>
      </c>
      <c r="H67" s="20" t="n">
        <v>2.24456439</v>
      </c>
      <c r="I67" s="18" t="s">
        <v>431</v>
      </c>
      <c r="J67" s="20" t="s">
        <v>431</v>
      </c>
      <c r="K67" s="18" t="n">
        <v>0.35209904</v>
      </c>
      <c r="L67" s="20" t="n">
        <v>0.34941073</v>
      </c>
      <c r="M67" s="18" t="n">
        <v>0</v>
      </c>
      <c r="N67" s="20" t="n">
        <v>0</v>
      </c>
      <c r="O67" s="18" t="n">
        <v>0</v>
      </c>
      <c r="P67" s="20" t="n">
        <v>0</v>
      </c>
      <c r="Q67" s="18" t="n">
        <v>7.09506907</v>
      </c>
      <c r="R67" s="20" t="n">
        <v>1.46989674</v>
      </c>
    </row>
    <row r="68" spans="1:18">
      <c r="A68" s="15" t="s">
        <v>492</v>
      </c>
      <c r="B68" s="17" t="n">
        <v>6049</v>
      </c>
      <c r="C68" s="18">
        <f>(5052.0/B68*100)</f>
        <v/>
      </c>
      <c r="D68" s="19" t="n">
        <v>997</v>
      </c>
      <c r="E68" s="18" t="n">
        <v>60.25798287</v>
      </c>
      <c r="F68" s="20" t="n">
        <v>1.61004697</v>
      </c>
      <c r="G68" s="18" t="n">
        <v>17.16963326</v>
      </c>
      <c r="H68" s="20" t="n">
        <v>1.33424084</v>
      </c>
      <c r="I68" s="18" t="s">
        <v>431</v>
      </c>
      <c r="J68" s="20" t="s">
        <v>431</v>
      </c>
      <c r="K68" s="18" t="n">
        <v>4.88941704</v>
      </c>
      <c r="L68" s="20" t="n">
        <v>0.65557256</v>
      </c>
      <c r="M68" s="18" t="n">
        <v>0</v>
      </c>
      <c r="N68" s="20" t="n">
        <v>0</v>
      </c>
      <c r="O68" s="18" t="n">
        <v>0</v>
      </c>
      <c r="P68" s="20" t="n">
        <v>0</v>
      </c>
      <c r="Q68" s="18" t="n">
        <v>17.68296684</v>
      </c>
      <c r="R68" s="20" t="n">
        <v>1.31724894</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(2582.0/B70*100)</f>
        <v/>
      </c>
      <c r="D70" s="19" t="n">
        <v>347</v>
      </c>
      <c r="E70" s="18" t="n">
        <v>68.25536975</v>
      </c>
      <c r="F70" s="20" t="n">
        <v>3.19131744</v>
      </c>
      <c r="G70" s="18" t="n">
        <v>23.84024248</v>
      </c>
      <c r="H70" s="20" t="n">
        <v>3.08668438</v>
      </c>
      <c r="I70" s="18" t="s">
        <v>431</v>
      </c>
      <c r="J70" s="20" t="s">
        <v>431</v>
      </c>
      <c r="K70" s="18" t="n">
        <v>0.38109949</v>
      </c>
      <c r="L70" s="20" t="n">
        <v>0.27693152</v>
      </c>
      <c r="M70" s="18" t="n">
        <v>0</v>
      </c>
      <c r="N70" s="20" t="n">
        <v>0</v>
      </c>
      <c r="O70" s="18" t="n">
        <v>0</v>
      </c>
      <c r="P70" s="20" t="n">
        <v>0</v>
      </c>
      <c r="Q70" s="18" t="n">
        <v>7.52328828</v>
      </c>
      <c r="R70" s="20" t="n">
        <v>1.26052987</v>
      </c>
    </row>
    <row r="71" spans="1:18">
      <c r="A71" s="15" t="s">
        <v>495</v>
      </c>
      <c r="B71" s="17" t="n">
        <v>3142</v>
      </c>
      <c r="C71" s="18">
        <f>(2755.0/B71*100)</f>
        <v/>
      </c>
      <c r="D71" s="19" t="n">
        <v>387</v>
      </c>
      <c r="E71" s="18" t="n">
        <v>39.24682639</v>
      </c>
      <c r="F71" s="20" t="n">
        <v>2.30826877</v>
      </c>
      <c r="G71" s="18" t="n">
        <v>57.80648892</v>
      </c>
      <c r="H71" s="20" t="n">
        <v>2.4866857</v>
      </c>
      <c r="I71" s="18" t="s">
        <v>431</v>
      </c>
      <c r="J71" s="20" t="s">
        <v>431</v>
      </c>
      <c r="K71" s="18" t="n">
        <v>0.23655429</v>
      </c>
      <c r="L71" s="20" t="n">
        <v>0.23908564</v>
      </c>
      <c r="M71" s="18" t="n">
        <v>0.13423767</v>
      </c>
      <c r="N71" s="20" t="n">
        <v>0.13413363</v>
      </c>
      <c r="O71" s="18" t="n">
        <v>0</v>
      </c>
      <c r="P71" s="20" t="n">
        <v>0</v>
      </c>
      <c r="Q71" s="18" t="n">
        <v>2.57589273</v>
      </c>
      <c r="R71" s="20" t="n">
        <v>0.60090541</v>
      </c>
    </row>
    <row r="72" spans="1:18">
      <c r="A72" s="15" t="s">
        <v>496</v>
      </c>
      <c r="B72" s="17" t="n">
        <v>3889</v>
      </c>
      <c r="C72" s="18">
        <f>(3425.0/B72*100)</f>
        <v/>
      </c>
      <c r="D72" s="19" t="n">
        <v>464</v>
      </c>
      <c r="E72" s="18" t="n">
        <v>53.00613144</v>
      </c>
      <c r="F72" s="20" t="n">
        <v>2.66553914</v>
      </c>
      <c r="G72" s="18" t="n">
        <v>41.86508497</v>
      </c>
      <c r="H72" s="20" t="n">
        <v>2.47766656</v>
      </c>
      <c r="I72" s="18" t="s">
        <v>431</v>
      </c>
      <c r="J72" s="20" t="s">
        <v>431</v>
      </c>
      <c r="K72" s="18" t="n">
        <v>0.43794447</v>
      </c>
      <c r="L72" s="20" t="n">
        <v>0.31746472</v>
      </c>
      <c r="M72" s="18" t="n">
        <v>0</v>
      </c>
      <c r="N72" s="20" t="n">
        <v>0</v>
      </c>
      <c r="O72" s="18" t="n">
        <v>0</v>
      </c>
      <c r="P72" s="20" t="n">
        <v>0</v>
      </c>
      <c r="Q72" s="18" t="n">
        <v>4.69083912</v>
      </c>
      <c r="R72" s="20" t="n">
        <v>1.10156051</v>
      </c>
    </row>
    <row r="73" spans="1:18">
      <c r="A73" s="15" t="s">
        <v>497</v>
      </c>
      <c r="B73" s="17" t="n">
        <v>3597</v>
      </c>
      <c r="C73" s="18">
        <f>(3166.0/B73*100)</f>
        <v/>
      </c>
      <c r="D73" s="19" t="n">
        <v>431</v>
      </c>
      <c r="E73" s="18" t="n">
        <v>82.47667796</v>
      </c>
      <c r="F73" s="20" t="n">
        <v>2.35384319</v>
      </c>
      <c r="G73" s="18" t="n">
        <v>15.14902275</v>
      </c>
      <c r="H73" s="20" t="n">
        <v>2.25079909</v>
      </c>
      <c r="I73" s="18" t="s">
        <v>431</v>
      </c>
      <c r="J73" s="20" t="s">
        <v>431</v>
      </c>
      <c r="K73" s="18" t="n">
        <v>0</v>
      </c>
      <c r="L73" s="20" t="n">
        <v>0</v>
      </c>
      <c r="M73" s="18" t="n">
        <v>0.33628478</v>
      </c>
      <c r="N73" s="20" t="n">
        <v>0.33244086</v>
      </c>
      <c r="O73" s="18" t="n">
        <v>0</v>
      </c>
      <c r="P73" s="20" t="n">
        <v>0</v>
      </c>
      <c r="Q73" s="18" t="n">
        <v>2.03801452</v>
      </c>
      <c r="R73" s="20" t="n">
        <v>0.85443039</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(2131.0/B75*100)</f>
        <v/>
      </c>
      <c r="D75" s="19" t="n">
        <v>275</v>
      </c>
      <c r="E75" s="18" t="n">
        <v>61.82528592</v>
      </c>
      <c r="F75" s="20" t="n">
        <v>3.20846251</v>
      </c>
      <c r="G75" s="18" t="n">
        <v>2.14706723</v>
      </c>
      <c r="H75" s="20" t="n">
        <v>0.8350521</v>
      </c>
      <c r="I75" s="18" t="s">
        <v>431</v>
      </c>
      <c r="J75" s="20" t="s">
        <v>431</v>
      </c>
      <c r="K75" s="18" t="n">
        <v>3.75528044</v>
      </c>
      <c r="L75" s="20" t="n">
        <v>1.25024764</v>
      </c>
      <c r="M75" s="18" t="n">
        <v>0</v>
      </c>
      <c r="N75" s="20" t="n">
        <v>0</v>
      </c>
      <c r="O75" s="18" t="n">
        <v>0</v>
      </c>
      <c r="P75" s="20" t="n">
        <v>0</v>
      </c>
      <c r="Q75" s="18" t="n">
        <v>32.27236641</v>
      </c>
      <c r="R75" s="20" t="n">
        <v>2.95522523</v>
      </c>
    </row>
    <row r="76" spans="1:18">
      <c r="A76" s="15" t="s">
        <v>500</v>
      </c>
      <c r="B76" s="17" t="n">
        <v>7052</v>
      </c>
      <c r="C76" s="18">
        <f>(6209.0/B76*100)</f>
        <v/>
      </c>
      <c r="D76" s="19" t="n">
        <v>843</v>
      </c>
      <c r="E76" s="18" t="n">
        <v>66.55063244</v>
      </c>
      <c r="F76" s="20" t="n">
        <v>1.69699204</v>
      </c>
      <c r="G76" s="18" t="n">
        <v>20.72046365</v>
      </c>
      <c r="H76" s="20" t="n">
        <v>1.58306143</v>
      </c>
      <c r="I76" s="18" t="s">
        <v>431</v>
      </c>
      <c r="J76" s="20" t="s">
        <v>431</v>
      </c>
      <c r="K76" s="18" t="n">
        <v>1.69062186</v>
      </c>
      <c r="L76" s="20" t="n">
        <v>0.5100342</v>
      </c>
      <c r="M76" s="18" t="n">
        <v>0.37819918</v>
      </c>
      <c r="N76" s="20" t="n">
        <v>0.23785105</v>
      </c>
      <c r="O76" s="18" t="n">
        <v>0</v>
      </c>
      <c r="P76" s="20" t="n">
        <v>0</v>
      </c>
      <c r="Q76" s="18" t="n">
        <v>10.66008286</v>
      </c>
      <c r="R76" s="20" t="n">
        <v>1.17411246</v>
      </c>
    </row>
    <row r="77" spans="1:18">
      <c r="A77" s="15" t="s">
        <v>501</v>
      </c>
      <c r="B77" s="17" t="n">
        <v>2908</v>
      </c>
      <c r="C77" s="18">
        <f>(2588.0/B77*100)</f>
        <v/>
      </c>
      <c r="D77" s="19" t="n">
        <v>320</v>
      </c>
      <c r="E77" s="18" t="n">
        <v>57.7262686</v>
      </c>
      <c r="F77" s="20" t="n">
        <v>2.5239655</v>
      </c>
      <c r="G77" s="18" t="n">
        <v>19.56552025</v>
      </c>
      <c r="H77" s="20" t="n">
        <v>2.01896873</v>
      </c>
      <c r="I77" s="18" t="s">
        <v>431</v>
      </c>
      <c r="J77" s="20" t="s">
        <v>431</v>
      </c>
      <c r="K77" s="18" t="n">
        <v>3.43522052</v>
      </c>
      <c r="L77" s="20" t="n">
        <v>1.1048544</v>
      </c>
      <c r="M77" s="18" t="n">
        <v>0</v>
      </c>
      <c r="N77" s="20" t="n">
        <v>0</v>
      </c>
      <c r="O77" s="18" t="n">
        <v>0</v>
      </c>
      <c r="P77" s="20" t="n">
        <v>0</v>
      </c>
      <c r="Q77" s="18" t="n">
        <v>19.27299063</v>
      </c>
      <c r="R77" s="20" t="n">
        <v>2.17640305</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(3656.0/B81*100)</f>
        <v/>
      </c>
      <c r="D81" s="19" t="n">
        <v>507</v>
      </c>
      <c r="E81" s="18" t="n">
        <v>82.30916831</v>
      </c>
      <c r="F81" s="20" t="n">
        <v>2.14652711</v>
      </c>
      <c r="G81" s="18" t="n">
        <v>15.02121328</v>
      </c>
      <c r="H81" s="20" t="n">
        <v>2.06121411</v>
      </c>
      <c r="I81" s="18" t="s">
        <v>431</v>
      </c>
      <c r="J81" s="20" t="s">
        <v>431</v>
      </c>
      <c r="K81" s="18" t="n">
        <v>0.21657764</v>
      </c>
      <c r="L81" s="20" t="n">
        <v>0.15230674</v>
      </c>
      <c r="M81" s="18" t="n">
        <v>0</v>
      </c>
      <c r="N81" s="20" t="n">
        <v>0</v>
      </c>
      <c r="O81" s="18" t="n">
        <v>0</v>
      </c>
      <c r="P81" s="20" t="n">
        <v>0</v>
      </c>
      <c r="Q81" s="18" t="n">
        <v>2.45304077</v>
      </c>
      <c r="R81" s="20" t="n">
        <v>0.9116547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(6463.0/B7*100)</f>
        <v/>
      </c>
      <c r="D7" s="19" t="n">
        <v>904</v>
      </c>
      <c r="E7" s="18" t="n">
        <v>12.79709859</v>
      </c>
      <c r="F7" s="20" t="n">
        <v>1.27724774</v>
      </c>
      <c r="G7" s="18" t="n">
        <v>86.39350372</v>
      </c>
      <c r="H7" s="20" t="n">
        <v>1.36097987</v>
      </c>
      <c r="I7" s="18" t="s">
        <v>431</v>
      </c>
      <c r="J7" s="20" t="s">
        <v>431</v>
      </c>
      <c r="K7" s="18" t="n">
        <v>0.33996211</v>
      </c>
      <c r="L7" s="20" t="n">
        <v>0.2215752</v>
      </c>
      <c r="M7" s="18" t="n">
        <v>0</v>
      </c>
      <c r="N7" s="20" t="n">
        <v>0</v>
      </c>
      <c r="O7" s="18" t="n">
        <v>0</v>
      </c>
      <c r="P7" s="20" t="n">
        <v>0</v>
      </c>
      <c r="Q7" s="18" t="n">
        <v>0.46943559</v>
      </c>
      <c r="R7" s="20" t="n">
        <v>0.26173274</v>
      </c>
    </row>
    <row r="8" spans="1:18">
      <c r="A8" s="15" t="s">
        <v>432</v>
      </c>
      <c r="B8" s="17" t="n">
        <v>3564</v>
      </c>
      <c r="C8" s="18">
        <f>(3141.0/B8*100)</f>
        <v/>
      </c>
      <c r="D8" s="19" t="n">
        <v>423</v>
      </c>
      <c r="E8" s="18" t="n">
        <v>16.65176322</v>
      </c>
      <c r="F8" s="20" t="n">
        <v>2.08855504</v>
      </c>
      <c r="G8" s="18" t="n">
        <v>81.45127223999999</v>
      </c>
      <c r="H8" s="20" t="n">
        <v>2.17774749</v>
      </c>
      <c r="I8" s="18" t="s">
        <v>431</v>
      </c>
      <c r="J8" s="20" t="s">
        <v>431</v>
      </c>
      <c r="K8" s="18" t="n">
        <v>0.13155625</v>
      </c>
      <c r="L8" s="20" t="n">
        <v>0.12943162</v>
      </c>
      <c r="M8" s="18" t="n">
        <v>0</v>
      </c>
      <c r="N8" s="20" t="n">
        <v>0</v>
      </c>
      <c r="O8" s="18" t="n">
        <v>0</v>
      </c>
      <c r="P8" s="20" t="n">
        <v>0</v>
      </c>
      <c r="Q8" s="18" t="n">
        <v>1.76540829</v>
      </c>
      <c r="R8" s="20" t="n">
        <v>0.55722775</v>
      </c>
    </row>
    <row r="9" spans="1:18">
      <c r="A9" s="15" t="s">
        <v>433</v>
      </c>
      <c r="B9" s="17" t="n">
        <v>4899</v>
      </c>
      <c r="C9" s="18">
        <f>(4333.0/B9*100)</f>
        <v/>
      </c>
      <c r="D9" s="19" t="n">
        <v>566</v>
      </c>
      <c r="E9" s="18" t="n">
        <v>23.39520708</v>
      </c>
      <c r="F9" s="20" t="n">
        <v>1.57473431</v>
      </c>
      <c r="G9" s="18" t="n">
        <v>75.24406</v>
      </c>
      <c r="H9" s="20" t="n">
        <v>1.5442444</v>
      </c>
      <c r="I9" s="18" t="s">
        <v>431</v>
      </c>
      <c r="J9" s="20" t="s">
        <v>431</v>
      </c>
      <c r="K9" s="18" t="n">
        <v>0.5628220900000001</v>
      </c>
      <c r="L9" s="20" t="n">
        <v>0.34071102</v>
      </c>
      <c r="M9" s="18" t="n">
        <v>0</v>
      </c>
      <c r="N9" s="20" t="n">
        <v>0</v>
      </c>
      <c r="O9" s="18" t="n">
        <v>0</v>
      </c>
      <c r="P9" s="20" t="n">
        <v>0</v>
      </c>
      <c r="Q9" s="18" t="n">
        <v>0.79791083</v>
      </c>
      <c r="R9" s="20" t="n">
        <v>0.34356845</v>
      </c>
    </row>
    <row r="10" spans="1:18">
      <c r="A10" s="15" t="s">
        <v>434</v>
      </c>
      <c r="B10" s="17" t="n">
        <v>10036</v>
      </c>
      <c r="C10" s="18">
        <f>(8840.0/B10*100)</f>
        <v/>
      </c>
      <c r="D10" s="19" t="n">
        <v>1196</v>
      </c>
      <c r="E10" s="18" t="n">
        <v>9.37871958</v>
      </c>
      <c r="F10" s="20" t="n">
        <v>1.23998444</v>
      </c>
      <c r="G10" s="18" t="n">
        <v>89.82718602999999</v>
      </c>
      <c r="H10" s="20" t="n">
        <v>1.30484892</v>
      </c>
      <c r="I10" s="18" t="s">
        <v>431</v>
      </c>
      <c r="J10" s="20" t="s">
        <v>431</v>
      </c>
      <c r="K10" s="18" t="n">
        <v>0.26213861</v>
      </c>
      <c r="L10" s="20" t="n">
        <v>0.18891693</v>
      </c>
      <c r="M10" s="18" t="n">
        <v>0</v>
      </c>
      <c r="N10" s="20" t="n">
        <v>0</v>
      </c>
      <c r="O10" s="18" t="n">
        <v>0</v>
      </c>
      <c r="P10" s="20" t="n">
        <v>0</v>
      </c>
      <c r="Q10" s="18" t="n">
        <v>0.53195579</v>
      </c>
      <c r="R10" s="20" t="n">
        <v>0.23281759</v>
      </c>
    </row>
    <row r="11" spans="1:18">
      <c r="A11" s="15" t="s">
        <v>435</v>
      </c>
      <c r="B11" s="17" t="n">
        <v>3553</v>
      </c>
      <c r="C11" s="18">
        <f>(3132.0/B11*100)</f>
        <v/>
      </c>
      <c r="D11" s="19" t="n">
        <v>421</v>
      </c>
      <c r="E11" s="18" t="n">
        <v>11.45455413</v>
      </c>
      <c r="F11" s="20" t="n">
        <v>1.78662658</v>
      </c>
      <c r="G11" s="18" t="n">
        <v>84.77315084</v>
      </c>
      <c r="H11" s="20" t="n">
        <v>2.0183202</v>
      </c>
      <c r="I11" s="18" t="s">
        <v>431</v>
      </c>
      <c r="J11" s="20" t="s">
        <v>431</v>
      </c>
      <c r="K11" s="18" t="n">
        <v>0.72275766</v>
      </c>
      <c r="L11" s="20" t="n">
        <v>0.72077003</v>
      </c>
      <c r="M11" s="18" t="n">
        <v>0</v>
      </c>
      <c r="N11" s="20" t="n">
        <v>0</v>
      </c>
      <c r="O11" s="18" t="n">
        <v>0</v>
      </c>
      <c r="P11" s="20" t="n">
        <v>0</v>
      </c>
      <c r="Q11" s="18" t="n">
        <v>3.04953738</v>
      </c>
      <c r="R11" s="20" t="n">
        <v>1.03484743</v>
      </c>
    </row>
    <row r="12" spans="1:18">
      <c r="A12" s="15" t="s">
        <v>436</v>
      </c>
      <c r="B12" s="17" t="n">
        <v>3472</v>
      </c>
      <c r="C12" s="18">
        <f>(3051.0/B12*100)</f>
        <v/>
      </c>
      <c r="D12" s="19" t="n">
        <v>421</v>
      </c>
      <c r="E12" s="18" t="n">
        <v>19.50875904</v>
      </c>
      <c r="F12" s="20" t="n">
        <v>2.39446152</v>
      </c>
      <c r="G12" s="18" t="n">
        <v>78.40977796999999</v>
      </c>
      <c r="H12" s="20" t="n">
        <v>2.46469785</v>
      </c>
      <c r="I12" s="18" t="s">
        <v>431</v>
      </c>
      <c r="J12" s="20" t="s">
        <v>431</v>
      </c>
      <c r="K12" s="18" t="n">
        <v>0.27373294</v>
      </c>
      <c r="L12" s="20" t="n">
        <v>0.19795576</v>
      </c>
      <c r="M12" s="18" t="n">
        <v>0</v>
      </c>
      <c r="N12" s="20" t="n">
        <v>0</v>
      </c>
      <c r="O12" s="18" t="n">
        <v>0</v>
      </c>
      <c r="P12" s="20" t="n">
        <v>0</v>
      </c>
      <c r="Q12" s="18" t="n">
        <v>1.80773004</v>
      </c>
      <c r="R12" s="20" t="n">
        <v>0.63679162</v>
      </c>
    </row>
    <row r="13" spans="1:18">
      <c r="A13" s="15" t="s">
        <v>437</v>
      </c>
      <c r="B13" s="17" t="n">
        <v>3559</v>
      </c>
      <c r="C13" s="18">
        <f>(3158.0/B13*100)</f>
        <v/>
      </c>
      <c r="D13" s="19" t="n">
        <v>401</v>
      </c>
      <c r="E13" s="18" t="n">
        <v>16.68817032</v>
      </c>
      <c r="F13" s="20" t="n">
        <v>1.79945763</v>
      </c>
      <c r="G13" s="18" t="n">
        <v>82.23157664999999</v>
      </c>
      <c r="H13" s="20" t="n">
        <v>1.84532866</v>
      </c>
      <c r="I13" s="18" t="s">
        <v>431</v>
      </c>
      <c r="J13" s="20" t="s">
        <v>431</v>
      </c>
      <c r="K13" s="18" t="n">
        <v>0.59061602</v>
      </c>
      <c r="L13" s="20" t="n">
        <v>0.27366052</v>
      </c>
      <c r="M13" s="18" t="n">
        <v>0</v>
      </c>
      <c r="N13" s="20" t="n">
        <v>0</v>
      </c>
      <c r="O13" s="18" t="n">
        <v>0</v>
      </c>
      <c r="P13" s="20" t="n">
        <v>0</v>
      </c>
      <c r="Q13" s="18" t="n">
        <v>0.48963701</v>
      </c>
      <c r="R13" s="20" t="n">
        <v>0.32327276</v>
      </c>
    </row>
    <row r="14" spans="1:18">
      <c r="A14" s="15" t="s">
        <v>438</v>
      </c>
      <c r="B14" s="17" t="n">
        <v>2799</v>
      </c>
      <c r="C14" s="18">
        <f>(2447.0/B14*100)</f>
        <v/>
      </c>
      <c r="D14" s="19" t="n">
        <v>352</v>
      </c>
      <c r="E14" s="18" t="n">
        <v>9.78300218</v>
      </c>
      <c r="F14" s="20" t="n">
        <v>1.80964492</v>
      </c>
      <c r="G14" s="18" t="n">
        <v>89.07621836</v>
      </c>
      <c r="H14" s="20" t="n">
        <v>1.85238315</v>
      </c>
      <c r="I14" s="18" t="s">
        <v>431</v>
      </c>
      <c r="J14" s="20" t="s">
        <v>431</v>
      </c>
      <c r="K14" s="18" t="n">
        <v>0.41167977</v>
      </c>
      <c r="L14" s="20" t="n">
        <v>0.28717347</v>
      </c>
      <c r="M14" s="18" t="n">
        <v>0</v>
      </c>
      <c r="N14" s="20" t="n">
        <v>0</v>
      </c>
      <c r="O14" s="18" t="n">
        <v>0</v>
      </c>
      <c r="P14" s="20" t="n">
        <v>0</v>
      </c>
      <c r="Q14" s="18" t="n">
        <v>0.72909969</v>
      </c>
      <c r="R14" s="20" t="n">
        <v>0.43540691</v>
      </c>
    </row>
    <row r="15" spans="1:18">
      <c r="A15" s="15" t="s">
        <v>439</v>
      </c>
      <c r="B15" s="17" t="n">
        <v>3019</v>
      </c>
      <c r="C15" s="18">
        <f>(2671.0/B15*100)</f>
        <v/>
      </c>
      <c r="D15" s="19" t="n">
        <v>348</v>
      </c>
      <c r="E15" s="18" t="n">
        <v>11.58886738</v>
      </c>
      <c r="F15" s="20" t="n">
        <v>1.66518118</v>
      </c>
      <c r="G15" s="18" t="n">
        <v>86.92803429999999</v>
      </c>
      <c r="H15" s="20" t="n">
        <v>1.82950644</v>
      </c>
      <c r="I15" s="18" t="s">
        <v>431</v>
      </c>
      <c r="J15" s="20" t="s">
        <v>431</v>
      </c>
      <c r="K15" s="18" t="n">
        <v>0</v>
      </c>
      <c r="L15" s="20" t="n">
        <v>0</v>
      </c>
      <c r="M15" s="18" t="n">
        <v>0</v>
      </c>
      <c r="N15" s="20" t="n">
        <v>0</v>
      </c>
      <c r="O15" s="18" t="n">
        <v>0</v>
      </c>
      <c r="P15" s="20" t="n">
        <v>0</v>
      </c>
      <c r="Q15" s="18" t="n">
        <v>1.48309832</v>
      </c>
      <c r="R15" s="20" t="n">
        <v>0.48695857</v>
      </c>
    </row>
    <row r="16" spans="1:18">
      <c r="A16" s="15" t="s">
        <v>440</v>
      </c>
      <c r="B16" s="17" t="n">
        <v>2997</v>
      </c>
      <c r="C16" s="18">
        <f>(2626.0/B16*100)</f>
        <v/>
      </c>
      <c r="D16" s="19" t="n">
        <v>371</v>
      </c>
      <c r="E16" s="18" t="n">
        <v>15.81049502</v>
      </c>
      <c r="F16" s="20" t="n">
        <v>1.88167284</v>
      </c>
      <c r="G16" s="18" t="n">
        <v>78.41219827</v>
      </c>
      <c r="H16" s="20" t="n">
        <v>1.95204451</v>
      </c>
      <c r="I16" s="18" t="s">
        <v>431</v>
      </c>
      <c r="J16" s="20" t="s">
        <v>431</v>
      </c>
      <c r="K16" s="18" t="n">
        <v>2.43174025</v>
      </c>
      <c r="L16" s="20" t="n">
        <v>1.15253221</v>
      </c>
      <c r="M16" s="18" t="n">
        <v>0</v>
      </c>
      <c r="N16" s="20" t="n">
        <v>0</v>
      </c>
      <c r="O16" s="18" t="n">
        <v>0</v>
      </c>
      <c r="P16" s="20" t="n">
        <v>0</v>
      </c>
      <c r="Q16" s="18" t="n">
        <v>3.34556646</v>
      </c>
      <c r="R16" s="20" t="n">
        <v>0.8949216800000001</v>
      </c>
    </row>
    <row r="17" spans="1:18">
      <c r="A17" s="15" t="s">
        <v>441</v>
      </c>
      <c r="B17" s="17" t="n">
        <v>3307</v>
      </c>
      <c r="C17" s="18">
        <f>(2912.0/B17*100)</f>
        <v/>
      </c>
      <c r="D17" s="19" t="n">
        <v>395</v>
      </c>
      <c r="E17" s="18" t="n">
        <v>16.75210858</v>
      </c>
      <c r="F17" s="20" t="n">
        <v>1.9807315</v>
      </c>
      <c r="G17" s="18" t="n">
        <v>80.80742379</v>
      </c>
      <c r="H17" s="20" t="n">
        <v>2.24727493</v>
      </c>
      <c r="I17" s="18" t="s">
        <v>431</v>
      </c>
      <c r="J17" s="20" t="s">
        <v>431</v>
      </c>
      <c r="K17" s="18" t="n">
        <v>1.18836991</v>
      </c>
      <c r="L17" s="20" t="n">
        <v>0.55035675</v>
      </c>
      <c r="M17" s="18" t="n">
        <v>0</v>
      </c>
      <c r="N17" s="20" t="n">
        <v>0</v>
      </c>
      <c r="O17" s="18" t="n">
        <v>0</v>
      </c>
      <c r="P17" s="20" t="n">
        <v>0</v>
      </c>
      <c r="Q17" s="18" t="n">
        <v>1.25209772</v>
      </c>
      <c r="R17" s="20" t="n">
        <v>0.60043338</v>
      </c>
    </row>
    <row r="18" spans="1:18">
      <c r="A18" s="15" t="s">
        <v>442</v>
      </c>
      <c r="B18" s="17" t="n">
        <v>2826</v>
      </c>
      <c r="C18" s="18">
        <f>(2466.0/B18*100)</f>
        <v/>
      </c>
      <c r="D18" s="19" t="n">
        <v>360</v>
      </c>
      <c r="E18" s="18" t="n">
        <v>17.51084163</v>
      </c>
      <c r="F18" s="20" t="n">
        <v>3.02744093</v>
      </c>
      <c r="G18" s="18" t="n">
        <v>78.96261471</v>
      </c>
      <c r="H18" s="20" t="n">
        <v>3.35336944</v>
      </c>
      <c r="I18" s="18" t="s">
        <v>431</v>
      </c>
      <c r="J18" s="20" t="s">
        <v>431</v>
      </c>
      <c r="K18" s="18" t="n">
        <v>0.85637058</v>
      </c>
      <c r="L18" s="20" t="n">
        <v>0.55168736</v>
      </c>
      <c r="M18" s="18" t="n">
        <v>0</v>
      </c>
      <c r="N18" s="20" t="n">
        <v>0</v>
      </c>
      <c r="O18" s="18" t="n">
        <v>0</v>
      </c>
      <c r="P18" s="20" t="n">
        <v>0</v>
      </c>
      <c r="Q18" s="18" t="n">
        <v>2.67017308</v>
      </c>
      <c r="R18" s="20" t="n">
        <v>1.00879554</v>
      </c>
    </row>
    <row r="19" spans="1:18">
      <c r="A19" s="15" t="s">
        <v>443</v>
      </c>
      <c r="B19" s="17" t="n">
        <v>2808</v>
      </c>
      <c r="C19" s="18">
        <f>(2462.0/B19*100)</f>
        <v/>
      </c>
      <c r="D19" s="19" t="n">
        <v>346</v>
      </c>
      <c r="E19" s="18" t="n">
        <v>14.23773082</v>
      </c>
      <c r="F19" s="20" t="n">
        <v>2.23733161</v>
      </c>
      <c r="G19" s="18" t="n">
        <v>85.29241858</v>
      </c>
      <c r="H19" s="20" t="n">
        <v>2.23976877</v>
      </c>
      <c r="I19" s="18" t="s">
        <v>431</v>
      </c>
      <c r="J19" s="20" t="s">
        <v>431</v>
      </c>
      <c r="K19" s="18" t="n">
        <v>0.24741171</v>
      </c>
      <c r="L19" s="20" t="n">
        <v>0.26339349</v>
      </c>
      <c r="M19" s="18" t="n">
        <v>0</v>
      </c>
      <c r="N19" s="20" t="n">
        <v>0</v>
      </c>
      <c r="O19" s="18" t="n">
        <v>0</v>
      </c>
      <c r="P19" s="20" t="n">
        <v>0</v>
      </c>
      <c r="Q19" s="18" t="n">
        <v>0.22243888</v>
      </c>
      <c r="R19" s="20" t="n">
        <v>0.22261638</v>
      </c>
    </row>
    <row r="20" spans="1:18">
      <c r="A20" s="15" t="s">
        <v>444</v>
      </c>
      <c r="B20" s="17" t="n">
        <v>1630</v>
      </c>
      <c r="C20" s="18">
        <f>(1430.0/B20*100)</f>
        <v/>
      </c>
      <c r="D20" s="19" t="n">
        <v>200</v>
      </c>
      <c r="E20" s="18" t="n">
        <v>17.67501018</v>
      </c>
      <c r="F20" s="20" t="n">
        <v>2.89070851</v>
      </c>
      <c r="G20" s="18" t="n">
        <v>79.532802</v>
      </c>
      <c r="H20" s="20" t="n">
        <v>2.89722543</v>
      </c>
      <c r="I20" s="18" t="s">
        <v>431</v>
      </c>
      <c r="J20" s="20" t="s">
        <v>431</v>
      </c>
      <c r="K20" s="18" t="n">
        <v>0.9166095</v>
      </c>
      <c r="L20" s="20" t="n">
        <v>0.64997628</v>
      </c>
      <c r="M20" s="18" t="n">
        <v>0</v>
      </c>
      <c r="N20" s="20" t="n">
        <v>0</v>
      </c>
      <c r="O20" s="18" t="n">
        <v>0</v>
      </c>
      <c r="P20" s="20" t="n">
        <v>0</v>
      </c>
      <c r="Q20" s="18" t="n">
        <v>1.87557832</v>
      </c>
      <c r="R20" s="20" t="n">
        <v>0.94626647</v>
      </c>
    </row>
    <row r="21" spans="1:18">
      <c r="A21" s="15" t="s">
        <v>445</v>
      </c>
      <c r="B21" s="17" t="n">
        <v>2908</v>
      </c>
      <c r="C21" s="18">
        <f>(2446.0/B21*100)</f>
        <v/>
      </c>
      <c r="D21" s="19" t="n">
        <v>462</v>
      </c>
      <c r="E21" s="18" t="n">
        <v>8.78114061</v>
      </c>
      <c r="F21" s="20" t="n">
        <v>1.47068114</v>
      </c>
      <c r="G21" s="18" t="n">
        <v>90.15244454</v>
      </c>
      <c r="H21" s="20" t="n">
        <v>1.54013705</v>
      </c>
      <c r="I21" s="18" t="s">
        <v>431</v>
      </c>
      <c r="J21" s="20" t="s">
        <v>431</v>
      </c>
      <c r="K21" s="18" t="n">
        <v>0.22582334</v>
      </c>
      <c r="L21" s="20" t="n">
        <v>0.22598108</v>
      </c>
      <c r="M21" s="18" t="n">
        <v>0</v>
      </c>
      <c r="N21" s="20" t="n">
        <v>0</v>
      </c>
      <c r="O21" s="18" t="n">
        <v>0</v>
      </c>
      <c r="P21" s="20" t="n">
        <v>0</v>
      </c>
      <c r="Q21" s="18" t="n">
        <v>0.84059151</v>
      </c>
      <c r="R21" s="20" t="n">
        <v>0.44184381</v>
      </c>
    </row>
    <row r="22" spans="1:18">
      <c r="A22" s="15" t="s">
        <v>446</v>
      </c>
      <c r="B22" s="17" t="n">
        <v>2931</v>
      </c>
      <c r="C22" s="18">
        <f>(2586.0/B22*100)</f>
        <v/>
      </c>
      <c r="D22" s="19" t="n">
        <v>345</v>
      </c>
      <c r="E22" s="18" t="n">
        <v>15.27193368</v>
      </c>
      <c r="F22" s="20" t="n">
        <v>1.6334565</v>
      </c>
      <c r="G22" s="18" t="n">
        <v>80.34981566</v>
      </c>
      <c r="H22" s="20" t="n">
        <v>1.93648046</v>
      </c>
      <c r="I22" s="18" t="s">
        <v>431</v>
      </c>
      <c r="J22" s="20" t="s">
        <v>431</v>
      </c>
      <c r="K22" s="18" t="n">
        <v>1.13462369</v>
      </c>
      <c r="L22" s="20" t="n">
        <v>0.6626338899999999</v>
      </c>
      <c r="M22" s="18" t="n">
        <v>0</v>
      </c>
      <c r="N22" s="20" t="n">
        <v>0</v>
      </c>
      <c r="O22" s="18" t="n">
        <v>0</v>
      </c>
      <c r="P22" s="20" t="n">
        <v>0</v>
      </c>
      <c r="Q22" s="18" t="n">
        <v>3.24362698</v>
      </c>
      <c r="R22" s="20" t="n">
        <v>1.02175268</v>
      </c>
    </row>
    <row r="23" spans="1:18">
      <c r="A23" s="15" t="s">
        <v>447</v>
      </c>
      <c r="B23" s="17" t="n">
        <v>5791</v>
      </c>
      <c r="C23" s="18">
        <f>(5106.0/B23*100)</f>
        <v/>
      </c>
      <c r="D23" s="19" t="n">
        <v>685</v>
      </c>
      <c r="E23" s="18" t="n">
        <v>9.535289990000001</v>
      </c>
      <c r="F23" s="20" t="n">
        <v>1.78677866</v>
      </c>
      <c r="G23" s="18" t="n">
        <v>88.1193473</v>
      </c>
      <c r="H23" s="20" t="n">
        <v>1.83206603</v>
      </c>
      <c r="I23" s="18" t="s">
        <v>431</v>
      </c>
      <c r="J23" s="20" t="s">
        <v>431</v>
      </c>
      <c r="K23" s="18" t="n">
        <v>1.42183829</v>
      </c>
      <c r="L23" s="20" t="n">
        <v>0.81498626</v>
      </c>
      <c r="M23" s="18" t="n">
        <v>0</v>
      </c>
      <c r="N23" s="20" t="n">
        <v>0</v>
      </c>
      <c r="O23" s="18" t="n">
        <v>0</v>
      </c>
      <c r="P23" s="20" t="n">
        <v>0</v>
      </c>
      <c r="Q23" s="18" t="n">
        <v>0.92352441</v>
      </c>
      <c r="R23" s="20" t="n">
        <v>0.5599135200000001</v>
      </c>
    </row>
    <row r="24" spans="1:18">
      <c r="A24" s="15" t="s">
        <v>448</v>
      </c>
      <c r="B24" s="17" t="n">
        <v>3338</v>
      </c>
      <c r="C24" s="18">
        <f>(2939.0/B24*100)</f>
        <v/>
      </c>
      <c r="D24" s="19" t="n">
        <v>399</v>
      </c>
      <c r="E24" s="18" t="n">
        <v>21.65934515</v>
      </c>
      <c r="F24" s="20" t="n">
        <v>1.94728892</v>
      </c>
      <c r="G24" s="18" t="n">
        <v>77.03634587000001</v>
      </c>
      <c r="H24" s="20" t="n">
        <v>2.03832354</v>
      </c>
      <c r="I24" s="18" t="s">
        <v>431</v>
      </c>
      <c r="J24" s="20" t="s">
        <v>431</v>
      </c>
      <c r="K24" s="18" t="n">
        <v>0.47876083</v>
      </c>
      <c r="L24" s="20" t="n">
        <v>0.338955</v>
      </c>
      <c r="M24" s="18" t="n">
        <v>0</v>
      </c>
      <c r="N24" s="20" t="n">
        <v>0</v>
      </c>
      <c r="O24" s="18" t="n">
        <v>0</v>
      </c>
      <c r="P24" s="20" t="n">
        <v>0</v>
      </c>
      <c r="Q24" s="18" t="n">
        <v>0.82554815</v>
      </c>
      <c r="R24" s="20" t="n">
        <v>0.49671604</v>
      </c>
    </row>
    <row r="25" spans="1:18">
      <c r="A25" s="15" t="s">
        <v>449</v>
      </c>
      <c r="B25" s="17" t="n">
        <v>2912</v>
      </c>
      <c r="C25" s="18">
        <f>(2542.0/B25*100)</f>
        <v/>
      </c>
      <c r="D25" s="19" t="n">
        <v>370</v>
      </c>
      <c r="E25" s="18" t="n">
        <v>8.89124803</v>
      </c>
      <c r="F25" s="20" t="n">
        <v>1.48694842</v>
      </c>
      <c r="G25" s="18" t="n">
        <v>89.84413508</v>
      </c>
      <c r="H25" s="20" t="n">
        <v>1.60878325</v>
      </c>
      <c r="I25" s="18" t="s">
        <v>431</v>
      </c>
      <c r="J25" s="20" t="s">
        <v>431</v>
      </c>
      <c r="K25" s="18" t="n">
        <v>0</v>
      </c>
      <c r="L25" s="20" t="n">
        <v>0</v>
      </c>
      <c r="M25" s="18" t="n">
        <v>0</v>
      </c>
      <c r="N25" s="20" t="n">
        <v>0</v>
      </c>
      <c r="O25" s="18" t="n">
        <v>0</v>
      </c>
      <c r="P25" s="20" t="n">
        <v>0</v>
      </c>
      <c r="Q25" s="18" t="n">
        <v>1.26461689</v>
      </c>
      <c r="R25" s="20" t="n">
        <v>0.5682681000000001</v>
      </c>
    </row>
    <row r="26" spans="1:18">
      <c r="A26" s="15" t="s">
        <v>450</v>
      </c>
      <c r="B26" s="17" t="n">
        <v>2450</v>
      </c>
      <c r="C26" s="18">
        <f>(2160.0/B26*100)</f>
        <v/>
      </c>
      <c r="D26" s="19" t="n">
        <v>290</v>
      </c>
      <c r="E26" s="18" t="n">
        <v>20.55088118</v>
      </c>
      <c r="F26" s="20" t="n">
        <v>2.75566094</v>
      </c>
      <c r="G26" s="18" t="n">
        <v>79.10755485999999</v>
      </c>
      <c r="H26" s="20" t="n">
        <v>2.72375414</v>
      </c>
      <c r="I26" s="18" t="s">
        <v>431</v>
      </c>
      <c r="J26" s="20" t="s">
        <v>431</v>
      </c>
      <c r="K26" s="18" t="n">
        <v>0.34156397</v>
      </c>
      <c r="L26" s="20" t="n">
        <v>0.32270398</v>
      </c>
      <c r="M26" s="18" t="n">
        <v>0</v>
      </c>
      <c r="N26" s="20" t="n">
        <v>0</v>
      </c>
      <c r="O26" s="18" t="n">
        <v>0</v>
      </c>
      <c r="P26" s="20" t="n">
        <v>0</v>
      </c>
      <c r="Q26" s="18" t="n">
        <v>0</v>
      </c>
      <c r="R26" s="20" t="n">
        <v>0</v>
      </c>
    </row>
    <row r="27" spans="1:18">
      <c r="A27" s="15" t="s">
        <v>451</v>
      </c>
      <c r="B27" s="17" t="n">
        <v>2616</v>
      </c>
      <c r="C27" s="18">
        <f>(2282.0/B27*100)</f>
        <v/>
      </c>
      <c r="D27" s="19" t="n">
        <v>334</v>
      </c>
      <c r="E27" s="18" t="n">
        <v>24.91036621</v>
      </c>
      <c r="F27" s="20" t="n">
        <v>2.34007797</v>
      </c>
      <c r="G27" s="18" t="n">
        <v>71.43913191999999</v>
      </c>
      <c r="H27" s="20" t="n">
        <v>2.42475841</v>
      </c>
      <c r="I27" s="18" t="s">
        <v>431</v>
      </c>
      <c r="J27" s="20" t="s">
        <v>431</v>
      </c>
      <c r="K27" s="18" t="n">
        <v>0.9134686400000001</v>
      </c>
      <c r="L27" s="20" t="n">
        <v>0.52401609</v>
      </c>
      <c r="M27" s="18" t="n">
        <v>0</v>
      </c>
      <c r="N27" s="20" t="n">
        <v>0</v>
      </c>
      <c r="O27" s="18" t="n">
        <v>0</v>
      </c>
      <c r="P27" s="20" t="n">
        <v>0</v>
      </c>
      <c r="Q27" s="18" t="n">
        <v>2.73703322</v>
      </c>
      <c r="R27" s="20" t="n">
        <v>0.89142977</v>
      </c>
    </row>
    <row r="28" spans="1:18">
      <c r="A28" s="15" t="s">
        <v>452</v>
      </c>
      <c r="B28" s="17" t="n">
        <v>3765</v>
      </c>
      <c r="C28" s="18">
        <f>(3353.0/B28*100)</f>
        <v/>
      </c>
      <c r="D28" s="19" t="n">
        <v>412</v>
      </c>
      <c r="E28" s="18" t="n">
        <v>18.33451463</v>
      </c>
      <c r="F28" s="20" t="n">
        <v>2.38427411</v>
      </c>
      <c r="G28" s="18" t="n">
        <v>80.49866391</v>
      </c>
      <c r="H28" s="20" t="n">
        <v>2.38790715</v>
      </c>
      <c r="I28" s="18" t="s">
        <v>431</v>
      </c>
      <c r="J28" s="20" t="s">
        <v>431</v>
      </c>
      <c r="K28" s="18" t="n">
        <v>0.42600393</v>
      </c>
      <c r="L28" s="20" t="n">
        <v>0.25790017</v>
      </c>
      <c r="M28" s="18" t="n">
        <v>0</v>
      </c>
      <c r="N28" s="20" t="n">
        <v>0</v>
      </c>
      <c r="O28" s="18" t="n">
        <v>0</v>
      </c>
      <c r="P28" s="20" t="n">
        <v>0</v>
      </c>
      <c r="Q28" s="18" t="n">
        <v>0.7408175299999999</v>
      </c>
      <c r="R28" s="20" t="n">
        <v>0.44633978</v>
      </c>
    </row>
    <row r="29" spans="1:18">
      <c r="A29" s="15" t="s">
        <v>453</v>
      </c>
      <c r="B29" s="17" t="n">
        <v>2685</v>
      </c>
      <c r="C29" s="18">
        <f>(2368.0/B29*100)</f>
        <v/>
      </c>
      <c r="D29" s="19" t="n">
        <v>317</v>
      </c>
      <c r="E29" s="18" t="n">
        <v>28.02558343</v>
      </c>
      <c r="F29" s="20" t="n">
        <v>2.9743984</v>
      </c>
      <c r="G29" s="18" t="n">
        <v>70.57887078</v>
      </c>
      <c r="H29" s="20" t="n">
        <v>3.01233594</v>
      </c>
      <c r="I29" s="18" t="s">
        <v>431</v>
      </c>
      <c r="J29" s="20" t="s">
        <v>431</v>
      </c>
      <c r="K29" s="18" t="n">
        <v>0.32414901</v>
      </c>
      <c r="L29" s="20" t="n">
        <v>0.34741924</v>
      </c>
      <c r="M29" s="18" t="n">
        <v>0</v>
      </c>
      <c r="N29" s="20" t="n">
        <v>0</v>
      </c>
      <c r="O29" s="18" t="n">
        <v>0</v>
      </c>
      <c r="P29" s="20" t="n">
        <v>0</v>
      </c>
      <c r="Q29" s="18" t="n">
        <v>1.07139678</v>
      </c>
      <c r="R29" s="20" t="n">
        <v>0.7272103599999999</v>
      </c>
    </row>
    <row r="30" spans="1:18">
      <c r="A30" s="15" t="s">
        <v>454</v>
      </c>
      <c r="B30" s="17" t="n">
        <v>2263</v>
      </c>
      <c r="C30" s="18">
        <f>(1992.0/B30*100)</f>
        <v/>
      </c>
      <c r="D30" s="19" t="n">
        <v>271</v>
      </c>
      <c r="E30" s="18" t="n">
        <v>14.84168989</v>
      </c>
      <c r="F30" s="20" t="n">
        <v>2.18649154</v>
      </c>
      <c r="G30" s="18" t="n">
        <v>82.18161388</v>
      </c>
      <c r="H30" s="20" t="n">
        <v>2.27450041</v>
      </c>
      <c r="I30" s="18" t="s">
        <v>431</v>
      </c>
      <c r="J30" s="20" t="s">
        <v>431</v>
      </c>
      <c r="K30" s="18" t="n">
        <v>2.45573195</v>
      </c>
      <c r="L30" s="20" t="n">
        <v>0.9933731099999999</v>
      </c>
      <c r="M30" s="18" t="n">
        <v>0</v>
      </c>
      <c r="N30" s="20" t="n">
        <v>0</v>
      </c>
      <c r="O30" s="18" t="n">
        <v>0</v>
      </c>
      <c r="P30" s="20" t="n">
        <v>0</v>
      </c>
      <c r="Q30" s="18" t="n">
        <v>0.5209642799999999</v>
      </c>
      <c r="R30" s="20" t="n">
        <v>0.3760043</v>
      </c>
    </row>
    <row r="31" spans="1:18">
      <c r="A31" s="15" t="s">
        <v>455</v>
      </c>
      <c r="B31" s="17" t="n">
        <v>2750</v>
      </c>
      <c r="C31" s="18">
        <f>(2397.0/B31*100)</f>
        <v/>
      </c>
      <c r="D31" s="19" t="n">
        <v>353</v>
      </c>
      <c r="E31" s="18" t="n">
        <v>11.88004289</v>
      </c>
      <c r="F31" s="20" t="n">
        <v>1.85174411</v>
      </c>
      <c r="G31" s="18" t="n">
        <v>85.94873368</v>
      </c>
      <c r="H31" s="20" t="n">
        <v>2.0824398</v>
      </c>
      <c r="I31" s="18" t="s">
        <v>431</v>
      </c>
      <c r="J31" s="20" t="s">
        <v>431</v>
      </c>
      <c r="K31" s="18" t="n">
        <v>0.50752367</v>
      </c>
      <c r="L31" s="20" t="n">
        <v>0.35440416</v>
      </c>
      <c r="M31" s="18" t="n">
        <v>0</v>
      </c>
      <c r="N31" s="20" t="n">
        <v>0</v>
      </c>
      <c r="O31" s="18" t="n">
        <v>0</v>
      </c>
      <c r="P31" s="20" t="n">
        <v>0</v>
      </c>
      <c r="Q31" s="18" t="n">
        <v>1.66369976</v>
      </c>
      <c r="R31" s="20" t="n">
        <v>0.6705253</v>
      </c>
    </row>
    <row r="32" spans="1:18">
      <c r="A32" s="15" t="s">
        <v>456</v>
      </c>
      <c r="B32" s="17" t="n">
        <v>2269</v>
      </c>
      <c r="C32" s="18">
        <f>(1893.0/B32*100)</f>
        <v/>
      </c>
      <c r="D32" s="19" t="n">
        <v>376</v>
      </c>
      <c r="E32" s="18" t="n">
        <v>11.17818305</v>
      </c>
      <c r="F32" s="20" t="n">
        <v>1.75355645</v>
      </c>
      <c r="G32" s="18" t="n">
        <v>87.56826316</v>
      </c>
      <c r="H32" s="20" t="n">
        <v>1.76225878</v>
      </c>
      <c r="I32" s="18" t="s">
        <v>431</v>
      </c>
      <c r="J32" s="20" t="s">
        <v>431</v>
      </c>
      <c r="K32" s="18" t="n">
        <v>0.47871517</v>
      </c>
      <c r="L32" s="20" t="n">
        <v>0.33687342</v>
      </c>
      <c r="M32" s="18" t="n">
        <v>0</v>
      </c>
      <c r="N32" s="20" t="n">
        <v>0</v>
      </c>
      <c r="O32" s="18" t="n">
        <v>0</v>
      </c>
      <c r="P32" s="20" t="n">
        <v>0</v>
      </c>
      <c r="Q32" s="18" t="n">
        <v>0.77483861</v>
      </c>
      <c r="R32" s="20" t="n">
        <v>0.4180804</v>
      </c>
    </row>
    <row r="33" spans="1:18">
      <c r="A33" s="15" t="s">
        <v>457</v>
      </c>
      <c r="B33" s="17" t="n">
        <v>3674</v>
      </c>
      <c r="C33" s="18">
        <f>(3222.0/B33*100)</f>
        <v/>
      </c>
      <c r="D33" s="19" t="n">
        <v>452</v>
      </c>
      <c r="E33" s="18" t="n">
        <v>11.07726078</v>
      </c>
      <c r="F33" s="20" t="n">
        <v>2.15612263</v>
      </c>
      <c r="G33" s="18" t="n">
        <v>87.02349311</v>
      </c>
      <c r="H33" s="20" t="n">
        <v>2.28421817</v>
      </c>
      <c r="I33" s="18" t="s">
        <v>431</v>
      </c>
      <c r="J33" s="20" t="s">
        <v>431</v>
      </c>
      <c r="K33" s="18" t="n">
        <v>1.31878839</v>
      </c>
      <c r="L33" s="20" t="n">
        <v>0.77939655</v>
      </c>
      <c r="M33" s="18" t="n">
        <v>0</v>
      </c>
      <c r="N33" s="20" t="n">
        <v>0</v>
      </c>
      <c r="O33" s="18" t="n">
        <v>0</v>
      </c>
      <c r="P33" s="20" t="n">
        <v>0</v>
      </c>
      <c r="Q33" s="18" t="n">
        <v>0.58045771</v>
      </c>
      <c r="R33" s="20" t="n">
        <v>0.41235098</v>
      </c>
    </row>
    <row r="34" spans="1:18">
      <c r="A34" s="15" t="s">
        <v>458</v>
      </c>
      <c r="B34" s="17" t="n">
        <v>3315</v>
      </c>
      <c r="C34" s="18">
        <f>(2916.0/B34*100)</f>
        <v/>
      </c>
      <c r="D34" s="19" t="n">
        <v>399</v>
      </c>
      <c r="E34" s="18" t="n">
        <v>26.30889127</v>
      </c>
      <c r="F34" s="20" t="n">
        <v>2.2634169</v>
      </c>
      <c r="G34" s="18" t="n">
        <v>73.22935692</v>
      </c>
      <c r="H34" s="20" t="n">
        <v>2.32965633</v>
      </c>
      <c r="I34" s="18" t="s">
        <v>431</v>
      </c>
      <c r="J34" s="20" t="s">
        <v>431</v>
      </c>
      <c r="K34" s="18" t="n">
        <v>0</v>
      </c>
      <c r="L34" s="20" t="n">
        <v>0</v>
      </c>
      <c r="M34" s="18" t="n">
        <v>0</v>
      </c>
      <c r="N34" s="20" t="n">
        <v>0</v>
      </c>
      <c r="O34" s="18" t="n">
        <v>0</v>
      </c>
      <c r="P34" s="20" t="n">
        <v>0</v>
      </c>
      <c r="Q34" s="18" t="n">
        <v>0.46175181</v>
      </c>
      <c r="R34" s="20" t="n">
        <v>0.3291769</v>
      </c>
    </row>
    <row r="35" spans="1:18">
      <c r="A35" s="15" t="s">
        <v>459</v>
      </c>
      <c r="B35" s="17" t="n">
        <v>3505</v>
      </c>
      <c r="C35" s="18">
        <f>(3087.0/B35*100)</f>
        <v/>
      </c>
      <c r="D35" s="19" t="n">
        <v>418</v>
      </c>
      <c r="E35" s="18" t="n">
        <v>11.43261346</v>
      </c>
      <c r="F35" s="20" t="n">
        <v>1.82207435</v>
      </c>
      <c r="G35" s="18" t="n">
        <v>86.54181007</v>
      </c>
      <c r="H35" s="20" t="n">
        <v>1.97616821</v>
      </c>
      <c r="I35" s="18" t="s">
        <v>431</v>
      </c>
      <c r="J35" s="20" t="s">
        <v>431</v>
      </c>
      <c r="K35" s="18" t="n">
        <v>0.11228917</v>
      </c>
      <c r="L35" s="20" t="n">
        <v>0.11804968</v>
      </c>
      <c r="M35" s="18" t="n">
        <v>0</v>
      </c>
      <c r="N35" s="20" t="n">
        <v>0</v>
      </c>
      <c r="O35" s="18" t="n">
        <v>0</v>
      </c>
      <c r="P35" s="20" t="n">
        <v>0</v>
      </c>
      <c r="Q35" s="18" t="n">
        <v>1.91328731</v>
      </c>
      <c r="R35" s="20" t="n">
        <v>0.59302491</v>
      </c>
    </row>
    <row r="36" spans="1:18">
      <c r="A36" s="15" t="s">
        <v>460</v>
      </c>
      <c r="B36" s="17" t="n">
        <v>3332</v>
      </c>
      <c r="C36" s="18">
        <f>(2930.0/B36*100)</f>
        <v/>
      </c>
      <c r="D36" s="19" t="n">
        <v>402</v>
      </c>
      <c r="E36" s="18" t="n">
        <v>6.92857963</v>
      </c>
      <c r="F36" s="20" t="n">
        <v>1.34151852</v>
      </c>
      <c r="G36" s="18" t="n">
        <v>91.48757443</v>
      </c>
      <c r="H36" s="20" t="n">
        <v>1.32158182</v>
      </c>
      <c r="I36" s="18" t="s">
        <v>431</v>
      </c>
      <c r="J36" s="20" t="s">
        <v>431</v>
      </c>
      <c r="K36" s="18" t="n">
        <v>0.56786521</v>
      </c>
      <c r="L36" s="20" t="n">
        <v>0.32773578</v>
      </c>
      <c r="M36" s="18" t="n">
        <v>0</v>
      </c>
      <c r="N36" s="20" t="n">
        <v>0</v>
      </c>
      <c r="O36" s="18" t="n">
        <v>0</v>
      </c>
      <c r="P36" s="20" t="n">
        <v>0</v>
      </c>
      <c r="Q36" s="18" t="n">
        <v>1.01598073</v>
      </c>
      <c r="R36" s="20" t="n">
        <v>0.49082703</v>
      </c>
    </row>
    <row r="37" spans="1:18">
      <c r="A37" s="15" t="s">
        <v>461</v>
      </c>
      <c r="B37" s="17" t="n">
        <v>2727</v>
      </c>
      <c r="C37" s="18">
        <f>(2402.0/B37*100)</f>
        <v/>
      </c>
      <c r="D37" s="19" t="n">
        <v>325</v>
      </c>
      <c r="E37" s="18" t="n">
        <v>19.6600688</v>
      </c>
      <c r="F37" s="20" t="n">
        <v>2.75410422</v>
      </c>
      <c r="G37" s="18" t="n">
        <v>75.54683242999999</v>
      </c>
      <c r="H37" s="20" t="n">
        <v>2.83947417</v>
      </c>
      <c r="I37" s="18" t="s">
        <v>431</v>
      </c>
      <c r="J37" s="20" t="s">
        <v>431</v>
      </c>
      <c r="K37" s="18" t="n">
        <v>1.51292684</v>
      </c>
      <c r="L37" s="20" t="n">
        <v>0.77562784</v>
      </c>
      <c r="M37" s="18" t="n">
        <v>0</v>
      </c>
      <c r="N37" s="20" t="n">
        <v>0</v>
      </c>
      <c r="O37" s="18" t="n">
        <v>0</v>
      </c>
      <c r="P37" s="20" t="n">
        <v>0</v>
      </c>
      <c r="Q37" s="18" t="n">
        <v>3.28017192</v>
      </c>
      <c r="R37" s="20" t="n">
        <v>0.98431714</v>
      </c>
    </row>
    <row r="38" spans="1:18">
      <c r="A38" s="15" t="s">
        <v>462</v>
      </c>
      <c r="B38" s="17" t="n">
        <v>3053</v>
      </c>
      <c r="C38" s="18">
        <f>(2540.0/B38*100)</f>
        <v/>
      </c>
      <c r="D38" s="19" t="n">
        <v>513</v>
      </c>
      <c r="E38" s="18" t="n">
        <v>22.81673181</v>
      </c>
      <c r="F38" s="20" t="n">
        <v>2.31439513</v>
      </c>
      <c r="G38" s="18" t="n">
        <v>75.08693842</v>
      </c>
      <c r="H38" s="20" t="n">
        <v>2.34641769</v>
      </c>
      <c r="I38" s="18" t="s">
        <v>431</v>
      </c>
      <c r="J38" s="20" t="s">
        <v>431</v>
      </c>
      <c r="K38" s="18" t="n">
        <v>1.37727496</v>
      </c>
      <c r="L38" s="20" t="n">
        <v>0.50886663</v>
      </c>
      <c r="M38" s="18" t="n">
        <v>0</v>
      </c>
      <c r="N38" s="20" t="n">
        <v>0</v>
      </c>
      <c r="O38" s="18" t="n">
        <v>0</v>
      </c>
      <c r="P38" s="20" t="n">
        <v>0</v>
      </c>
      <c r="Q38" s="18" t="n">
        <v>0.71905481</v>
      </c>
      <c r="R38" s="20" t="n">
        <v>0.56185981</v>
      </c>
    </row>
    <row r="39" spans="1:18">
      <c r="A39" s="15" t="s">
        <v>463</v>
      </c>
      <c r="B39" s="17" t="n">
        <v>2957</v>
      </c>
      <c r="C39" s="18">
        <f>(2592.0/B39*100)</f>
        <v/>
      </c>
      <c r="D39" s="19" t="n">
        <v>365</v>
      </c>
      <c r="E39" s="18" t="n">
        <v>29.60255812</v>
      </c>
      <c r="F39" s="20" t="n">
        <v>2.62126487</v>
      </c>
      <c r="G39" s="18" t="n">
        <v>68.94283451</v>
      </c>
      <c r="H39" s="20" t="n">
        <v>2.66399237</v>
      </c>
      <c r="I39" s="18" t="s">
        <v>431</v>
      </c>
      <c r="J39" s="20" t="s">
        <v>431</v>
      </c>
      <c r="K39" s="18" t="n">
        <v>0.27796175</v>
      </c>
      <c r="L39" s="20" t="n">
        <v>0.26882528</v>
      </c>
      <c r="M39" s="18" t="n">
        <v>0</v>
      </c>
      <c r="N39" s="20" t="n">
        <v>0</v>
      </c>
      <c r="O39" s="18" t="n">
        <v>0</v>
      </c>
      <c r="P39" s="20" t="n">
        <v>0</v>
      </c>
      <c r="Q39" s="18" t="n">
        <v>1.17664562</v>
      </c>
      <c r="R39" s="20" t="n">
        <v>0.45365902</v>
      </c>
    </row>
    <row r="40" spans="1:18">
      <c r="A40" s="15" t="s">
        <v>464</v>
      </c>
      <c r="B40" s="17" t="n">
        <v>7235</v>
      </c>
      <c r="C40" s="18">
        <f>(6353.0/B40*100)</f>
        <v/>
      </c>
      <c r="D40" s="19" t="n">
        <v>882</v>
      </c>
      <c r="E40" s="18" t="n">
        <v>12.32034351</v>
      </c>
      <c r="F40" s="20" t="n">
        <v>1.76715369</v>
      </c>
      <c r="G40" s="18" t="n">
        <v>86.51435513</v>
      </c>
      <c r="H40" s="20" t="n">
        <v>1.83657444</v>
      </c>
      <c r="I40" s="18" t="s">
        <v>431</v>
      </c>
      <c r="J40" s="20" t="s">
        <v>431</v>
      </c>
      <c r="K40" s="18" t="n">
        <v>0.59633784</v>
      </c>
      <c r="L40" s="20" t="n">
        <v>0.28840174</v>
      </c>
      <c r="M40" s="18" t="n">
        <v>0</v>
      </c>
      <c r="N40" s="20" t="n">
        <v>0</v>
      </c>
      <c r="O40" s="18" t="n">
        <v>0</v>
      </c>
      <c r="P40" s="20" t="n">
        <v>0</v>
      </c>
      <c r="Q40" s="18" t="n">
        <v>0.56896353</v>
      </c>
      <c r="R40" s="20" t="n">
        <v>0.36495682</v>
      </c>
    </row>
    <row r="41" spans="1:18">
      <c r="A41" s="15" t="s">
        <v>465</v>
      </c>
      <c r="B41" s="17" t="n">
        <v>2858</v>
      </c>
      <c r="C41" s="18">
        <f>(2509.0/B41*100)</f>
        <v/>
      </c>
      <c r="D41" s="19" t="n">
        <v>349</v>
      </c>
      <c r="E41" s="18" t="n">
        <v>17.18278033</v>
      </c>
      <c r="F41" s="20" t="n">
        <v>2.13804835</v>
      </c>
      <c r="G41" s="18" t="n">
        <v>82.35879278</v>
      </c>
      <c r="H41" s="20" t="n">
        <v>2.1417915</v>
      </c>
      <c r="I41" s="18" t="s">
        <v>431</v>
      </c>
      <c r="J41" s="20" t="s">
        <v>431</v>
      </c>
      <c r="K41" s="18" t="n">
        <v>0.45842689</v>
      </c>
      <c r="L41" s="20" t="n">
        <v>0.31637052</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(9924.0/B46*100)</f>
        <v/>
      </c>
      <c r="D46" s="19" t="n">
        <v>1144</v>
      </c>
      <c r="E46" s="18" t="n">
        <v>28.92317425</v>
      </c>
      <c r="F46" s="20" t="n">
        <v>2.11162649</v>
      </c>
      <c r="G46" s="18" t="n">
        <v>68.20934756</v>
      </c>
      <c r="H46" s="20" t="n">
        <v>2.09556217</v>
      </c>
      <c r="I46" s="18" t="s">
        <v>431</v>
      </c>
      <c r="J46" s="20" t="s">
        <v>431</v>
      </c>
      <c r="K46" s="18" t="n">
        <v>1.16760502</v>
      </c>
      <c r="L46" s="20" t="n">
        <v>0.37020779</v>
      </c>
      <c r="M46" s="18" t="n">
        <v>0</v>
      </c>
      <c r="N46" s="20" t="n">
        <v>0</v>
      </c>
      <c r="O46" s="18" t="n">
        <v>0</v>
      </c>
      <c r="P46" s="20" t="n">
        <v>0</v>
      </c>
      <c r="Q46" s="18" t="n">
        <v>1.69987317</v>
      </c>
      <c r="R46" s="20" t="n">
        <v>0.45449256</v>
      </c>
    </row>
    <row r="47" spans="1:18">
      <c r="A47" s="15" t="s">
        <v>471</v>
      </c>
      <c r="B47" s="17" t="n">
        <v>3105</v>
      </c>
      <c r="C47" s="18">
        <f>(2733.0/B47*100)</f>
        <v/>
      </c>
      <c r="D47" s="19" t="n">
        <v>372</v>
      </c>
      <c r="E47" s="18" t="n">
        <v>34.70554511</v>
      </c>
      <c r="F47" s="20" t="n">
        <v>2.96979464</v>
      </c>
      <c r="G47" s="18" t="n">
        <v>60.72984603</v>
      </c>
      <c r="H47" s="20" t="n">
        <v>3.04631924</v>
      </c>
      <c r="I47" s="18" t="s">
        <v>431</v>
      </c>
      <c r="J47" s="20" t="s">
        <v>431</v>
      </c>
      <c r="K47" s="18" t="n">
        <v>1.31027466</v>
      </c>
      <c r="L47" s="20" t="n">
        <v>0.61022375</v>
      </c>
      <c r="M47" s="18" t="n">
        <v>0</v>
      </c>
      <c r="N47" s="20" t="n">
        <v>0</v>
      </c>
      <c r="O47" s="18" t="n">
        <v>0</v>
      </c>
      <c r="P47" s="20" t="n">
        <v>0</v>
      </c>
      <c r="Q47" s="18" t="n">
        <v>3.25433419</v>
      </c>
      <c r="R47" s="20" t="n">
        <v>1.02598939</v>
      </c>
    </row>
    <row r="48" spans="1:18">
      <c r="A48" s="15" t="s">
        <v>472</v>
      </c>
      <c r="B48" s="17" t="n">
        <v>5159</v>
      </c>
      <c r="C48" s="18">
        <f>(4503.0/B48*100)</f>
        <v/>
      </c>
      <c r="D48" s="19" t="n">
        <v>656</v>
      </c>
      <c r="E48" s="18" t="n">
        <v>22.97996324</v>
      </c>
      <c r="F48" s="20" t="n">
        <v>1.95729088</v>
      </c>
      <c r="G48" s="18" t="n">
        <v>75.94959546</v>
      </c>
      <c r="H48" s="20" t="n">
        <v>2.04882453</v>
      </c>
      <c r="I48" s="18" t="s">
        <v>431</v>
      </c>
      <c r="J48" s="20" t="s">
        <v>431</v>
      </c>
      <c r="K48" s="18" t="n">
        <v>0.81276697</v>
      </c>
      <c r="L48" s="20" t="n">
        <v>0.4724993</v>
      </c>
      <c r="M48" s="18" t="n">
        <v>0</v>
      </c>
      <c r="N48" s="20" t="n">
        <v>0</v>
      </c>
      <c r="O48" s="18" t="n">
        <v>0</v>
      </c>
      <c r="P48" s="20" t="n">
        <v>0</v>
      </c>
      <c r="Q48" s="18" t="n">
        <v>0.25767433</v>
      </c>
      <c r="R48" s="20" t="n">
        <v>0.25828899</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(4986.0/B50*100)</f>
        <v/>
      </c>
      <c r="D50" s="19" t="n">
        <v>651</v>
      </c>
      <c r="E50" s="18" t="n">
        <v>30.06644084</v>
      </c>
      <c r="F50" s="20" t="n">
        <v>2.70338578</v>
      </c>
      <c r="G50" s="18" t="n">
        <v>64.96140361</v>
      </c>
      <c r="H50" s="20" t="n">
        <v>2.81034139</v>
      </c>
      <c r="I50" s="18" t="s">
        <v>431</v>
      </c>
      <c r="J50" s="20" t="s">
        <v>431</v>
      </c>
      <c r="K50" s="18" t="n">
        <v>2.68908684</v>
      </c>
      <c r="L50" s="20" t="n">
        <v>0.91832821</v>
      </c>
      <c r="M50" s="18" t="n">
        <v>0</v>
      </c>
      <c r="N50" s="20" t="n">
        <v>0</v>
      </c>
      <c r="O50" s="18" t="n">
        <v>0</v>
      </c>
      <c r="P50" s="20" t="n">
        <v>0</v>
      </c>
      <c r="Q50" s="18" t="n">
        <v>2.28306871</v>
      </c>
      <c r="R50" s="20" t="n">
        <v>0.67943729</v>
      </c>
    </row>
    <row r="51" spans="1:18">
      <c r="A51" s="15" t="s">
        <v>475</v>
      </c>
      <c r="B51" s="17" t="n">
        <v>3372</v>
      </c>
      <c r="C51" s="18">
        <f>(3056.0/B51*100)</f>
        <v/>
      </c>
      <c r="D51" s="19" t="n">
        <v>316</v>
      </c>
      <c r="E51" s="18" t="n">
        <v>23.85079929</v>
      </c>
      <c r="F51" s="20" t="n">
        <v>2.72784806</v>
      </c>
      <c r="G51" s="18" t="n">
        <v>73.08781582</v>
      </c>
      <c r="H51" s="20" t="n">
        <v>2.83179624</v>
      </c>
      <c r="I51" s="18" t="s">
        <v>431</v>
      </c>
      <c r="J51" s="20" t="s">
        <v>431</v>
      </c>
      <c r="K51" s="18" t="n">
        <v>0.46846442</v>
      </c>
      <c r="L51" s="20" t="n">
        <v>0.42121915</v>
      </c>
      <c r="M51" s="18" t="n">
        <v>0</v>
      </c>
      <c r="N51" s="20" t="n">
        <v>0</v>
      </c>
      <c r="O51" s="18" t="n">
        <v>0</v>
      </c>
      <c r="P51" s="20" t="n">
        <v>0</v>
      </c>
      <c r="Q51" s="18" t="n">
        <v>2.59292046</v>
      </c>
      <c r="R51" s="20" t="n">
        <v>0.88011953</v>
      </c>
    </row>
    <row r="52" spans="1:18">
      <c r="A52" s="15" t="s">
        <v>476</v>
      </c>
      <c r="B52" s="17" t="n">
        <v>2796</v>
      </c>
      <c r="C52" s="18">
        <f>(2448.0/B52*100)</f>
        <v/>
      </c>
      <c r="D52" s="19" t="n">
        <v>348</v>
      </c>
      <c r="E52" s="18" t="n">
        <v>17.29507297</v>
      </c>
      <c r="F52" s="20" t="n">
        <v>2.16760327</v>
      </c>
      <c r="G52" s="18" t="n">
        <v>81.22740699000001</v>
      </c>
      <c r="H52" s="20" t="n">
        <v>2.03977121</v>
      </c>
      <c r="I52" s="18" t="s">
        <v>431</v>
      </c>
      <c r="J52" s="20" t="s">
        <v>431</v>
      </c>
      <c r="K52" s="18" t="n">
        <v>0.3185223</v>
      </c>
      <c r="L52" s="20" t="n">
        <v>0.3185284</v>
      </c>
      <c r="M52" s="18" t="n">
        <v>0</v>
      </c>
      <c r="N52" s="20" t="n">
        <v>0</v>
      </c>
      <c r="O52" s="18" t="n">
        <v>0</v>
      </c>
      <c r="P52" s="20" t="n">
        <v>0</v>
      </c>
      <c r="Q52" s="18" t="n">
        <v>1.15899774</v>
      </c>
      <c r="R52" s="20" t="n">
        <v>0.38482638</v>
      </c>
    </row>
    <row r="53" spans="1:18">
      <c r="A53" s="15" t="s">
        <v>477</v>
      </c>
      <c r="B53" s="17" t="n">
        <v>2811</v>
      </c>
      <c r="C53" s="18">
        <f>(2466.0/B53*100)</f>
        <v/>
      </c>
      <c r="D53" s="19" t="n">
        <v>345</v>
      </c>
      <c r="E53" s="18" t="n">
        <v>30.06871427</v>
      </c>
      <c r="F53" s="20" t="n">
        <v>2.20583429</v>
      </c>
      <c r="G53" s="18" t="n">
        <v>64.51924871</v>
      </c>
      <c r="H53" s="20" t="n">
        <v>2.39541498</v>
      </c>
      <c r="I53" s="18" t="s">
        <v>431</v>
      </c>
      <c r="J53" s="20" t="s">
        <v>431</v>
      </c>
      <c r="K53" s="18" t="n">
        <v>2.41951286</v>
      </c>
      <c r="L53" s="20" t="n">
        <v>0.94983304</v>
      </c>
      <c r="M53" s="18" t="n">
        <v>0</v>
      </c>
      <c r="N53" s="20" t="n">
        <v>0</v>
      </c>
      <c r="O53" s="18" t="n">
        <v>0</v>
      </c>
      <c r="P53" s="20" t="n">
        <v>0</v>
      </c>
      <c r="Q53" s="18" t="n">
        <v>2.99252416</v>
      </c>
      <c r="R53" s="20" t="n">
        <v>1.05629982</v>
      </c>
    </row>
    <row r="54" spans="1:18">
      <c r="A54" s="15" t="s">
        <v>478</v>
      </c>
      <c r="B54" s="17" t="n">
        <v>2266</v>
      </c>
      <c r="C54" s="18">
        <f>(1857.0/B54*100)</f>
        <v/>
      </c>
      <c r="D54" s="19" t="n">
        <v>409</v>
      </c>
      <c r="E54" s="18" t="n">
        <v>46.93742665</v>
      </c>
      <c r="F54" s="20" t="n">
        <v>2.57157222</v>
      </c>
      <c r="G54" s="18" t="n">
        <v>33.3997621</v>
      </c>
      <c r="H54" s="20" t="n">
        <v>2.3785096</v>
      </c>
      <c r="I54" s="18" t="s">
        <v>431</v>
      </c>
      <c r="J54" s="20" t="s">
        <v>431</v>
      </c>
      <c r="K54" s="18" t="n">
        <v>16.0994416</v>
      </c>
      <c r="L54" s="20" t="n">
        <v>2.06568069</v>
      </c>
      <c r="M54" s="18" t="n">
        <v>0</v>
      </c>
      <c r="N54" s="20" t="n">
        <v>0</v>
      </c>
      <c r="O54" s="18" t="n">
        <v>0</v>
      </c>
      <c r="P54" s="20" t="n">
        <v>0</v>
      </c>
      <c r="Q54" s="18" t="n">
        <v>3.56336964</v>
      </c>
      <c r="R54" s="20" t="n">
        <v>0.9207408</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(2352.0/B56*100)</f>
        <v/>
      </c>
      <c r="D56" s="19" t="n">
        <v>332</v>
      </c>
      <c r="E56" s="18" t="n">
        <v>7.52330204</v>
      </c>
      <c r="F56" s="20" t="n">
        <v>1.83481416</v>
      </c>
      <c r="G56" s="18" t="n">
        <v>91.74575325000001</v>
      </c>
      <c r="H56" s="20" t="n">
        <v>1.75385138</v>
      </c>
      <c r="I56" s="18" t="s">
        <v>431</v>
      </c>
      <c r="J56" s="20" t="s">
        <v>431</v>
      </c>
      <c r="K56" s="18" t="n">
        <v>0.4292691</v>
      </c>
      <c r="L56" s="20" t="n">
        <v>0.42165233</v>
      </c>
      <c r="M56" s="18" t="n">
        <v>0</v>
      </c>
      <c r="N56" s="20" t="n">
        <v>0</v>
      </c>
      <c r="O56" s="18" t="n">
        <v>0</v>
      </c>
      <c r="P56" s="20" t="n">
        <v>0</v>
      </c>
      <c r="Q56" s="18" t="n">
        <v>0.30167562</v>
      </c>
      <c r="R56" s="20" t="n">
        <v>0.19957429</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(2919.0/B61*100)</f>
        <v/>
      </c>
      <c r="D61" s="19" t="n">
        <v>405</v>
      </c>
      <c r="E61" s="18" t="n">
        <v>20.44263978</v>
      </c>
      <c r="F61" s="20" t="n">
        <v>2.33386832</v>
      </c>
      <c r="G61" s="18" t="n">
        <v>77.92812152</v>
      </c>
      <c r="H61" s="20" t="n">
        <v>2.45742938</v>
      </c>
      <c r="I61" s="18" t="s">
        <v>431</v>
      </c>
      <c r="J61" s="20" t="s">
        <v>431</v>
      </c>
      <c r="K61" s="18" t="n">
        <v>0.25399349</v>
      </c>
      <c r="L61" s="20" t="n">
        <v>0.17708166</v>
      </c>
      <c r="M61" s="18" t="n">
        <v>0</v>
      </c>
      <c r="N61" s="20" t="n">
        <v>0</v>
      </c>
      <c r="O61" s="18" t="n">
        <v>0</v>
      </c>
      <c r="P61" s="20" t="n">
        <v>0</v>
      </c>
      <c r="Q61" s="18" t="n">
        <v>1.37524521</v>
      </c>
      <c r="R61" s="20" t="n">
        <v>0.89531772</v>
      </c>
    </row>
    <row r="62" spans="1:18">
      <c r="A62" s="15" t="s">
        <v>486</v>
      </c>
      <c r="B62" s="17" t="n">
        <v>2246</v>
      </c>
      <c r="C62" s="18">
        <f>(1981.0/B62*100)</f>
        <v/>
      </c>
      <c r="D62" s="19" t="n">
        <v>265</v>
      </c>
      <c r="E62" s="18" t="n">
        <v>10.95088687</v>
      </c>
      <c r="F62" s="20" t="n">
        <v>1.89679341</v>
      </c>
      <c r="G62" s="18" t="n">
        <v>88.67429815</v>
      </c>
      <c r="H62" s="20" t="n">
        <v>1.99700711</v>
      </c>
      <c r="I62" s="18" t="s">
        <v>431</v>
      </c>
      <c r="J62" s="20" t="s">
        <v>431</v>
      </c>
      <c r="K62" s="18" t="n">
        <v>0</v>
      </c>
      <c r="L62" s="20" t="n">
        <v>0</v>
      </c>
      <c r="M62" s="18" t="n">
        <v>0</v>
      </c>
      <c r="N62" s="20" t="n">
        <v>0</v>
      </c>
      <c r="O62" s="18" t="n">
        <v>0</v>
      </c>
      <c r="P62" s="20" t="n">
        <v>0</v>
      </c>
      <c r="Q62" s="18" t="n">
        <v>0.37481498</v>
      </c>
      <c r="R62" s="20" t="n">
        <v>0.37456013</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(2541.0/B66*100)</f>
        <v/>
      </c>
      <c r="D66" s="19" t="n">
        <v>353</v>
      </c>
      <c r="E66" s="18" t="n">
        <v>15.83480143</v>
      </c>
      <c r="F66" s="20" t="n">
        <v>2.16636319</v>
      </c>
      <c r="G66" s="18" t="n">
        <v>77.93793723</v>
      </c>
      <c r="H66" s="20" t="n">
        <v>2.34572537</v>
      </c>
      <c r="I66" s="18" t="s">
        <v>431</v>
      </c>
      <c r="J66" s="20" t="s">
        <v>431</v>
      </c>
      <c r="K66" s="18" t="n">
        <v>2.15548795</v>
      </c>
      <c r="L66" s="20" t="n">
        <v>0.7554981200000001</v>
      </c>
      <c r="M66" s="18" t="n">
        <v>0</v>
      </c>
      <c r="N66" s="20" t="n">
        <v>0</v>
      </c>
      <c r="O66" s="18" t="n">
        <v>0</v>
      </c>
      <c r="P66" s="20" t="n">
        <v>0</v>
      </c>
      <c r="Q66" s="18" t="n">
        <v>4.07177339</v>
      </c>
      <c r="R66" s="20" t="n">
        <v>0.91191476</v>
      </c>
    </row>
    <row r="67" spans="1:18">
      <c r="A67" s="15" t="s">
        <v>491</v>
      </c>
      <c r="B67" s="17" t="n">
        <v>3511</v>
      </c>
      <c r="C67" s="18">
        <f>(3137.0/B67*100)</f>
        <v/>
      </c>
      <c r="D67" s="19" t="n">
        <v>374</v>
      </c>
      <c r="E67" s="18" t="n">
        <v>17.26372741</v>
      </c>
      <c r="F67" s="20" t="n">
        <v>2.03589969</v>
      </c>
      <c r="G67" s="18" t="n">
        <v>81.10776111</v>
      </c>
      <c r="H67" s="20" t="n">
        <v>2.13820518</v>
      </c>
      <c r="I67" s="18" t="s">
        <v>431</v>
      </c>
      <c r="J67" s="20" t="s">
        <v>431</v>
      </c>
      <c r="K67" s="18" t="n">
        <v>0.35209904</v>
      </c>
      <c r="L67" s="20" t="n">
        <v>0.34941073</v>
      </c>
      <c r="M67" s="18" t="n">
        <v>0</v>
      </c>
      <c r="N67" s="20" t="n">
        <v>0</v>
      </c>
      <c r="O67" s="18" t="n">
        <v>0</v>
      </c>
      <c r="P67" s="20" t="n">
        <v>0</v>
      </c>
      <c r="Q67" s="18" t="n">
        <v>1.27641245</v>
      </c>
      <c r="R67" s="20" t="n">
        <v>0.55274471</v>
      </c>
    </row>
    <row r="68" spans="1:18">
      <c r="A68" s="15" t="s">
        <v>492</v>
      </c>
      <c r="B68" s="17" t="n">
        <v>6049</v>
      </c>
      <c r="C68" s="18">
        <f>(5053.0/B68*100)</f>
        <v/>
      </c>
      <c r="D68" s="19" t="n">
        <v>996</v>
      </c>
      <c r="E68" s="18" t="n">
        <v>39.75707696</v>
      </c>
      <c r="F68" s="20" t="n">
        <v>1.57330935</v>
      </c>
      <c r="G68" s="18" t="n">
        <v>48.50846855</v>
      </c>
      <c r="H68" s="20" t="n">
        <v>1.53883794</v>
      </c>
      <c r="I68" s="18" t="s">
        <v>431</v>
      </c>
      <c r="J68" s="20" t="s">
        <v>431</v>
      </c>
      <c r="K68" s="18" t="n">
        <v>5.21087299</v>
      </c>
      <c r="L68" s="20" t="n">
        <v>0.64016799</v>
      </c>
      <c r="M68" s="18" t="n">
        <v>0</v>
      </c>
      <c r="N68" s="20" t="n">
        <v>0</v>
      </c>
      <c r="O68" s="18" t="n">
        <v>0</v>
      </c>
      <c r="P68" s="20" t="n">
        <v>0</v>
      </c>
      <c r="Q68" s="18" t="n">
        <v>6.5235815</v>
      </c>
      <c r="R68" s="20" t="n">
        <v>0.80343389</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(2582.0/B70*100)</f>
        <v/>
      </c>
      <c r="D70" s="19" t="n">
        <v>347</v>
      </c>
      <c r="E70" s="18" t="n">
        <v>24.75503464</v>
      </c>
      <c r="F70" s="20" t="n">
        <v>2.89852426</v>
      </c>
      <c r="G70" s="18" t="n">
        <v>73.48654829</v>
      </c>
      <c r="H70" s="20" t="n">
        <v>2.96192383</v>
      </c>
      <c r="I70" s="18" t="s">
        <v>431</v>
      </c>
      <c r="J70" s="20" t="s">
        <v>431</v>
      </c>
      <c r="K70" s="18" t="n">
        <v>0.38109949</v>
      </c>
      <c r="L70" s="20" t="n">
        <v>0.27693152</v>
      </c>
      <c r="M70" s="18" t="n">
        <v>0</v>
      </c>
      <c r="N70" s="20" t="n">
        <v>0</v>
      </c>
      <c r="O70" s="18" t="n">
        <v>0</v>
      </c>
      <c r="P70" s="20" t="n">
        <v>0</v>
      </c>
      <c r="Q70" s="18" t="n">
        <v>1.37731758</v>
      </c>
      <c r="R70" s="20" t="n">
        <v>0.5546152600000001</v>
      </c>
    </row>
    <row r="71" spans="1:18">
      <c r="A71" s="15" t="s">
        <v>495</v>
      </c>
      <c r="B71" s="17" t="n">
        <v>3142</v>
      </c>
      <c r="C71" s="18">
        <f>(2755.0/B71*100)</f>
        <v/>
      </c>
      <c r="D71" s="19" t="n">
        <v>387</v>
      </c>
      <c r="E71" s="18" t="n">
        <v>11.99134849</v>
      </c>
      <c r="F71" s="20" t="n">
        <v>1.58130257</v>
      </c>
      <c r="G71" s="18" t="n">
        <v>87.39961028</v>
      </c>
      <c r="H71" s="20" t="n">
        <v>1.74894925</v>
      </c>
      <c r="I71" s="18" t="s">
        <v>431</v>
      </c>
      <c r="J71" s="20" t="s">
        <v>431</v>
      </c>
      <c r="K71" s="18" t="n">
        <v>0.23655429</v>
      </c>
      <c r="L71" s="20" t="n">
        <v>0.23908564</v>
      </c>
      <c r="M71" s="18" t="n">
        <v>0</v>
      </c>
      <c r="N71" s="20" t="n">
        <v>0</v>
      </c>
      <c r="O71" s="18" t="n">
        <v>0</v>
      </c>
      <c r="P71" s="20" t="n">
        <v>0</v>
      </c>
      <c r="Q71" s="18" t="n">
        <v>0.37248694</v>
      </c>
      <c r="R71" s="20" t="n">
        <v>0.29590722</v>
      </c>
    </row>
    <row r="72" spans="1:18">
      <c r="A72" s="15" t="s">
        <v>496</v>
      </c>
      <c r="B72" s="17" t="n">
        <v>3889</v>
      </c>
      <c r="C72" s="18">
        <f>(3425.0/B72*100)</f>
        <v/>
      </c>
      <c r="D72" s="19" t="n">
        <v>464</v>
      </c>
      <c r="E72" s="18" t="n">
        <v>31.41075443</v>
      </c>
      <c r="F72" s="20" t="n">
        <v>2.01794441</v>
      </c>
      <c r="G72" s="18" t="n">
        <v>67.97921515</v>
      </c>
      <c r="H72" s="20" t="n">
        <v>2.06012563</v>
      </c>
      <c r="I72" s="18" t="s">
        <v>431</v>
      </c>
      <c r="J72" s="20" t="s">
        <v>431</v>
      </c>
      <c r="K72" s="18" t="n">
        <v>0.43794447</v>
      </c>
      <c r="L72" s="20" t="n">
        <v>0.31746472</v>
      </c>
      <c r="M72" s="18" t="n">
        <v>0</v>
      </c>
      <c r="N72" s="20" t="n">
        <v>0</v>
      </c>
      <c r="O72" s="18" t="n">
        <v>0</v>
      </c>
      <c r="P72" s="20" t="n">
        <v>0</v>
      </c>
      <c r="Q72" s="18" t="n">
        <v>0.17208595</v>
      </c>
      <c r="R72" s="20" t="n">
        <v>0.17098119</v>
      </c>
    </row>
    <row r="73" spans="1:18">
      <c r="A73" s="15" t="s">
        <v>497</v>
      </c>
      <c r="B73" s="17" t="n">
        <v>3597</v>
      </c>
      <c r="C73" s="18">
        <f>(3166.0/B73*100)</f>
        <v/>
      </c>
      <c r="D73" s="19" t="n">
        <v>431</v>
      </c>
      <c r="E73" s="18" t="n">
        <v>28.44139449</v>
      </c>
      <c r="F73" s="20" t="n">
        <v>2.47782662</v>
      </c>
      <c r="G73" s="18" t="n">
        <v>71.55860551000001</v>
      </c>
      <c r="H73" s="20" t="n">
        <v>2.47782662</v>
      </c>
      <c r="I73" s="18" t="s">
        <v>431</v>
      </c>
      <c r="J73" s="20" t="s">
        <v>431</v>
      </c>
      <c r="K73" s="18" t="n">
        <v>0</v>
      </c>
      <c r="L73" s="20" t="n">
        <v>0</v>
      </c>
      <c r="M73" s="18" t="n">
        <v>0</v>
      </c>
      <c r="N73" s="20" t="n">
        <v>0</v>
      </c>
      <c r="O73" s="18" t="n">
        <v>0</v>
      </c>
      <c r="P73" s="20" t="n">
        <v>0</v>
      </c>
      <c r="Q73" s="18" t="n">
        <v>0</v>
      </c>
      <c r="R73" s="20" t="n">
        <v>0</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(2132.0/B75*100)</f>
        <v/>
      </c>
      <c r="D75" s="19" t="n">
        <v>274</v>
      </c>
      <c r="E75" s="18" t="n">
        <v>34.85670138</v>
      </c>
      <c r="F75" s="20" t="n">
        <v>3.44644128</v>
      </c>
      <c r="G75" s="18" t="n">
        <v>57.99532144</v>
      </c>
      <c r="H75" s="20" t="n">
        <v>3.71983482</v>
      </c>
      <c r="I75" s="18" t="s">
        <v>431</v>
      </c>
      <c r="J75" s="20" t="s">
        <v>431</v>
      </c>
      <c r="K75" s="18" t="n">
        <v>4.08516642</v>
      </c>
      <c r="L75" s="20" t="n">
        <v>1.28806799</v>
      </c>
      <c r="M75" s="18" t="n">
        <v>0</v>
      </c>
      <c r="N75" s="20" t="n">
        <v>0</v>
      </c>
      <c r="O75" s="18" t="n">
        <v>0</v>
      </c>
      <c r="P75" s="20" t="n">
        <v>0</v>
      </c>
      <c r="Q75" s="18" t="n">
        <v>3.06281075</v>
      </c>
      <c r="R75" s="20" t="n">
        <v>1.04415571</v>
      </c>
    </row>
    <row r="76" spans="1:18">
      <c r="A76" s="15" t="s">
        <v>500</v>
      </c>
      <c r="B76" s="17" t="n">
        <v>7052</v>
      </c>
      <c r="C76" s="18">
        <f>(6211.0/B76*100)</f>
        <v/>
      </c>
      <c r="D76" s="19" t="n">
        <v>841</v>
      </c>
      <c r="E76" s="18" t="n">
        <v>41.27316822</v>
      </c>
      <c r="F76" s="20" t="n">
        <v>2.11474913</v>
      </c>
      <c r="G76" s="18" t="n">
        <v>53.25040956</v>
      </c>
      <c r="H76" s="20" t="n">
        <v>2.14409647</v>
      </c>
      <c r="I76" s="18" t="s">
        <v>431</v>
      </c>
      <c r="J76" s="20" t="s">
        <v>431</v>
      </c>
      <c r="K76" s="18" t="n">
        <v>1.85540623</v>
      </c>
      <c r="L76" s="20" t="n">
        <v>0.5743492</v>
      </c>
      <c r="M76" s="18" t="n">
        <v>0</v>
      </c>
      <c r="N76" s="20" t="n">
        <v>0</v>
      </c>
      <c r="O76" s="18" t="n">
        <v>0</v>
      </c>
      <c r="P76" s="20" t="n">
        <v>0</v>
      </c>
      <c r="Q76" s="18" t="n">
        <v>3.621016</v>
      </c>
      <c r="R76" s="20" t="n">
        <v>0.7523065</v>
      </c>
    </row>
    <row r="77" spans="1:18">
      <c r="A77" s="15" t="s">
        <v>501</v>
      </c>
      <c r="B77" s="17" t="n">
        <v>2908</v>
      </c>
      <c r="C77" s="18">
        <f>(2588.0/B77*100)</f>
        <v/>
      </c>
      <c r="D77" s="19" t="n">
        <v>320</v>
      </c>
      <c r="E77" s="18" t="n">
        <v>23.27746755</v>
      </c>
      <c r="F77" s="20" t="n">
        <v>2.71742959</v>
      </c>
      <c r="G77" s="18" t="n">
        <v>68.47453413</v>
      </c>
      <c r="H77" s="20" t="n">
        <v>3.18739233</v>
      </c>
      <c r="I77" s="18" t="s">
        <v>431</v>
      </c>
      <c r="J77" s="20" t="s">
        <v>431</v>
      </c>
      <c r="K77" s="18" t="n">
        <v>3.43522052</v>
      </c>
      <c r="L77" s="20" t="n">
        <v>1.1048544</v>
      </c>
      <c r="M77" s="18" t="n">
        <v>0</v>
      </c>
      <c r="N77" s="20" t="n">
        <v>0</v>
      </c>
      <c r="O77" s="18" t="n">
        <v>0</v>
      </c>
      <c r="P77" s="20" t="n">
        <v>0</v>
      </c>
      <c r="Q77" s="18" t="n">
        <v>4.81277779</v>
      </c>
      <c r="R77" s="20" t="n">
        <v>1.16658708</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(3656.0/B81*100)</f>
        <v/>
      </c>
      <c r="D81" s="19" t="n">
        <v>507</v>
      </c>
      <c r="E81" s="18" t="n">
        <v>27.71255793</v>
      </c>
      <c r="F81" s="20" t="n">
        <v>2.54445147</v>
      </c>
      <c r="G81" s="18" t="n">
        <v>72.07086443</v>
      </c>
      <c r="H81" s="20" t="n">
        <v>2.55145054</v>
      </c>
      <c r="I81" s="18" t="s">
        <v>431</v>
      </c>
      <c r="J81" s="20" t="s">
        <v>431</v>
      </c>
      <c r="K81" s="18" t="n">
        <v>0.21657764</v>
      </c>
      <c r="L81" s="20" t="n">
        <v>0.15230674</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(6472.0/B7*100)</f>
        <v/>
      </c>
      <c r="D7" s="19" t="n">
        <v>895</v>
      </c>
      <c r="E7" s="18" t="n">
        <v>61.14188437</v>
      </c>
      <c r="F7" s="20" t="n">
        <v>1.75471711</v>
      </c>
      <c r="G7" s="18" t="n">
        <v>26.99093152</v>
      </c>
      <c r="H7" s="20" t="n">
        <v>1.80328433</v>
      </c>
      <c r="I7" s="18" t="s">
        <v>431</v>
      </c>
      <c r="J7" s="20" t="s">
        <v>431</v>
      </c>
      <c r="K7" s="18" t="n">
        <v>0.50701743</v>
      </c>
      <c r="L7" s="20" t="n">
        <v>0.25805782</v>
      </c>
      <c r="M7" s="18" t="n">
        <v>0</v>
      </c>
      <c r="N7" s="20" t="n">
        <v>0</v>
      </c>
      <c r="O7" s="18" t="n">
        <v>0</v>
      </c>
      <c r="P7" s="20" t="n">
        <v>0</v>
      </c>
      <c r="Q7" s="18" t="n">
        <v>11.36016668</v>
      </c>
      <c r="R7" s="20" t="n">
        <v>1.39159887</v>
      </c>
    </row>
    <row r="8" spans="1:18">
      <c r="A8" s="15" t="s">
        <v>432</v>
      </c>
      <c r="B8" s="17" t="n">
        <v>3564</v>
      </c>
      <c r="C8" s="18">
        <f>(3143.0/B8*100)</f>
        <v/>
      </c>
      <c r="D8" s="19" t="n">
        <v>421</v>
      </c>
      <c r="E8" s="18" t="n">
        <v>64.42756599000001</v>
      </c>
      <c r="F8" s="20" t="n">
        <v>2.22422509</v>
      </c>
      <c r="G8" s="18" t="n">
        <v>20.96776647</v>
      </c>
      <c r="H8" s="20" t="n">
        <v>1.8114351</v>
      </c>
      <c r="I8" s="18" t="s">
        <v>431</v>
      </c>
      <c r="J8" s="20" t="s">
        <v>431</v>
      </c>
      <c r="K8" s="18" t="n">
        <v>0.13196536</v>
      </c>
      <c r="L8" s="20" t="n">
        <v>0.12982799</v>
      </c>
      <c r="M8" s="18" t="n">
        <v>0</v>
      </c>
      <c r="N8" s="20" t="n">
        <v>0</v>
      </c>
      <c r="O8" s="18" t="n">
        <v>0</v>
      </c>
      <c r="P8" s="20" t="n">
        <v>0</v>
      </c>
      <c r="Q8" s="18" t="n">
        <v>14.47270218</v>
      </c>
      <c r="R8" s="20" t="n">
        <v>1.7743387</v>
      </c>
    </row>
    <row r="9" spans="1:18">
      <c r="A9" s="15" t="s">
        <v>433</v>
      </c>
      <c r="B9" s="17" t="n">
        <v>4899</v>
      </c>
      <c r="C9" s="18">
        <f>(4346.0/B9*100)</f>
        <v/>
      </c>
      <c r="D9" s="19" t="n">
        <v>553</v>
      </c>
      <c r="E9" s="18" t="n">
        <v>60.31966551</v>
      </c>
      <c r="F9" s="20" t="n">
        <v>1.92969992</v>
      </c>
      <c r="G9" s="18" t="n">
        <v>28.26081677</v>
      </c>
      <c r="H9" s="20" t="n">
        <v>1.85797322</v>
      </c>
      <c r="I9" s="18" t="s">
        <v>431</v>
      </c>
      <c r="J9" s="20" t="s">
        <v>431</v>
      </c>
      <c r="K9" s="18" t="n">
        <v>1.05915636</v>
      </c>
      <c r="L9" s="20" t="n">
        <v>0.47587313</v>
      </c>
      <c r="M9" s="18" t="n">
        <v>0</v>
      </c>
      <c r="N9" s="20" t="n">
        <v>0</v>
      </c>
      <c r="O9" s="18" t="n">
        <v>0</v>
      </c>
      <c r="P9" s="20" t="n">
        <v>0</v>
      </c>
      <c r="Q9" s="18" t="n">
        <v>10.36036136</v>
      </c>
      <c r="R9" s="20" t="n">
        <v>1.13682891</v>
      </c>
    </row>
    <row r="10" spans="1:18">
      <c r="A10" s="15" t="s">
        <v>434</v>
      </c>
      <c r="B10" s="17" t="n">
        <v>10036</v>
      </c>
      <c r="C10" s="18">
        <f>(8851.0/B10*100)</f>
        <v/>
      </c>
      <c r="D10" s="19" t="n">
        <v>1185</v>
      </c>
      <c r="E10" s="18" t="n">
        <v>63.28497598</v>
      </c>
      <c r="F10" s="20" t="n">
        <v>2.01291511</v>
      </c>
      <c r="G10" s="18" t="n">
        <v>25.70947441</v>
      </c>
      <c r="H10" s="20" t="n">
        <v>1.9433537</v>
      </c>
      <c r="I10" s="18" t="s">
        <v>431</v>
      </c>
      <c r="J10" s="20" t="s">
        <v>431</v>
      </c>
      <c r="K10" s="18" t="n">
        <v>0.39930055</v>
      </c>
      <c r="L10" s="20" t="n">
        <v>0.19511507</v>
      </c>
      <c r="M10" s="18" t="n">
        <v>0</v>
      </c>
      <c r="N10" s="20" t="n">
        <v>0</v>
      </c>
      <c r="O10" s="18" t="n">
        <v>0</v>
      </c>
      <c r="P10" s="20" t="n">
        <v>0</v>
      </c>
      <c r="Q10" s="18" t="n">
        <v>10.60624905</v>
      </c>
      <c r="R10" s="20" t="n">
        <v>1.19377133</v>
      </c>
    </row>
    <row r="11" spans="1:18">
      <c r="A11" s="15" t="s">
        <v>435</v>
      </c>
      <c r="B11" s="17" t="n">
        <v>3553</v>
      </c>
      <c r="C11" s="18">
        <f>(3136.0/B11*100)</f>
        <v/>
      </c>
      <c r="D11" s="19" t="n">
        <v>417</v>
      </c>
      <c r="E11" s="18" t="n">
        <v>64.39373512</v>
      </c>
      <c r="F11" s="20" t="n">
        <v>2.86206124</v>
      </c>
      <c r="G11" s="18" t="n">
        <v>14.8179437</v>
      </c>
      <c r="H11" s="20" t="n">
        <v>2.12191645</v>
      </c>
      <c r="I11" s="18" t="s">
        <v>431</v>
      </c>
      <c r="J11" s="20" t="s">
        <v>431</v>
      </c>
      <c r="K11" s="18" t="n">
        <v>1.29648974</v>
      </c>
      <c r="L11" s="20" t="n">
        <v>0.7987994899999999</v>
      </c>
      <c r="M11" s="18" t="n">
        <v>0</v>
      </c>
      <c r="N11" s="20" t="n">
        <v>0</v>
      </c>
      <c r="O11" s="18" t="n">
        <v>0</v>
      </c>
      <c r="P11" s="20" t="n">
        <v>0</v>
      </c>
      <c r="Q11" s="18" t="n">
        <v>19.49183145</v>
      </c>
      <c r="R11" s="20" t="n">
        <v>2.01732879</v>
      </c>
    </row>
    <row r="12" spans="1:18">
      <c r="A12" s="15" t="s">
        <v>436</v>
      </c>
      <c r="B12" s="17" t="n">
        <v>3472</v>
      </c>
      <c r="C12" s="18">
        <f>(3055.0/B12*100)</f>
        <v/>
      </c>
      <c r="D12" s="19" t="n">
        <v>417</v>
      </c>
      <c r="E12" s="18" t="n">
        <v>57.22654904</v>
      </c>
      <c r="F12" s="20" t="n">
        <v>2.713494</v>
      </c>
      <c r="G12" s="18" t="n">
        <v>30.28857386</v>
      </c>
      <c r="H12" s="20" t="n">
        <v>2.26211844</v>
      </c>
      <c r="I12" s="18" t="s">
        <v>431</v>
      </c>
      <c r="J12" s="20" t="s">
        <v>431</v>
      </c>
      <c r="K12" s="18" t="n">
        <v>0.27675659</v>
      </c>
      <c r="L12" s="20" t="n">
        <v>0.20014067</v>
      </c>
      <c r="M12" s="18" t="n">
        <v>0</v>
      </c>
      <c r="N12" s="20" t="n">
        <v>0</v>
      </c>
      <c r="O12" s="18" t="n">
        <v>0</v>
      </c>
      <c r="P12" s="20" t="n">
        <v>0</v>
      </c>
      <c r="Q12" s="18" t="n">
        <v>12.20812052</v>
      </c>
      <c r="R12" s="20" t="n">
        <v>1.78694603</v>
      </c>
    </row>
    <row r="13" spans="1:18">
      <c r="A13" s="15" t="s">
        <v>437</v>
      </c>
      <c r="B13" s="17" t="n">
        <v>3559</v>
      </c>
      <c r="C13" s="18">
        <f>(3161.0/B13*100)</f>
        <v/>
      </c>
      <c r="D13" s="19" t="n">
        <v>398</v>
      </c>
      <c r="E13" s="18" t="n">
        <v>62.31271893</v>
      </c>
      <c r="F13" s="20" t="n">
        <v>2.93585644</v>
      </c>
      <c r="G13" s="18" t="n">
        <v>27.23369106</v>
      </c>
      <c r="H13" s="20" t="n">
        <v>2.92555077</v>
      </c>
      <c r="I13" s="18" t="s">
        <v>431</v>
      </c>
      <c r="J13" s="20" t="s">
        <v>431</v>
      </c>
      <c r="K13" s="18" t="n">
        <v>1.01410411</v>
      </c>
      <c r="L13" s="20" t="n">
        <v>0.41364246</v>
      </c>
      <c r="M13" s="18" t="n">
        <v>0</v>
      </c>
      <c r="N13" s="20" t="n">
        <v>0</v>
      </c>
      <c r="O13" s="18" t="n">
        <v>0</v>
      </c>
      <c r="P13" s="20" t="n">
        <v>0</v>
      </c>
      <c r="Q13" s="18" t="n">
        <v>9.43948591</v>
      </c>
      <c r="R13" s="20" t="n">
        <v>1.64686693</v>
      </c>
    </row>
    <row r="14" spans="1:18">
      <c r="A14" s="15" t="s">
        <v>438</v>
      </c>
      <c r="B14" s="17" t="n">
        <v>2799</v>
      </c>
      <c r="C14" s="18">
        <f>(2448.0/B14*100)</f>
        <v/>
      </c>
      <c r="D14" s="19" t="n">
        <v>351</v>
      </c>
      <c r="E14" s="18" t="n">
        <v>58.39229853</v>
      </c>
      <c r="F14" s="20" t="n">
        <v>2.92418959</v>
      </c>
      <c r="G14" s="18" t="n">
        <v>30.64106068</v>
      </c>
      <c r="H14" s="20" t="n">
        <v>2.72326723</v>
      </c>
      <c r="I14" s="18" t="s">
        <v>431</v>
      </c>
      <c r="J14" s="20" t="s">
        <v>431</v>
      </c>
      <c r="K14" s="18" t="n">
        <v>0.83881497</v>
      </c>
      <c r="L14" s="20" t="n">
        <v>0.41251201</v>
      </c>
      <c r="M14" s="18" t="n">
        <v>0</v>
      </c>
      <c r="N14" s="20" t="n">
        <v>0</v>
      </c>
      <c r="O14" s="18" t="n">
        <v>0</v>
      </c>
      <c r="P14" s="20" t="n">
        <v>0</v>
      </c>
      <c r="Q14" s="18" t="n">
        <v>10.12782582</v>
      </c>
      <c r="R14" s="20" t="n">
        <v>2.2079834</v>
      </c>
    </row>
    <row r="15" spans="1:18">
      <c r="A15" s="15" t="s">
        <v>439</v>
      </c>
      <c r="B15" s="17" t="n">
        <v>3019</v>
      </c>
      <c r="C15" s="18">
        <f>(2672.0/B15*100)</f>
        <v/>
      </c>
      <c r="D15" s="19" t="n">
        <v>347</v>
      </c>
      <c r="E15" s="18" t="n">
        <v>58.09894181</v>
      </c>
      <c r="F15" s="20" t="n">
        <v>2.58234401</v>
      </c>
      <c r="G15" s="18" t="n">
        <v>28.36220994</v>
      </c>
      <c r="H15" s="20" t="n">
        <v>2.68442415</v>
      </c>
      <c r="I15" s="18" t="s">
        <v>431</v>
      </c>
      <c r="J15" s="20" t="s">
        <v>431</v>
      </c>
      <c r="K15" s="18" t="n">
        <v>0.59397229</v>
      </c>
      <c r="L15" s="20" t="n">
        <v>0.42640145</v>
      </c>
      <c r="M15" s="18" t="n">
        <v>0</v>
      </c>
      <c r="N15" s="20" t="n">
        <v>0</v>
      </c>
      <c r="O15" s="18" t="n">
        <v>0</v>
      </c>
      <c r="P15" s="20" t="n">
        <v>0</v>
      </c>
      <c r="Q15" s="18" t="n">
        <v>12.94487597</v>
      </c>
      <c r="R15" s="20" t="n">
        <v>1.8956598</v>
      </c>
    </row>
    <row r="16" spans="1:18">
      <c r="A16" s="15" t="s">
        <v>440</v>
      </c>
      <c r="B16" s="17" t="n">
        <v>2997</v>
      </c>
      <c r="C16" s="18">
        <f>(2629.0/B16*100)</f>
        <v/>
      </c>
      <c r="D16" s="19" t="n">
        <v>368</v>
      </c>
      <c r="E16" s="18" t="n">
        <v>57.9454643</v>
      </c>
      <c r="F16" s="20" t="n">
        <v>2.79056109</v>
      </c>
      <c r="G16" s="18" t="n">
        <v>23.9472751</v>
      </c>
      <c r="H16" s="20" t="n">
        <v>2.58170878</v>
      </c>
      <c r="I16" s="18" t="s">
        <v>431</v>
      </c>
      <c r="J16" s="20" t="s">
        <v>431</v>
      </c>
      <c r="K16" s="18" t="n">
        <v>3.85885935</v>
      </c>
      <c r="L16" s="20" t="n">
        <v>1.33527126</v>
      </c>
      <c r="M16" s="18" t="n">
        <v>0</v>
      </c>
      <c r="N16" s="20" t="n">
        <v>0</v>
      </c>
      <c r="O16" s="18" t="n">
        <v>0</v>
      </c>
      <c r="P16" s="20" t="n">
        <v>0</v>
      </c>
      <c r="Q16" s="18" t="n">
        <v>14.24840125</v>
      </c>
      <c r="R16" s="20" t="n">
        <v>1.71160489</v>
      </c>
    </row>
    <row r="17" spans="1:18">
      <c r="A17" s="15" t="s">
        <v>441</v>
      </c>
      <c r="B17" s="17" t="n">
        <v>3307</v>
      </c>
      <c r="C17" s="18">
        <f>(2918.0/B17*100)</f>
        <v/>
      </c>
      <c r="D17" s="19" t="n">
        <v>389</v>
      </c>
      <c r="E17" s="18" t="n">
        <v>63.47175341</v>
      </c>
      <c r="F17" s="20" t="n">
        <v>2.29683728</v>
      </c>
      <c r="G17" s="18" t="n">
        <v>23.41419436</v>
      </c>
      <c r="H17" s="20" t="n">
        <v>2.23457592</v>
      </c>
      <c r="I17" s="18" t="s">
        <v>431</v>
      </c>
      <c r="J17" s="20" t="s">
        <v>431</v>
      </c>
      <c r="K17" s="18" t="n">
        <v>1.91943853</v>
      </c>
      <c r="L17" s="20" t="n">
        <v>0.69128019</v>
      </c>
      <c r="M17" s="18" t="n">
        <v>0</v>
      </c>
      <c r="N17" s="20" t="n">
        <v>0</v>
      </c>
      <c r="O17" s="18" t="n">
        <v>0</v>
      </c>
      <c r="P17" s="20" t="n">
        <v>0</v>
      </c>
      <c r="Q17" s="18" t="n">
        <v>11.19461369</v>
      </c>
      <c r="R17" s="20" t="n">
        <v>1.66073271</v>
      </c>
    </row>
    <row r="18" spans="1:18">
      <c r="A18" s="15" t="s">
        <v>442</v>
      </c>
      <c r="B18" s="17" t="n">
        <v>2826</v>
      </c>
      <c r="C18" s="18">
        <f>(2466.0/B18*100)</f>
        <v/>
      </c>
      <c r="D18" s="19" t="n">
        <v>360</v>
      </c>
      <c r="E18" s="18" t="n">
        <v>68.74882405</v>
      </c>
      <c r="F18" s="20" t="n">
        <v>2.63812954</v>
      </c>
      <c r="G18" s="18" t="n">
        <v>8.15554421</v>
      </c>
      <c r="H18" s="20" t="n">
        <v>1.59271489</v>
      </c>
      <c r="I18" s="18" t="s">
        <v>431</v>
      </c>
      <c r="J18" s="20" t="s">
        <v>431</v>
      </c>
      <c r="K18" s="18" t="n">
        <v>1.60097957</v>
      </c>
      <c r="L18" s="20" t="n">
        <v>0.69484481</v>
      </c>
      <c r="M18" s="18" t="n">
        <v>0</v>
      </c>
      <c r="N18" s="20" t="n">
        <v>0</v>
      </c>
      <c r="O18" s="18" t="n">
        <v>0</v>
      </c>
      <c r="P18" s="20" t="n">
        <v>0</v>
      </c>
      <c r="Q18" s="18" t="n">
        <v>21.49465217</v>
      </c>
      <c r="R18" s="20" t="n">
        <v>2.5491778</v>
      </c>
    </row>
    <row r="19" spans="1:18">
      <c r="A19" s="15" t="s">
        <v>443</v>
      </c>
      <c r="B19" s="17" t="n">
        <v>2808</v>
      </c>
      <c r="C19" s="18">
        <f>(2469.0/B19*100)</f>
        <v/>
      </c>
      <c r="D19" s="19" t="n">
        <v>339</v>
      </c>
      <c r="E19" s="18" t="n">
        <v>55.56220746</v>
      </c>
      <c r="F19" s="20" t="n">
        <v>3.33208686</v>
      </c>
      <c r="G19" s="18" t="n">
        <v>24.61073535</v>
      </c>
      <c r="H19" s="20" t="n">
        <v>2.24802923</v>
      </c>
      <c r="I19" s="18" t="s">
        <v>431</v>
      </c>
      <c r="J19" s="20" t="s">
        <v>431</v>
      </c>
      <c r="K19" s="18" t="n">
        <v>0.5004466</v>
      </c>
      <c r="L19" s="20" t="n">
        <v>0.36014531</v>
      </c>
      <c r="M19" s="18" t="n">
        <v>0</v>
      </c>
      <c r="N19" s="20" t="n">
        <v>0</v>
      </c>
      <c r="O19" s="18" t="n">
        <v>0</v>
      </c>
      <c r="P19" s="20" t="n">
        <v>0</v>
      </c>
      <c r="Q19" s="18" t="n">
        <v>19.32661058</v>
      </c>
      <c r="R19" s="20" t="n">
        <v>2.36676118</v>
      </c>
    </row>
    <row r="20" spans="1:18">
      <c r="A20" s="15" t="s">
        <v>444</v>
      </c>
      <c r="B20" s="17" t="n">
        <v>1630</v>
      </c>
      <c r="C20" s="18">
        <f>(1430.0/B20*100)</f>
        <v/>
      </c>
      <c r="D20" s="19" t="n">
        <v>200</v>
      </c>
      <c r="E20" s="18" t="n">
        <v>68.44404247999999</v>
      </c>
      <c r="F20" s="20" t="n">
        <v>3.72642847</v>
      </c>
      <c r="G20" s="18" t="n">
        <v>21.75108127</v>
      </c>
      <c r="H20" s="20" t="n">
        <v>3.2942109</v>
      </c>
      <c r="I20" s="18" t="s">
        <v>431</v>
      </c>
      <c r="J20" s="20" t="s">
        <v>431</v>
      </c>
      <c r="K20" s="18" t="n">
        <v>1.45830174</v>
      </c>
      <c r="L20" s="20" t="n">
        <v>0.83667621</v>
      </c>
      <c r="M20" s="18" t="n">
        <v>0</v>
      </c>
      <c r="N20" s="20" t="n">
        <v>0</v>
      </c>
      <c r="O20" s="18" t="n">
        <v>0</v>
      </c>
      <c r="P20" s="20" t="n">
        <v>0</v>
      </c>
      <c r="Q20" s="18" t="n">
        <v>8.34657451</v>
      </c>
      <c r="R20" s="20" t="n">
        <v>1.92242327</v>
      </c>
    </row>
    <row r="21" spans="1:18">
      <c r="A21" s="15" t="s">
        <v>445</v>
      </c>
      <c r="B21" s="17" t="n">
        <v>2908</v>
      </c>
      <c r="C21" s="18">
        <f>(2449.0/B21*100)</f>
        <v/>
      </c>
      <c r="D21" s="19" t="n">
        <v>459</v>
      </c>
      <c r="E21" s="18" t="n">
        <v>62.76065291</v>
      </c>
      <c r="F21" s="20" t="n">
        <v>2.3961949</v>
      </c>
      <c r="G21" s="18" t="n">
        <v>31.24121662</v>
      </c>
      <c r="H21" s="20" t="n">
        <v>2.18463108</v>
      </c>
      <c r="I21" s="18" t="s">
        <v>431</v>
      </c>
      <c r="J21" s="20" t="s">
        <v>431</v>
      </c>
      <c r="K21" s="18" t="n">
        <v>0.22753168</v>
      </c>
      <c r="L21" s="20" t="n">
        <v>0.22748182</v>
      </c>
      <c r="M21" s="18" t="n">
        <v>0</v>
      </c>
      <c r="N21" s="20" t="n">
        <v>0</v>
      </c>
      <c r="O21" s="18" t="n">
        <v>0</v>
      </c>
      <c r="P21" s="20" t="n">
        <v>0</v>
      </c>
      <c r="Q21" s="18" t="n">
        <v>5.77059879</v>
      </c>
      <c r="R21" s="20" t="n">
        <v>0.99878547</v>
      </c>
    </row>
    <row r="22" spans="1:18">
      <c r="A22" s="15" t="s">
        <v>446</v>
      </c>
      <c r="B22" s="17" t="n">
        <v>2931</v>
      </c>
      <c r="C22" s="18">
        <f>(2576.0/B22*100)</f>
        <v/>
      </c>
      <c r="D22" s="19" t="n">
        <v>355</v>
      </c>
      <c r="E22" s="18" t="n">
        <v>63.6854047</v>
      </c>
      <c r="F22" s="20" t="n">
        <v>2.57481801</v>
      </c>
      <c r="G22" s="18" t="n">
        <v>15.5294275</v>
      </c>
      <c r="H22" s="20" t="n">
        <v>2.14948279</v>
      </c>
      <c r="I22" s="18" t="s">
        <v>431</v>
      </c>
      <c r="J22" s="20" t="s">
        <v>431</v>
      </c>
      <c r="K22" s="18" t="n">
        <v>1.29307391</v>
      </c>
      <c r="L22" s="20" t="n">
        <v>0.65627633</v>
      </c>
      <c r="M22" s="18" t="n">
        <v>0</v>
      </c>
      <c r="N22" s="20" t="n">
        <v>0</v>
      </c>
      <c r="O22" s="18" t="n">
        <v>0</v>
      </c>
      <c r="P22" s="20" t="n">
        <v>0</v>
      </c>
      <c r="Q22" s="18" t="n">
        <v>19.49209388</v>
      </c>
      <c r="R22" s="20" t="n">
        <v>2.34693973</v>
      </c>
    </row>
    <row r="23" spans="1:18">
      <c r="A23" s="15" t="s">
        <v>447</v>
      </c>
      <c r="B23" s="17" t="n">
        <v>5791</v>
      </c>
      <c r="C23" s="18">
        <f>(5114.0/B23*100)</f>
        <v/>
      </c>
      <c r="D23" s="19" t="n">
        <v>677</v>
      </c>
      <c r="E23" s="18" t="n">
        <v>61.45541517</v>
      </c>
      <c r="F23" s="20" t="n">
        <v>2.7730624</v>
      </c>
      <c r="G23" s="18" t="n">
        <v>21.67614175</v>
      </c>
      <c r="H23" s="20" t="n">
        <v>2.35874523</v>
      </c>
      <c r="I23" s="18" t="s">
        <v>431</v>
      </c>
      <c r="J23" s="20" t="s">
        <v>431</v>
      </c>
      <c r="K23" s="18" t="n">
        <v>2.42501832</v>
      </c>
      <c r="L23" s="20" t="n">
        <v>0.95198622</v>
      </c>
      <c r="M23" s="18" t="n">
        <v>0</v>
      </c>
      <c r="N23" s="20" t="n">
        <v>0</v>
      </c>
      <c r="O23" s="18" t="n">
        <v>0</v>
      </c>
      <c r="P23" s="20" t="n">
        <v>0</v>
      </c>
      <c r="Q23" s="18" t="n">
        <v>14.44342476</v>
      </c>
      <c r="R23" s="20" t="n">
        <v>1.81431372</v>
      </c>
    </row>
    <row r="24" spans="1:18">
      <c r="A24" s="15" t="s">
        <v>448</v>
      </c>
      <c r="B24" s="17" t="n">
        <v>3338</v>
      </c>
      <c r="C24" s="18">
        <f>(2942.0/B24*100)</f>
        <v/>
      </c>
      <c r="D24" s="19" t="n">
        <v>396</v>
      </c>
      <c r="E24" s="18" t="n">
        <v>51.15735522</v>
      </c>
      <c r="F24" s="20" t="n">
        <v>2.69453186</v>
      </c>
      <c r="G24" s="18" t="n">
        <v>40.99588021</v>
      </c>
      <c r="H24" s="20" t="n">
        <v>2.8092274</v>
      </c>
      <c r="I24" s="18" t="s">
        <v>431</v>
      </c>
      <c r="J24" s="20" t="s">
        <v>431</v>
      </c>
      <c r="K24" s="18" t="n">
        <v>0.48228507</v>
      </c>
      <c r="L24" s="20" t="n">
        <v>0.34181652</v>
      </c>
      <c r="M24" s="18" t="n">
        <v>0</v>
      </c>
      <c r="N24" s="20" t="n">
        <v>0</v>
      </c>
      <c r="O24" s="18" t="n">
        <v>0</v>
      </c>
      <c r="P24" s="20" t="n">
        <v>0</v>
      </c>
      <c r="Q24" s="18" t="n">
        <v>7.3644795</v>
      </c>
      <c r="R24" s="20" t="n">
        <v>1.40718947</v>
      </c>
    </row>
    <row r="25" spans="1:18">
      <c r="A25" s="15" t="s">
        <v>449</v>
      </c>
      <c r="B25" s="17" t="n">
        <v>2912</v>
      </c>
      <c r="C25" s="18">
        <f>(2542.0/B25*100)</f>
        <v/>
      </c>
      <c r="D25" s="19" t="n">
        <v>370</v>
      </c>
      <c r="E25" s="18" t="n">
        <v>74.21979093</v>
      </c>
      <c r="F25" s="20" t="n">
        <v>2.42524257</v>
      </c>
      <c r="G25" s="18" t="n">
        <v>15.17670147</v>
      </c>
      <c r="H25" s="20" t="n">
        <v>1.98235236</v>
      </c>
      <c r="I25" s="18" t="s">
        <v>431</v>
      </c>
      <c r="J25" s="20" t="s">
        <v>431</v>
      </c>
      <c r="K25" s="18" t="n">
        <v>0</v>
      </c>
      <c r="L25" s="20" t="n">
        <v>0</v>
      </c>
      <c r="M25" s="18" t="n">
        <v>0</v>
      </c>
      <c r="N25" s="20" t="n">
        <v>0</v>
      </c>
      <c r="O25" s="18" t="n">
        <v>0</v>
      </c>
      <c r="P25" s="20" t="n">
        <v>0</v>
      </c>
      <c r="Q25" s="18" t="n">
        <v>10.6035076</v>
      </c>
      <c r="R25" s="20" t="n">
        <v>1.75481615</v>
      </c>
    </row>
    <row r="26" spans="1:18">
      <c r="A26" s="15" t="s">
        <v>450</v>
      </c>
      <c r="B26" s="17" t="n">
        <v>2450</v>
      </c>
      <c r="C26" s="18">
        <f>(2160.0/B26*100)</f>
        <v/>
      </c>
      <c r="D26" s="19" t="n">
        <v>290</v>
      </c>
      <c r="E26" s="18" t="n">
        <v>65.58557638000001</v>
      </c>
      <c r="F26" s="20" t="n">
        <v>2.83008265</v>
      </c>
      <c r="G26" s="18" t="n">
        <v>25.04853207</v>
      </c>
      <c r="H26" s="20" t="n">
        <v>2.7101554</v>
      </c>
      <c r="I26" s="18" t="s">
        <v>431</v>
      </c>
      <c r="J26" s="20" t="s">
        <v>431</v>
      </c>
      <c r="K26" s="18" t="n">
        <v>0.75728324</v>
      </c>
      <c r="L26" s="20" t="n">
        <v>0.52551159</v>
      </c>
      <c r="M26" s="18" t="n">
        <v>0</v>
      </c>
      <c r="N26" s="20" t="n">
        <v>0</v>
      </c>
      <c r="O26" s="18" t="n">
        <v>0</v>
      </c>
      <c r="P26" s="20" t="n">
        <v>0</v>
      </c>
      <c r="Q26" s="18" t="n">
        <v>8.60860832</v>
      </c>
      <c r="R26" s="20" t="n">
        <v>1.61623846</v>
      </c>
    </row>
    <row r="27" spans="1:18">
      <c r="A27" s="15" t="s">
        <v>451</v>
      </c>
      <c r="B27" s="17" t="n">
        <v>2616</v>
      </c>
      <c r="C27" s="18">
        <f>(2290.0/B27*100)</f>
        <v/>
      </c>
      <c r="D27" s="19" t="n">
        <v>326</v>
      </c>
      <c r="E27" s="18" t="n">
        <v>58.82455664</v>
      </c>
      <c r="F27" s="20" t="n">
        <v>2.48540378</v>
      </c>
      <c r="G27" s="18" t="n">
        <v>25.56830287</v>
      </c>
      <c r="H27" s="20" t="n">
        <v>2.30783832</v>
      </c>
      <c r="I27" s="18" t="s">
        <v>431</v>
      </c>
      <c r="J27" s="20" t="s">
        <v>431</v>
      </c>
      <c r="K27" s="18" t="n">
        <v>1.86694415</v>
      </c>
      <c r="L27" s="20" t="n">
        <v>0.86210857</v>
      </c>
      <c r="M27" s="18" t="n">
        <v>0</v>
      </c>
      <c r="N27" s="20" t="n">
        <v>0</v>
      </c>
      <c r="O27" s="18" t="n">
        <v>0</v>
      </c>
      <c r="P27" s="20" t="n">
        <v>0</v>
      </c>
      <c r="Q27" s="18" t="n">
        <v>13.74019634</v>
      </c>
      <c r="R27" s="20" t="n">
        <v>1.80797987</v>
      </c>
    </row>
    <row r="28" spans="1:18">
      <c r="A28" s="15" t="s">
        <v>452</v>
      </c>
      <c r="B28" s="17" t="n">
        <v>3765</v>
      </c>
      <c r="C28" s="18">
        <f>(3362.0/B28*100)</f>
        <v/>
      </c>
      <c r="D28" s="19" t="n">
        <v>403</v>
      </c>
      <c r="E28" s="18" t="n">
        <v>70.20744636000001</v>
      </c>
      <c r="F28" s="20" t="n">
        <v>2.25696588</v>
      </c>
      <c r="G28" s="18" t="n">
        <v>13.371255</v>
      </c>
      <c r="H28" s="20" t="n">
        <v>1.94275341</v>
      </c>
      <c r="I28" s="18" t="s">
        <v>431</v>
      </c>
      <c r="J28" s="20" t="s">
        <v>431</v>
      </c>
      <c r="K28" s="18" t="n">
        <v>0.752981</v>
      </c>
      <c r="L28" s="20" t="n">
        <v>0.42414618</v>
      </c>
      <c r="M28" s="18" t="n">
        <v>0</v>
      </c>
      <c r="N28" s="20" t="n">
        <v>0</v>
      </c>
      <c r="O28" s="18" t="n">
        <v>0</v>
      </c>
      <c r="P28" s="20" t="n">
        <v>0</v>
      </c>
      <c r="Q28" s="18" t="n">
        <v>15.66831764</v>
      </c>
      <c r="R28" s="20" t="n">
        <v>1.95518298</v>
      </c>
    </row>
    <row r="29" spans="1:18">
      <c r="A29" s="15" t="s">
        <v>453</v>
      </c>
      <c r="B29" s="17" t="n">
        <v>2685</v>
      </c>
      <c r="C29" s="18">
        <f>(2368.0/B29*100)</f>
        <v/>
      </c>
      <c r="D29" s="19" t="n">
        <v>317</v>
      </c>
      <c r="E29" s="18" t="n">
        <v>66.27837211000001</v>
      </c>
      <c r="F29" s="20" t="n">
        <v>2.86351981</v>
      </c>
      <c r="G29" s="18" t="n">
        <v>20.94815563</v>
      </c>
      <c r="H29" s="20" t="n">
        <v>2.18147606</v>
      </c>
      <c r="I29" s="18" t="s">
        <v>431</v>
      </c>
      <c r="J29" s="20" t="s">
        <v>431</v>
      </c>
      <c r="K29" s="18" t="n">
        <v>0.32414901</v>
      </c>
      <c r="L29" s="20" t="n">
        <v>0.34741924</v>
      </c>
      <c r="M29" s="18" t="n">
        <v>0</v>
      </c>
      <c r="N29" s="20" t="n">
        <v>0</v>
      </c>
      <c r="O29" s="18" t="n">
        <v>0</v>
      </c>
      <c r="P29" s="20" t="n">
        <v>0</v>
      </c>
      <c r="Q29" s="18" t="n">
        <v>12.44932325</v>
      </c>
      <c r="R29" s="20" t="n">
        <v>2.13533192</v>
      </c>
    </row>
    <row r="30" spans="1:18">
      <c r="A30" s="15" t="s">
        <v>454</v>
      </c>
      <c r="B30" s="17" t="n">
        <v>2263</v>
      </c>
      <c r="C30" s="18">
        <f>(1998.0/B30*100)</f>
        <v/>
      </c>
      <c r="D30" s="19" t="n">
        <v>265</v>
      </c>
      <c r="E30" s="18" t="n">
        <v>61.89079029</v>
      </c>
      <c r="F30" s="20" t="n">
        <v>2.97756524</v>
      </c>
      <c r="G30" s="18" t="n">
        <v>24.80182117</v>
      </c>
      <c r="H30" s="20" t="n">
        <v>2.58674961</v>
      </c>
      <c r="I30" s="18" t="s">
        <v>431</v>
      </c>
      <c r="J30" s="20" t="s">
        <v>431</v>
      </c>
      <c r="K30" s="18" t="n">
        <v>3.37148058</v>
      </c>
      <c r="L30" s="20" t="n">
        <v>1.21869543</v>
      </c>
      <c r="M30" s="18" t="n">
        <v>0</v>
      </c>
      <c r="N30" s="20" t="n">
        <v>0</v>
      </c>
      <c r="O30" s="18" t="n">
        <v>0</v>
      </c>
      <c r="P30" s="20" t="n">
        <v>0</v>
      </c>
      <c r="Q30" s="18" t="n">
        <v>9.93590796</v>
      </c>
      <c r="R30" s="20" t="n">
        <v>1.62279606</v>
      </c>
    </row>
    <row r="31" spans="1:18">
      <c r="A31" s="15" t="s">
        <v>455</v>
      </c>
      <c r="B31" s="17" t="n">
        <v>2750</v>
      </c>
      <c r="C31" s="18">
        <f>(2398.0/B31*100)</f>
        <v/>
      </c>
      <c r="D31" s="19" t="n">
        <v>352</v>
      </c>
      <c r="E31" s="18" t="n">
        <v>50.38033083</v>
      </c>
      <c r="F31" s="20" t="n">
        <v>2.682977</v>
      </c>
      <c r="G31" s="18" t="n">
        <v>34.79776387</v>
      </c>
      <c r="H31" s="20" t="n">
        <v>2.70551676</v>
      </c>
      <c r="I31" s="18" t="s">
        <v>431</v>
      </c>
      <c r="J31" s="20" t="s">
        <v>431</v>
      </c>
      <c r="K31" s="18" t="n">
        <v>0.77869005</v>
      </c>
      <c r="L31" s="20" t="n">
        <v>0.44920785</v>
      </c>
      <c r="M31" s="18" t="n">
        <v>0</v>
      </c>
      <c r="N31" s="20" t="n">
        <v>0</v>
      </c>
      <c r="O31" s="18" t="n">
        <v>0</v>
      </c>
      <c r="P31" s="20" t="n">
        <v>0</v>
      </c>
      <c r="Q31" s="18" t="n">
        <v>14.04321526</v>
      </c>
      <c r="R31" s="20" t="n">
        <v>2.0081693</v>
      </c>
    </row>
    <row r="32" spans="1:18">
      <c r="A32" s="15" t="s">
        <v>456</v>
      </c>
      <c r="B32" s="17" t="n">
        <v>2269</v>
      </c>
      <c r="C32" s="18">
        <f>(1895.0/B32*100)</f>
        <v/>
      </c>
      <c r="D32" s="19" t="n">
        <v>374</v>
      </c>
      <c r="E32" s="18" t="n">
        <v>58.25726535</v>
      </c>
      <c r="F32" s="20" t="n">
        <v>2.31161872</v>
      </c>
      <c r="G32" s="18" t="n">
        <v>28.72953405</v>
      </c>
      <c r="H32" s="20" t="n">
        <v>1.95838013</v>
      </c>
      <c r="I32" s="18" t="s">
        <v>431</v>
      </c>
      <c r="J32" s="20" t="s">
        <v>431</v>
      </c>
      <c r="K32" s="18" t="n">
        <v>0.73496943</v>
      </c>
      <c r="L32" s="20" t="n">
        <v>0.42015614</v>
      </c>
      <c r="M32" s="18" t="n">
        <v>0</v>
      </c>
      <c r="N32" s="20" t="n">
        <v>0</v>
      </c>
      <c r="O32" s="18" t="n">
        <v>0</v>
      </c>
      <c r="P32" s="20" t="n">
        <v>0</v>
      </c>
      <c r="Q32" s="18" t="n">
        <v>12.27823117</v>
      </c>
      <c r="R32" s="20" t="n">
        <v>1.79552767</v>
      </c>
    </row>
    <row r="33" spans="1:18">
      <c r="A33" s="15" t="s">
        <v>457</v>
      </c>
      <c r="B33" s="17" t="n">
        <v>3674</v>
      </c>
      <c r="C33" s="18">
        <f>(3228.0/B33*100)</f>
        <v/>
      </c>
      <c r="D33" s="19" t="n">
        <v>446</v>
      </c>
      <c r="E33" s="18" t="n">
        <v>71.14993908</v>
      </c>
      <c r="F33" s="20" t="n">
        <v>2.73816146</v>
      </c>
      <c r="G33" s="18" t="n">
        <v>16.76112585</v>
      </c>
      <c r="H33" s="20" t="n">
        <v>2.06275773</v>
      </c>
      <c r="I33" s="18" t="s">
        <v>431</v>
      </c>
      <c r="J33" s="20" t="s">
        <v>431</v>
      </c>
      <c r="K33" s="18" t="n">
        <v>1.42603797</v>
      </c>
      <c r="L33" s="20" t="n">
        <v>0.80416056</v>
      </c>
      <c r="M33" s="18" t="n">
        <v>0</v>
      </c>
      <c r="N33" s="20" t="n">
        <v>0</v>
      </c>
      <c r="O33" s="18" t="n">
        <v>0</v>
      </c>
      <c r="P33" s="20" t="n">
        <v>0</v>
      </c>
      <c r="Q33" s="18" t="n">
        <v>10.6628971</v>
      </c>
      <c r="R33" s="20" t="n">
        <v>1.74930946</v>
      </c>
    </row>
    <row r="34" spans="1:18">
      <c r="A34" s="15" t="s">
        <v>458</v>
      </c>
      <c r="B34" s="17" t="n">
        <v>3315</v>
      </c>
      <c r="C34" s="18">
        <f>(2916.0/B34*100)</f>
        <v/>
      </c>
      <c r="D34" s="19" t="n">
        <v>399</v>
      </c>
      <c r="E34" s="18" t="n">
        <v>62.56352124</v>
      </c>
      <c r="F34" s="20" t="n">
        <v>2.75731891</v>
      </c>
      <c r="G34" s="18" t="n">
        <v>21.46084655</v>
      </c>
      <c r="H34" s="20" t="n">
        <v>2.35366379</v>
      </c>
      <c r="I34" s="18" t="s">
        <v>431</v>
      </c>
      <c r="J34" s="20" t="s">
        <v>431</v>
      </c>
      <c r="K34" s="18" t="n">
        <v>0.29035434</v>
      </c>
      <c r="L34" s="20" t="n">
        <v>0.30130337</v>
      </c>
      <c r="M34" s="18" t="n">
        <v>0</v>
      </c>
      <c r="N34" s="20" t="n">
        <v>0</v>
      </c>
      <c r="O34" s="18" t="n">
        <v>0</v>
      </c>
      <c r="P34" s="20" t="n">
        <v>0</v>
      </c>
      <c r="Q34" s="18" t="n">
        <v>15.68527787</v>
      </c>
      <c r="R34" s="20" t="n">
        <v>2.21428441</v>
      </c>
    </row>
    <row r="35" spans="1:18">
      <c r="A35" s="15" t="s">
        <v>459</v>
      </c>
      <c r="B35" s="17" t="n">
        <v>3505</v>
      </c>
      <c r="C35" s="18">
        <f>(3090.0/B35*100)</f>
        <v/>
      </c>
      <c r="D35" s="19" t="n">
        <v>415</v>
      </c>
      <c r="E35" s="18" t="n">
        <v>64.18775779000001</v>
      </c>
      <c r="F35" s="20" t="n">
        <v>2.89881349</v>
      </c>
      <c r="G35" s="18" t="n">
        <v>25.00247266</v>
      </c>
      <c r="H35" s="20" t="n">
        <v>2.47765301</v>
      </c>
      <c r="I35" s="18" t="s">
        <v>431</v>
      </c>
      <c r="J35" s="20" t="s">
        <v>431</v>
      </c>
      <c r="K35" s="18" t="n">
        <v>0.11265232</v>
      </c>
      <c r="L35" s="20" t="n">
        <v>0.1184396</v>
      </c>
      <c r="M35" s="18" t="n">
        <v>0</v>
      </c>
      <c r="N35" s="20" t="n">
        <v>0</v>
      </c>
      <c r="O35" s="18" t="n">
        <v>0</v>
      </c>
      <c r="P35" s="20" t="n">
        <v>0</v>
      </c>
      <c r="Q35" s="18" t="n">
        <v>10.69711723</v>
      </c>
      <c r="R35" s="20" t="n">
        <v>1.81025139</v>
      </c>
    </row>
    <row r="36" spans="1:18">
      <c r="A36" s="15" t="s">
        <v>460</v>
      </c>
      <c r="B36" s="17" t="n">
        <v>3332</v>
      </c>
      <c r="C36" s="18">
        <f>(2938.0/B36*100)</f>
        <v/>
      </c>
      <c r="D36" s="19" t="n">
        <v>394</v>
      </c>
      <c r="E36" s="18" t="n">
        <v>68.35669856</v>
      </c>
      <c r="F36" s="20" t="n">
        <v>2.62402746</v>
      </c>
      <c r="G36" s="18" t="n">
        <v>20.86436968</v>
      </c>
      <c r="H36" s="20" t="n">
        <v>2.08928973</v>
      </c>
      <c r="I36" s="18" t="s">
        <v>431</v>
      </c>
      <c r="J36" s="20" t="s">
        <v>431</v>
      </c>
      <c r="K36" s="18" t="n">
        <v>1.37192959</v>
      </c>
      <c r="L36" s="20" t="n">
        <v>0.71871575</v>
      </c>
      <c r="M36" s="18" t="n">
        <v>0</v>
      </c>
      <c r="N36" s="20" t="n">
        <v>0</v>
      </c>
      <c r="O36" s="18" t="n">
        <v>0</v>
      </c>
      <c r="P36" s="20" t="n">
        <v>0</v>
      </c>
      <c r="Q36" s="18" t="n">
        <v>9.407002159999999</v>
      </c>
      <c r="R36" s="20" t="n">
        <v>1.5142089</v>
      </c>
    </row>
    <row r="37" spans="1:18">
      <c r="A37" s="15" t="s">
        <v>461</v>
      </c>
      <c r="B37" s="17" t="n">
        <v>2727</v>
      </c>
      <c r="C37" s="18">
        <f>(2409.0/B37*100)</f>
        <v/>
      </c>
      <c r="D37" s="19" t="n">
        <v>318</v>
      </c>
      <c r="E37" s="18" t="n">
        <v>55.27345602</v>
      </c>
      <c r="F37" s="20" t="n">
        <v>2.55613073</v>
      </c>
      <c r="G37" s="18" t="n">
        <v>25.17591802</v>
      </c>
      <c r="H37" s="20" t="n">
        <v>2.57987716</v>
      </c>
      <c r="I37" s="18" t="s">
        <v>431</v>
      </c>
      <c r="J37" s="20" t="s">
        <v>431</v>
      </c>
      <c r="K37" s="18" t="n">
        <v>2.51231813</v>
      </c>
      <c r="L37" s="20" t="n">
        <v>0.85507365</v>
      </c>
      <c r="M37" s="18" t="n">
        <v>0</v>
      </c>
      <c r="N37" s="20" t="n">
        <v>0</v>
      </c>
      <c r="O37" s="18" t="n">
        <v>0</v>
      </c>
      <c r="P37" s="20" t="n">
        <v>0</v>
      </c>
      <c r="Q37" s="18" t="n">
        <v>17.03830783</v>
      </c>
      <c r="R37" s="20" t="n">
        <v>1.91567688</v>
      </c>
    </row>
    <row r="38" spans="1:18">
      <c r="A38" s="15" t="s">
        <v>462</v>
      </c>
      <c r="B38" s="17" t="n">
        <v>3053</v>
      </c>
      <c r="C38" s="18">
        <f>(2547.0/B38*100)</f>
        <v/>
      </c>
      <c r="D38" s="19" t="n">
        <v>506</v>
      </c>
      <c r="E38" s="18" t="n">
        <v>60.6079206</v>
      </c>
      <c r="F38" s="20" t="n">
        <v>2.78493552</v>
      </c>
      <c r="G38" s="18" t="n">
        <v>26.47200376</v>
      </c>
      <c r="H38" s="20" t="n">
        <v>2.85068946</v>
      </c>
      <c r="I38" s="18" t="s">
        <v>431</v>
      </c>
      <c r="J38" s="20" t="s">
        <v>431</v>
      </c>
      <c r="K38" s="18" t="n">
        <v>1.62579735</v>
      </c>
      <c r="L38" s="20" t="n">
        <v>0.5414358500000001</v>
      </c>
      <c r="M38" s="18" t="n">
        <v>0</v>
      </c>
      <c r="N38" s="20" t="n">
        <v>0</v>
      </c>
      <c r="O38" s="18" t="n">
        <v>0</v>
      </c>
      <c r="P38" s="20" t="n">
        <v>0</v>
      </c>
      <c r="Q38" s="18" t="n">
        <v>11.29427829</v>
      </c>
      <c r="R38" s="20" t="n">
        <v>1.63181419</v>
      </c>
    </row>
    <row r="39" spans="1:18">
      <c r="A39" s="15" t="s">
        <v>463</v>
      </c>
      <c r="B39" s="17" t="n">
        <v>2957</v>
      </c>
      <c r="C39" s="18">
        <f>(2593.0/B39*100)</f>
        <v/>
      </c>
      <c r="D39" s="19" t="n">
        <v>364</v>
      </c>
      <c r="E39" s="18" t="n">
        <v>68.08290562000001</v>
      </c>
      <c r="F39" s="20" t="n">
        <v>2.44583849</v>
      </c>
      <c r="G39" s="18" t="n">
        <v>4.51258502</v>
      </c>
      <c r="H39" s="20" t="n">
        <v>1.18576594</v>
      </c>
      <c r="I39" s="18" t="s">
        <v>431</v>
      </c>
      <c r="J39" s="20" t="s">
        <v>431</v>
      </c>
      <c r="K39" s="18" t="n">
        <v>0.98129093</v>
      </c>
      <c r="L39" s="20" t="n">
        <v>0.50056322</v>
      </c>
      <c r="M39" s="18" t="n">
        <v>0</v>
      </c>
      <c r="N39" s="20" t="n">
        <v>0</v>
      </c>
      <c r="O39" s="18" t="n">
        <v>0</v>
      </c>
      <c r="P39" s="20" t="n">
        <v>0</v>
      </c>
      <c r="Q39" s="18" t="n">
        <v>26.42321843</v>
      </c>
      <c r="R39" s="20" t="n">
        <v>2.46461793</v>
      </c>
    </row>
    <row r="40" spans="1:18">
      <c r="A40" s="15" t="s">
        <v>464</v>
      </c>
      <c r="B40" s="17" t="n">
        <v>7235</v>
      </c>
      <c r="C40" s="18">
        <f>(6360.0/B40*100)</f>
        <v/>
      </c>
      <c r="D40" s="19" t="n">
        <v>875</v>
      </c>
      <c r="E40" s="18" t="n">
        <v>60.85824595</v>
      </c>
      <c r="F40" s="20" t="n">
        <v>2.44442195</v>
      </c>
      <c r="G40" s="18" t="n">
        <v>27.04517583</v>
      </c>
      <c r="H40" s="20" t="n">
        <v>2.22721986</v>
      </c>
      <c r="I40" s="18" t="s">
        <v>431</v>
      </c>
      <c r="J40" s="20" t="s">
        <v>431</v>
      </c>
      <c r="K40" s="18" t="n">
        <v>1.31817094</v>
      </c>
      <c r="L40" s="20" t="n">
        <v>0.51981211</v>
      </c>
      <c r="M40" s="18" t="n">
        <v>0</v>
      </c>
      <c r="N40" s="20" t="n">
        <v>0</v>
      </c>
      <c r="O40" s="18" t="n">
        <v>0</v>
      </c>
      <c r="P40" s="20" t="n">
        <v>0</v>
      </c>
      <c r="Q40" s="18" t="n">
        <v>10.77840728</v>
      </c>
      <c r="R40" s="20" t="n">
        <v>1.60570941</v>
      </c>
    </row>
    <row r="41" spans="1:18">
      <c r="A41" s="15" t="s">
        <v>465</v>
      </c>
      <c r="B41" s="17" t="n">
        <v>2858</v>
      </c>
      <c r="C41" s="18">
        <f>(2515.0/B41*100)</f>
        <v/>
      </c>
      <c r="D41" s="19" t="n">
        <v>343</v>
      </c>
      <c r="E41" s="18" t="n">
        <v>64.37687404</v>
      </c>
      <c r="F41" s="20" t="n">
        <v>2.71912266</v>
      </c>
      <c r="G41" s="18" t="n">
        <v>28.07796219</v>
      </c>
      <c r="H41" s="20" t="n">
        <v>2.60367938</v>
      </c>
      <c r="I41" s="18" t="s">
        <v>431</v>
      </c>
      <c r="J41" s="20" t="s">
        <v>431</v>
      </c>
      <c r="K41" s="18" t="n">
        <v>0.46537179</v>
      </c>
      <c r="L41" s="20" t="n">
        <v>0.3210693</v>
      </c>
      <c r="M41" s="18" t="n">
        <v>0</v>
      </c>
      <c r="N41" s="20" t="n">
        <v>0</v>
      </c>
      <c r="O41" s="18" t="n">
        <v>0</v>
      </c>
      <c r="P41" s="20" t="n">
        <v>0</v>
      </c>
      <c r="Q41" s="18" t="n">
        <v>7.07979198</v>
      </c>
      <c r="R41" s="20" t="n">
        <v>1.32970781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(9976.0/B46*100)</f>
        <v/>
      </c>
      <c r="D46" s="19" t="n">
        <v>1092</v>
      </c>
      <c r="E46" s="18" t="n">
        <v>54.99604986</v>
      </c>
      <c r="F46" s="20" t="n">
        <v>2.03457398</v>
      </c>
      <c r="G46" s="18" t="n">
        <v>7.83847252</v>
      </c>
      <c r="H46" s="20" t="n">
        <v>1.01694302</v>
      </c>
      <c r="I46" s="18" t="s">
        <v>431</v>
      </c>
      <c r="J46" s="20" t="s">
        <v>431</v>
      </c>
      <c r="K46" s="18" t="n">
        <v>2.04883281</v>
      </c>
      <c r="L46" s="20" t="n">
        <v>0.49882711</v>
      </c>
      <c r="M46" s="18" t="n">
        <v>0</v>
      </c>
      <c r="N46" s="20" t="n">
        <v>0</v>
      </c>
      <c r="O46" s="18" t="n">
        <v>0</v>
      </c>
      <c r="P46" s="20" t="n">
        <v>0</v>
      </c>
      <c r="Q46" s="18" t="n">
        <v>35.1166448</v>
      </c>
      <c r="R46" s="20" t="n">
        <v>1.97325563</v>
      </c>
    </row>
    <row r="47" spans="1:18">
      <c r="A47" s="15" t="s">
        <v>471</v>
      </c>
      <c r="B47" s="17" t="n">
        <v>3105</v>
      </c>
      <c r="C47" s="18">
        <f>(2738.0/B47*100)</f>
        <v/>
      </c>
      <c r="D47" s="19" t="n">
        <v>367</v>
      </c>
      <c r="E47" s="18" t="n">
        <v>57.73366215</v>
      </c>
      <c r="F47" s="20" t="n">
        <v>2.39646287</v>
      </c>
      <c r="G47" s="18" t="n">
        <v>14.86316851</v>
      </c>
      <c r="H47" s="20" t="n">
        <v>2.17296709</v>
      </c>
      <c r="I47" s="18" t="s">
        <v>431</v>
      </c>
      <c r="J47" s="20" t="s">
        <v>431</v>
      </c>
      <c r="K47" s="18" t="n">
        <v>1.32763557</v>
      </c>
      <c r="L47" s="20" t="n">
        <v>0.61840553</v>
      </c>
      <c r="M47" s="18" t="n">
        <v>0</v>
      </c>
      <c r="N47" s="20" t="n">
        <v>0</v>
      </c>
      <c r="O47" s="18" t="n">
        <v>0</v>
      </c>
      <c r="P47" s="20" t="n">
        <v>0</v>
      </c>
      <c r="Q47" s="18" t="n">
        <v>26.07553378</v>
      </c>
      <c r="R47" s="20" t="n">
        <v>2.26817826</v>
      </c>
    </row>
    <row r="48" spans="1:18">
      <c r="A48" s="15" t="s">
        <v>472</v>
      </c>
      <c r="B48" s="17" t="n">
        <v>5159</v>
      </c>
      <c r="C48" s="18">
        <f>(4506.0/B48*100)</f>
        <v/>
      </c>
      <c r="D48" s="19" t="n">
        <v>653</v>
      </c>
      <c r="E48" s="18" t="n">
        <v>62.01331305</v>
      </c>
      <c r="F48" s="20" t="n">
        <v>2.21975181</v>
      </c>
      <c r="G48" s="18" t="n">
        <v>22.99989701</v>
      </c>
      <c r="H48" s="20" t="n">
        <v>2.19326909</v>
      </c>
      <c r="I48" s="18" t="s">
        <v>431</v>
      </c>
      <c r="J48" s="20" t="s">
        <v>431</v>
      </c>
      <c r="K48" s="18" t="n">
        <v>1.08293524</v>
      </c>
      <c r="L48" s="20" t="n">
        <v>0.54569879</v>
      </c>
      <c r="M48" s="18" t="n">
        <v>0</v>
      </c>
      <c r="N48" s="20" t="n">
        <v>0</v>
      </c>
      <c r="O48" s="18" t="n">
        <v>0</v>
      </c>
      <c r="P48" s="20" t="n">
        <v>0</v>
      </c>
      <c r="Q48" s="18" t="n">
        <v>13.9038547</v>
      </c>
      <c r="R48" s="20" t="n">
        <v>1.69013822</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(4990.0/B50*100)</f>
        <v/>
      </c>
      <c r="D50" s="19" t="n">
        <v>647</v>
      </c>
      <c r="E50" s="18" t="n">
        <v>67.08389893</v>
      </c>
      <c r="F50" s="20" t="n">
        <v>2.40700272</v>
      </c>
      <c r="G50" s="18" t="n">
        <v>9.1034164</v>
      </c>
      <c r="H50" s="20" t="n">
        <v>1.16408911</v>
      </c>
      <c r="I50" s="18" t="s">
        <v>431</v>
      </c>
      <c r="J50" s="20" t="s">
        <v>431</v>
      </c>
      <c r="K50" s="18" t="n">
        <v>3.08792152</v>
      </c>
      <c r="L50" s="20" t="n">
        <v>0.95030909</v>
      </c>
      <c r="M50" s="18" t="n">
        <v>0</v>
      </c>
      <c r="N50" s="20" t="n">
        <v>0</v>
      </c>
      <c r="O50" s="18" t="n">
        <v>0</v>
      </c>
      <c r="P50" s="20" t="n">
        <v>0</v>
      </c>
      <c r="Q50" s="18" t="n">
        <v>20.72476315</v>
      </c>
      <c r="R50" s="20" t="n">
        <v>2.10500735</v>
      </c>
    </row>
    <row r="51" spans="1:18">
      <c r="A51" s="15" t="s">
        <v>475</v>
      </c>
      <c r="B51" s="17" t="n">
        <v>3372</v>
      </c>
      <c r="C51" s="18">
        <f>(3064.0/B51*100)</f>
        <v/>
      </c>
      <c r="D51" s="19" t="n">
        <v>308</v>
      </c>
      <c r="E51" s="18" t="n">
        <v>68.9869131</v>
      </c>
      <c r="F51" s="20" t="n">
        <v>3.29537245</v>
      </c>
      <c r="G51" s="18" t="n">
        <v>10.32697075</v>
      </c>
      <c r="H51" s="20" t="n">
        <v>2.19474524</v>
      </c>
      <c r="I51" s="18" t="s">
        <v>431</v>
      </c>
      <c r="J51" s="20" t="s">
        <v>431</v>
      </c>
      <c r="K51" s="18" t="n">
        <v>0.48218477</v>
      </c>
      <c r="L51" s="20" t="n">
        <v>0.43354351</v>
      </c>
      <c r="M51" s="18" t="n">
        <v>0</v>
      </c>
      <c r="N51" s="20" t="n">
        <v>0</v>
      </c>
      <c r="O51" s="18" t="n">
        <v>0</v>
      </c>
      <c r="P51" s="20" t="n">
        <v>0</v>
      </c>
      <c r="Q51" s="18" t="n">
        <v>20.20393139</v>
      </c>
      <c r="R51" s="20" t="n">
        <v>2.75365742</v>
      </c>
    </row>
    <row r="52" spans="1:18">
      <c r="A52" s="15" t="s">
        <v>476</v>
      </c>
      <c r="B52" s="17" t="n">
        <v>2796</v>
      </c>
      <c r="C52" s="18">
        <f>(2452.0/B52*100)</f>
        <v/>
      </c>
      <c r="D52" s="19" t="n">
        <v>344</v>
      </c>
      <c r="E52" s="18" t="n">
        <v>65.44181021999999</v>
      </c>
      <c r="F52" s="20" t="n">
        <v>2.61834001</v>
      </c>
      <c r="G52" s="18" t="n">
        <v>21.13271307</v>
      </c>
      <c r="H52" s="20" t="n">
        <v>2.30912018</v>
      </c>
      <c r="I52" s="18" t="s">
        <v>431</v>
      </c>
      <c r="J52" s="20" t="s">
        <v>431</v>
      </c>
      <c r="K52" s="18" t="n">
        <v>0.3222919</v>
      </c>
      <c r="L52" s="20" t="n">
        <v>0.32231482</v>
      </c>
      <c r="M52" s="18" t="n">
        <v>0</v>
      </c>
      <c r="N52" s="20" t="n">
        <v>0</v>
      </c>
      <c r="O52" s="18" t="n">
        <v>0</v>
      </c>
      <c r="P52" s="20" t="n">
        <v>0</v>
      </c>
      <c r="Q52" s="18" t="n">
        <v>13.10318482</v>
      </c>
      <c r="R52" s="20" t="n">
        <v>1.74951879</v>
      </c>
    </row>
    <row r="53" spans="1:18">
      <c r="A53" s="15" t="s">
        <v>477</v>
      </c>
      <c r="B53" s="17" t="n">
        <v>2811</v>
      </c>
      <c r="C53" s="18">
        <f>(2471.0/B53*100)</f>
        <v/>
      </c>
      <c r="D53" s="19" t="n">
        <v>340</v>
      </c>
      <c r="E53" s="18" t="n">
        <v>60.2913281</v>
      </c>
      <c r="F53" s="20" t="n">
        <v>2.59005668</v>
      </c>
      <c r="G53" s="18" t="n">
        <v>7.18716617</v>
      </c>
      <c r="H53" s="20" t="n">
        <v>1.49531789</v>
      </c>
      <c r="I53" s="18" t="s">
        <v>431</v>
      </c>
      <c r="J53" s="20" t="s">
        <v>431</v>
      </c>
      <c r="K53" s="18" t="n">
        <v>2.66368927</v>
      </c>
      <c r="L53" s="20" t="n">
        <v>1.01297098</v>
      </c>
      <c r="M53" s="18" t="n">
        <v>0</v>
      </c>
      <c r="N53" s="20" t="n">
        <v>0</v>
      </c>
      <c r="O53" s="18" t="n">
        <v>0</v>
      </c>
      <c r="P53" s="20" t="n">
        <v>0</v>
      </c>
      <c r="Q53" s="18" t="n">
        <v>29.85781646</v>
      </c>
      <c r="R53" s="20" t="n">
        <v>2.58590168</v>
      </c>
    </row>
    <row r="54" spans="1:18">
      <c r="A54" s="15" t="s">
        <v>478</v>
      </c>
      <c r="B54" s="17" t="n">
        <v>2266</v>
      </c>
      <c r="C54" s="18">
        <f>(1857.0/B54*100)</f>
        <v/>
      </c>
      <c r="D54" s="19" t="n">
        <v>409</v>
      </c>
      <c r="E54" s="18" t="n">
        <v>43.93725743</v>
      </c>
      <c r="F54" s="20" t="n">
        <v>3.09813185</v>
      </c>
      <c r="G54" s="18" t="n">
        <v>3.20766646</v>
      </c>
      <c r="H54" s="20" t="n">
        <v>0.92686947</v>
      </c>
      <c r="I54" s="18" t="s">
        <v>431</v>
      </c>
      <c r="J54" s="20" t="s">
        <v>431</v>
      </c>
      <c r="K54" s="18" t="n">
        <v>19.12816628</v>
      </c>
      <c r="L54" s="20" t="n">
        <v>2.18574794</v>
      </c>
      <c r="M54" s="18" t="n">
        <v>0</v>
      </c>
      <c r="N54" s="20" t="n">
        <v>0</v>
      </c>
      <c r="O54" s="18" t="n">
        <v>0</v>
      </c>
      <c r="P54" s="20" t="n">
        <v>0</v>
      </c>
      <c r="Q54" s="18" t="n">
        <v>33.72690984</v>
      </c>
      <c r="R54" s="20" t="n">
        <v>2.78616499</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(2353.0/B56*100)</f>
        <v/>
      </c>
      <c r="D56" s="19" t="n">
        <v>331</v>
      </c>
      <c r="E56" s="18" t="n">
        <v>79.44361537</v>
      </c>
      <c r="F56" s="20" t="n">
        <v>2.23072162</v>
      </c>
      <c r="G56" s="18" t="n">
        <v>9.89229115</v>
      </c>
      <c r="H56" s="20" t="n">
        <v>1.78090329</v>
      </c>
      <c r="I56" s="18" t="s">
        <v>431</v>
      </c>
      <c r="J56" s="20" t="s">
        <v>431</v>
      </c>
      <c r="K56" s="18" t="n">
        <v>0.74933543</v>
      </c>
      <c r="L56" s="20" t="n">
        <v>0.52282274</v>
      </c>
      <c r="M56" s="18" t="n">
        <v>0</v>
      </c>
      <c r="N56" s="20" t="n">
        <v>0</v>
      </c>
      <c r="O56" s="18" t="n">
        <v>0</v>
      </c>
      <c r="P56" s="20" t="n">
        <v>0</v>
      </c>
      <c r="Q56" s="18" t="n">
        <v>9.91475805</v>
      </c>
      <c r="R56" s="20" t="n">
        <v>1.82580852</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(2923.0/B61*100)</f>
        <v/>
      </c>
      <c r="D61" s="19" t="n">
        <v>401</v>
      </c>
      <c r="E61" s="18" t="n">
        <v>61.8845754</v>
      </c>
      <c r="F61" s="20" t="n">
        <v>2.43325904</v>
      </c>
      <c r="G61" s="18" t="n">
        <v>17.39462017</v>
      </c>
      <c r="H61" s="20" t="n">
        <v>1.941325</v>
      </c>
      <c r="I61" s="18" t="s">
        <v>431</v>
      </c>
      <c r="J61" s="20" t="s">
        <v>431</v>
      </c>
      <c r="K61" s="18" t="n">
        <v>0.25542707</v>
      </c>
      <c r="L61" s="20" t="n">
        <v>0.17809151</v>
      </c>
      <c r="M61" s="18" t="n">
        <v>0</v>
      </c>
      <c r="N61" s="20" t="n">
        <v>0</v>
      </c>
      <c r="O61" s="18" t="n">
        <v>0</v>
      </c>
      <c r="P61" s="20" t="n">
        <v>0</v>
      </c>
      <c r="Q61" s="18" t="n">
        <v>20.46537736</v>
      </c>
      <c r="R61" s="20" t="n">
        <v>2.21455503</v>
      </c>
    </row>
    <row r="62" spans="1:18">
      <c r="A62" s="15" t="s">
        <v>486</v>
      </c>
      <c r="B62" s="17" t="n">
        <v>2246</v>
      </c>
      <c r="C62" s="18">
        <f>(1984.0/B62*100)</f>
        <v/>
      </c>
      <c r="D62" s="19" t="n">
        <v>262</v>
      </c>
      <c r="E62" s="18" t="n">
        <v>81.62361547</v>
      </c>
      <c r="F62" s="20" t="n">
        <v>2.52474057</v>
      </c>
      <c r="G62" s="18" t="n">
        <v>13.03012188</v>
      </c>
      <c r="H62" s="20" t="n">
        <v>1.98378302</v>
      </c>
      <c r="I62" s="18" t="s">
        <v>431</v>
      </c>
      <c r="J62" s="20" t="s">
        <v>431</v>
      </c>
      <c r="K62" s="18" t="n">
        <v>0</v>
      </c>
      <c r="L62" s="20" t="n">
        <v>0</v>
      </c>
      <c r="M62" s="18" t="n">
        <v>0</v>
      </c>
      <c r="N62" s="20" t="n">
        <v>0</v>
      </c>
      <c r="O62" s="18" t="n">
        <v>0</v>
      </c>
      <c r="P62" s="20" t="n">
        <v>0</v>
      </c>
      <c r="Q62" s="18" t="n">
        <v>5.34626266</v>
      </c>
      <c r="R62" s="20" t="n">
        <v>1.47781569</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(2544.0/B66*100)</f>
        <v/>
      </c>
      <c r="D66" s="19" t="n">
        <v>350</v>
      </c>
      <c r="E66" s="18" t="n">
        <v>54.39910539</v>
      </c>
      <c r="F66" s="20" t="n">
        <v>2.6038214</v>
      </c>
      <c r="G66" s="18" t="n">
        <v>14.17040118</v>
      </c>
      <c r="H66" s="20" t="n">
        <v>2.13737144</v>
      </c>
      <c r="I66" s="18" t="s">
        <v>431</v>
      </c>
      <c r="J66" s="20" t="s">
        <v>431</v>
      </c>
      <c r="K66" s="18" t="n">
        <v>2.68048294</v>
      </c>
      <c r="L66" s="20" t="n">
        <v>0.836638</v>
      </c>
      <c r="M66" s="18" t="n">
        <v>0</v>
      </c>
      <c r="N66" s="20" t="n">
        <v>0</v>
      </c>
      <c r="O66" s="18" t="n">
        <v>0</v>
      </c>
      <c r="P66" s="20" t="n">
        <v>0</v>
      </c>
      <c r="Q66" s="18" t="n">
        <v>28.7500105</v>
      </c>
      <c r="R66" s="20" t="n">
        <v>2.22501296</v>
      </c>
    </row>
    <row r="67" spans="1:18">
      <c r="A67" s="15" t="s">
        <v>491</v>
      </c>
      <c r="B67" s="17" t="n">
        <v>3511</v>
      </c>
      <c r="C67" s="18">
        <f>(3149.0/B67*100)</f>
        <v/>
      </c>
      <c r="D67" s="19" t="n">
        <v>362</v>
      </c>
      <c r="E67" s="18" t="n">
        <v>68.85619579999999</v>
      </c>
      <c r="F67" s="20" t="n">
        <v>2.63575912</v>
      </c>
      <c r="G67" s="18" t="n">
        <v>8.170494339999999</v>
      </c>
      <c r="H67" s="20" t="n">
        <v>1.52127696</v>
      </c>
      <c r="I67" s="18" t="s">
        <v>431</v>
      </c>
      <c r="J67" s="20" t="s">
        <v>431</v>
      </c>
      <c r="K67" s="18" t="n">
        <v>0.92765662</v>
      </c>
      <c r="L67" s="20" t="n">
        <v>0.53189746</v>
      </c>
      <c r="M67" s="18" t="n">
        <v>0</v>
      </c>
      <c r="N67" s="20" t="n">
        <v>0</v>
      </c>
      <c r="O67" s="18" t="n">
        <v>0</v>
      </c>
      <c r="P67" s="20" t="n">
        <v>0</v>
      </c>
      <c r="Q67" s="18" t="n">
        <v>22.04565323</v>
      </c>
      <c r="R67" s="20" t="n">
        <v>2.46457841</v>
      </c>
    </row>
    <row r="68" spans="1:18">
      <c r="A68" s="15" t="s">
        <v>492</v>
      </c>
      <c r="B68" s="17" t="n">
        <v>6049</v>
      </c>
      <c r="C68" s="18">
        <f>(5053.0/B68*100)</f>
        <v/>
      </c>
      <c r="D68" s="19" t="n">
        <v>996</v>
      </c>
      <c r="E68" s="18" t="n">
        <v>57.14996077</v>
      </c>
      <c r="F68" s="20" t="n">
        <v>1.4677669</v>
      </c>
      <c r="G68" s="18" t="n">
        <v>8.418771899999999</v>
      </c>
      <c r="H68" s="20" t="n">
        <v>0.91965439</v>
      </c>
      <c r="I68" s="18" t="s">
        <v>431</v>
      </c>
      <c r="J68" s="20" t="s">
        <v>431</v>
      </c>
      <c r="K68" s="18" t="n">
        <v>7.00462353</v>
      </c>
      <c r="L68" s="20" t="n">
        <v>0.7694749</v>
      </c>
      <c r="M68" s="18" t="n">
        <v>0</v>
      </c>
      <c r="N68" s="20" t="n">
        <v>0</v>
      </c>
      <c r="O68" s="18" t="n">
        <v>0</v>
      </c>
      <c r="P68" s="20" t="n">
        <v>0</v>
      </c>
      <c r="Q68" s="18" t="n">
        <v>27.4266438</v>
      </c>
      <c r="R68" s="20" t="n">
        <v>1.46648069</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(2587.0/B70*100)</f>
        <v/>
      </c>
      <c r="D70" s="19" t="n">
        <v>342</v>
      </c>
      <c r="E70" s="18" t="n">
        <v>65.1370084</v>
      </c>
      <c r="F70" s="20" t="n">
        <v>2.32263898</v>
      </c>
      <c r="G70" s="18" t="n">
        <v>17.38851731</v>
      </c>
      <c r="H70" s="20" t="n">
        <v>2.05086169</v>
      </c>
      <c r="I70" s="18" t="s">
        <v>431</v>
      </c>
      <c r="J70" s="20" t="s">
        <v>431</v>
      </c>
      <c r="K70" s="18" t="n">
        <v>0.38710711</v>
      </c>
      <c r="L70" s="20" t="n">
        <v>0.28107907</v>
      </c>
      <c r="M70" s="18" t="n">
        <v>0</v>
      </c>
      <c r="N70" s="20" t="n">
        <v>0</v>
      </c>
      <c r="O70" s="18" t="n">
        <v>0</v>
      </c>
      <c r="P70" s="20" t="n">
        <v>0</v>
      </c>
      <c r="Q70" s="18" t="n">
        <v>17.08736719</v>
      </c>
      <c r="R70" s="20" t="n">
        <v>2.03499965</v>
      </c>
    </row>
    <row r="71" spans="1:18">
      <c r="A71" s="15" t="s">
        <v>495</v>
      </c>
      <c r="B71" s="17" t="n">
        <v>3142</v>
      </c>
      <c r="C71" s="18">
        <f>(2757.0/B71*100)</f>
        <v/>
      </c>
      <c r="D71" s="19" t="n">
        <v>385</v>
      </c>
      <c r="E71" s="18" t="n">
        <v>62.16521882</v>
      </c>
      <c r="F71" s="20" t="n">
        <v>2.8713638</v>
      </c>
      <c r="G71" s="18" t="n">
        <v>28.82262909</v>
      </c>
      <c r="H71" s="20" t="n">
        <v>2.53406117</v>
      </c>
      <c r="I71" s="18" t="s">
        <v>431</v>
      </c>
      <c r="J71" s="20" t="s">
        <v>431</v>
      </c>
      <c r="K71" s="18" t="n">
        <v>0.23745823</v>
      </c>
      <c r="L71" s="20" t="n">
        <v>0.24001382</v>
      </c>
      <c r="M71" s="18" t="n">
        <v>0</v>
      </c>
      <c r="N71" s="20" t="n">
        <v>0</v>
      </c>
      <c r="O71" s="18" t="n">
        <v>0</v>
      </c>
      <c r="P71" s="20" t="n">
        <v>0</v>
      </c>
      <c r="Q71" s="18" t="n">
        <v>8.774693859999999</v>
      </c>
      <c r="R71" s="20" t="n">
        <v>1.33852741</v>
      </c>
    </row>
    <row r="72" spans="1:18">
      <c r="A72" s="15" t="s">
        <v>496</v>
      </c>
      <c r="B72" s="17" t="n">
        <v>3889</v>
      </c>
      <c r="C72" s="18">
        <f>(3425.0/B72*100)</f>
        <v/>
      </c>
      <c r="D72" s="19" t="n">
        <v>464</v>
      </c>
      <c r="E72" s="18" t="n">
        <v>85.96218695</v>
      </c>
      <c r="F72" s="20" t="n">
        <v>1.71323283</v>
      </c>
      <c r="G72" s="18" t="n">
        <v>7.94885258</v>
      </c>
      <c r="H72" s="20" t="n">
        <v>1.47721338</v>
      </c>
      <c r="I72" s="18" t="s">
        <v>431</v>
      </c>
      <c r="J72" s="20" t="s">
        <v>431</v>
      </c>
      <c r="K72" s="18" t="n">
        <v>0.43794447</v>
      </c>
      <c r="L72" s="20" t="n">
        <v>0.31746472</v>
      </c>
      <c r="M72" s="18" t="n">
        <v>0</v>
      </c>
      <c r="N72" s="20" t="n">
        <v>0</v>
      </c>
      <c r="O72" s="18" t="n">
        <v>0</v>
      </c>
      <c r="P72" s="20" t="n">
        <v>0</v>
      </c>
      <c r="Q72" s="18" t="n">
        <v>5.65101599</v>
      </c>
      <c r="R72" s="20" t="n">
        <v>0.8447185</v>
      </c>
    </row>
    <row r="73" spans="1:18">
      <c r="A73" s="15" t="s">
        <v>497</v>
      </c>
      <c r="B73" s="17" t="n">
        <v>3597</v>
      </c>
      <c r="C73" s="18">
        <f>(3171.0/B73*100)</f>
        <v/>
      </c>
      <c r="D73" s="19" t="n">
        <v>426</v>
      </c>
      <c r="E73" s="18" t="n">
        <v>66.33913905999999</v>
      </c>
      <c r="F73" s="20" t="n">
        <v>2.98590041</v>
      </c>
      <c r="G73" s="18" t="n">
        <v>7.55879515</v>
      </c>
      <c r="H73" s="20" t="n">
        <v>1.76440937</v>
      </c>
      <c r="I73" s="18" t="s">
        <v>431</v>
      </c>
      <c r="J73" s="20" t="s">
        <v>431</v>
      </c>
      <c r="K73" s="18" t="n">
        <v>0.01058776</v>
      </c>
      <c r="L73" s="20" t="n">
        <v>0.01056578</v>
      </c>
      <c r="M73" s="18" t="n">
        <v>0</v>
      </c>
      <c r="N73" s="20" t="n">
        <v>0</v>
      </c>
      <c r="O73" s="18" t="n">
        <v>0</v>
      </c>
      <c r="P73" s="20" t="n">
        <v>0</v>
      </c>
      <c r="Q73" s="18" t="n">
        <v>26.09147803</v>
      </c>
      <c r="R73" s="20" t="n">
        <v>2.68312151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(2133.0/B75*100)</f>
        <v/>
      </c>
      <c r="D75" s="19" t="n">
        <v>273</v>
      </c>
      <c r="E75" s="18" t="n">
        <v>63.69923136</v>
      </c>
      <c r="F75" s="20" t="n">
        <v>3.43390055</v>
      </c>
      <c r="G75" s="18" t="n">
        <v>4.60150638</v>
      </c>
      <c r="H75" s="20" t="n">
        <v>1.33613835</v>
      </c>
      <c r="I75" s="18" t="s">
        <v>431</v>
      </c>
      <c r="J75" s="20" t="s">
        <v>431</v>
      </c>
      <c r="K75" s="18" t="n">
        <v>4.4567483</v>
      </c>
      <c r="L75" s="20" t="n">
        <v>1.31741747</v>
      </c>
      <c r="M75" s="18" t="n">
        <v>0</v>
      </c>
      <c r="N75" s="20" t="n">
        <v>0</v>
      </c>
      <c r="O75" s="18" t="n">
        <v>0</v>
      </c>
      <c r="P75" s="20" t="n">
        <v>0</v>
      </c>
      <c r="Q75" s="18" t="n">
        <v>27.24251396</v>
      </c>
      <c r="R75" s="20" t="n">
        <v>2.79977708</v>
      </c>
    </row>
    <row r="76" spans="1:18">
      <c r="A76" s="15" t="s">
        <v>500</v>
      </c>
      <c r="B76" s="17" t="n">
        <v>7052</v>
      </c>
      <c r="C76" s="18">
        <f>(6212.0/B76*100)</f>
        <v/>
      </c>
      <c r="D76" s="19" t="n">
        <v>840</v>
      </c>
      <c r="E76" s="18" t="n">
        <v>71.19849309</v>
      </c>
      <c r="F76" s="20" t="n">
        <v>2.09968337</v>
      </c>
      <c r="G76" s="18" t="n">
        <v>9.686944499999999</v>
      </c>
      <c r="H76" s="20" t="n">
        <v>1.35240739</v>
      </c>
      <c r="I76" s="18" t="s">
        <v>431</v>
      </c>
      <c r="J76" s="20" t="s">
        <v>431</v>
      </c>
      <c r="K76" s="18" t="n">
        <v>2.31461588</v>
      </c>
      <c r="L76" s="20" t="n">
        <v>0.63113481</v>
      </c>
      <c r="M76" s="18" t="n">
        <v>0</v>
      </c>
      <c r="N76" s="20" t="n">
        <v>0</v>
      </c>
      <c r="O76" s="18" t="n">
        <v>0</v>
      </c>
      <c r="P76" s="20" t="n">
        <v>0</v>
      </c>
      <c r="Q76" s="18" t="n">
        <v>16.79994652</v>
      </c>
      <c r="R76" s="20" t="n">
        <v>1.60454025</v>
      </c>
    </row>
    <row r="77" spans="1:18">
      <c r="A77" s="15" t="s">
        <v>501</v>
      </c>
      <c r="B77" s="17" t="n">
        <v>2908</v>
      </c>
      <c r="C77" s="18">
        <f>(2595.0/B77*100)</f>
        <v/>
      </c>
      <c r="D77" s="19" t="n">
        <v>313</v>
      </c>
      <c r="E77" s="18" t="n">
        <v>58.86927743</v>
      </c>
      <c r="F77" s="20" t="n">
        <v>2.6036019</v>
      </c>
      <c r="G77" s="18" t="n">
        <v>14.84727438</v>
      </c>
      <c r="H77" s="20" t="n">
        <v>2.14888875</v>
      </c>
      <c r="I77" s="18" t="s">
        <v>431</v>
      </c>
      <c r="J77" s="20" t="s">
        <v>431</v>
      </c>
      <c r="K77" s="18" t="n">
        <v>5.71163018</v>
      </c>
      <c r="L77" s="20" t="n">
        <v>1.52343449</v>
      </c>
      <c r="M77" s="18" t="n">
        <v>0</v>
      </c>
      <c r="N77" s="20" t="n">
        <v>0</v>
      </c>
      <c r="O77" s="18" t="n">
        <v>0</v>
      </c>
      <c r="P77" s="20" t="n">
        <v>0</v>
      </c>
      <c r="Q77" s="18" t="n">
        <v>20.57181801</v>
      </c>
      <c r="R77" s="20" t="n">
        <v>2.19265758</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(3657.0/B81*100)</f>
        <v/>
      </c>
      <c r="D81" s="19" t="n">
        <v>506</v>
      </c>
      <c r="E81" s="18" t="n">
        <v>70.99424936</v>
      </c>
      <c r="F81" s="20" t="n">
        <v>2.83201566</v>
      </c>
      <c r="G81" s="18" t="n">
        <v>12.63918205</v>
      </c>
      <c r="H81" s="20" t="n">
        <v>2.09851946</v>
      </c>
      <c r="I81" s="18" t="s">
        <v>431</v>
      </c>
      <c r="J81" s="20" t="s">
        <v>431</v>
      </c>
      <c r="K81" s="18" t="n">
        <v>0.2166087</v>
      </c>
      <c r="L81" s="20" t="n">
        <v>0.1523279</v>
      </c>
      <c r="M81" s="18" t="n">
        <v>0</v>
      </c>
      <c r="N81" s="20" t="n">
        <v>0</v>
      </c>
      <c r="O81" s="18" t="n">
        <v>0</v>
      </c>
      <c r="P81" s="20" t="n">
        <v>0</v>
      </c>
      <c r="Q81" s="18" t="n">
        <v>16.14995989</v>
      </c>
      <c r="R81" s="20" t="n">
        <v>2.43769248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(6476.0/B7*100)</f>
        <v/>
      </c>
      <c r="D7" s="19" t="n">
        <v>891</v>
      </c>
      <c r="E7" s="18" t="n">
        <v>44.74492696</v>
      </c>
      <c r="F7" s="20" t="n">
        <v>2.13917164</v>
      </c>
      <c r="G7" s="18" t="n">
        <v>52.72591019</v>
      </c>
      <c r="H7" s="20" t="n">
        <v>2.19642025</v>
      </c>
      <c r="I7" s="18" t="s">
        <v>431</v>
      </c>
      <c r="J7" s="20" t="s">
        <v>431</v>
      </c>
      <c r="K7" s="18" t="n">
        <v>0.8321647599999999</v>
      </c>
      <c r="L7" s="20" t="n">
        <v>0.31223489</v>
      </c>
      <c r="M7" s="18" t="n">
        <v>0</v>
      </c>
      <c r="N7" s="20" t="n">
        <v>0</v>
      </c>
      <c r="O7" s="18" t="n">
        <v>0</v>
      </c>
      <c r="P7" s="20" t="n">
        <v>0</v>
      </c>
      <c r="Q7" s="18" t="n">
        <v>1.69699808</v>
      </c>
      <c r="R7" s="20" t="n">
        <v>0.5486225</v>
      </c>
    </row>
    <row r="8" spans="1:18">
      <c r="A8" s="15" t="s">
        <v>432</v>
      </c>
      <c r="B8" s="17" t="n">
        <v>3564</v>
      </c>
      <c r="C8" s="18">
        <f>(3145.0/B8*100)</f>
        <v/>
      </c>
      <c r="D8" s="19" t="n">
        <v>419</v>
      </c>
      <c r="E8" s="18" t="n">
        <v>45.10905868</v>
      </c>
      <c r="F8" s="20" t="n">
        <v>2.9560952</v>
      </c>
      <c r="G8" s="18" t="n">
        <v>50.34350027</v>
      </c>
      <c r="H8" s="20" t="n">
        <v>2.80322868</v>
      </c>
      <c r="I8" s="18" t="s">
        <v>431</v>
      </c>
      <c r="J8" s="20" t="s">
        <v>431</v>
      </c>
      <c r="K8" s="18" t="n">
        <v>0.68107493</v>
      </c>
      <c r="L8" s="20" t="n">
        <v>0.43271148</v>
      </c>
      <c r="M8" s="18" t="n">
        <v>0</v>
      </c>
      <c r="N8" s="20" t="n">
        <v>0</v>
      </c>
      <c r="O8" s="18" t="n">
        <v>0</v>
      </c>
      <c r="P8" s="20" t="n">
        <v>0</v>
      </c>
      <c r="Q8" s="18" t="n">
        <v>3.86636613</v>
      </c>
      <c r="R8" s="20" t="n">
        <v>0.94492995</v>
      </c>
    </row>
    <row r="9" spans="1:18">
      <c r="A9" s="15" t="s">
        <v>433</v>
      </c>
      <c r="B9" s="17" t="n">
        <v>4899</v>
      </c>
      <c r="C9" s="18">
        <f>(4351.0/B9*100)</f>
        <v/>
      </c>
      <c r="D9" s="19" t="n">
        <v>548</v>
      </c>
      <c r="E9" s="18" t="n">
        <v>36.9564266</v>
      </c>
      <c r="F9" s="20" t="n">
        <v>1.90037995</v>
      </c>
      <c r="G9" s="18" t="n">
        <v>59.60557425</v>
      </c>
      <c r="H9" s="20" t="n">
        <v>1.93071414</v>
      </c>
      <c r="I9" s="18" t="s">
        <v>431</v>
      </c>
      <c r="J9" s="20" t="s">
        <v>431</v>
      </c>
      <c r="K9" s="18" t="n">
        <v>1.65861983</v>
      </c>
      <c r="L9" s="20" t="n">
        <v>0.44717583</v>
      </c>
      <c r="M9" s="18" t="n">
        <v>0</v>
      </c>
      <c r="N9" s="20" t="n">
        <v>0</v>
      </c>
      <c r="O9" s="18" t="n">
        <v>0</v>
      </c>
      <c r="P9" s="20" t="n">
        <v>0</v>
      </c>
      <c r="Q9" s="18" t="n">
        <v>1.77937932</v>
      </c>
      <c r="R9" s="20" t="n">
        <v>0.54475848</v>
      </c>
    </row>
    <row r="10" spans="1:18">
      <c r="A10" s="15" t="s">
        <v>434</v>
      </c>
      <c r="B10" s="17" t="n">
        <v>10036</v>
      </c>
      <c r="C10" s="18">
        <f>(8854.0/B10*100)</f>
        <v/>
      </c>
      <c r="D10" s="19" t="n">
        <v>1182</v>
      </c>
      <c r="E10" s="18" t="n">
        <v>39.34572782</v>
      </c>
      <c r="F10" s="20" t="n">
        <v>2.03799697</v>
      </c>
      <c r="G10" s="18" t="n">
        <v>57.46664376</v>
      </c>
      <c r="H10" s="20" t="n">
        <v>2.13732135</v>
      </c>
      <c r="I10" s="18" t="s">
        <v>431</v>
      </c>
      <c r="J10" s="20" t="s">
        <v>431</v>
      </c>
      <c r="K10" s="18" t="n">
        <v>0.99530333</v>
      </c>
      <c r="L10" s="20" t="n">
        <v>0.42284647</v>
      </c>
      <c r="M10" s="18" t="n">
        <v>0</v>
      </c>
      <c r="N10" s="20" t="n">
        <v>0</v>
      </c>
      <c r="O10" s="18" t="n">
        <v>0</v>
      </c>
      <c r="P10" s="20" t="n">
        <v>0</v>
      </c>
      <c r="Q10" s="18" t="n">
        <v>2.19232509</v>
      </c>
      <c r="R10" s="20" t="n">
        <v>0.56056803</v>
      </c>
    </row>
    <row r="11" spans="1:18">
      <c r="A11" s="15" t="s">
        <v>435</v>
      </c>
      <c r="B11" s="17" t="n">
        <v>3553</v>
      </c>
      <c r="C11" s="18">
        <f>(3143.0/B11*100)</f>
        <v/>
      </c>
      <c r="D11" s="19" t="n">
        <v>410</v>
      </c>
      <c r="E11" s="18" t="n">
        <v>54.69844548</v>
      </c>
      <c r="F11" s="20" t="n">
        <v>3.02483254</v>
      </c>
      <c r="G11" s="18" t="n">
        <v>39.23693513</v>
      </c>
      <c r="H11" s="20" t="n">
        <v>2.82033765</v>
      </c>
      <c r="I11" s="18" t="s">
        <v>431</v>
      </c>
      <c r="J11" s="20" t="s">
        <v>431</v>
      </c>
      <c r="K11" s="18" t="n">
        <v>1.62402051</v>
      </c>
      <c r="L11" s="20" t="n">
        <v>0.85348788</v>
      </c>
      <c r="M11" s="18" t="n">
        <v>0</v>
      </c>
      <c r="N11" s="20" t="n">
        <v>0</v>
      </c>
      <c r="O11" s="18" t="n">
        <v>0</v>
      </c>
      <c r="P11" s="20" t="n">
        <v>0</v>
      </c>
      <c r="Q11" s="18" t="n">
        <v>4.44059888</v>
      </c>
      <c r="R11" s="20" t="n">
        <v>1.48565583</v>
      </c>
    </row>
    <row r="12" spans="1:18">
      <c r="A12" s="15" t="s">
        <v>436</v>
      </c>
      <c r="B12" s="17" t="n">
        <v>3472</v>
      </c>
      <c r="C12" s="18">
        <f>(3058.0/B12*100)</f>
        <v/>
      </c>
      <c r="D12" s="19" t="n">
        <v>414</v>
      </c>
      <c r="E12" s="18" t="n">
        <v>42.40457433</v>
      </c>
      <c r="F12" s="20" t="n">
        <v>2.37243522</v>
      </c>
      <c r="G12" s="18" t="n">
        <v>54.62191545</v>
      </c>
      <c r="H12" s="20" t="n">
        <v>2.43029919</v>
      </c>
      <c r="I12" s="18" t="s">
        <v>431</v>
      </c>
      <c r="J12" s="20" t="s">
        <v>431</v>
      </c>
      <c r="K12" s="18" t="n">
        <v>0.37916116</v>
      </c>
      <c r="L12" s="20" t="n">
        <v>0.22561964</v>
      </c>
      <c r="M12" s="18" t="n">
        <v>0</v>
      </c>
      <c r="N12" s="20" t="n">
        <v>0</v>
      </c>
      <c r="O12" s="18" t="n">
        <v>0</v>
      </c>
      <c r="P12" s="20" t="n">
        <v>0</v>
      </c>
      <c r="Q12" s="18" t="n">
        <v>2.59434907</v>
      </c>
      <c r="R12" s="20" t="n">
        <v>0.64414776</v>
      </c>
    </row>
    <row r="13" spans="1:18">
      <c r="A13" s="15" t="s">
        <v>437</v>
      </c>
      <c r="B13" s="17" t="n">
        <v>3559</v>
      </c>
      <c r="C13" s="18">
        <f>(3162.0/B13*100)</f>
        <v/>
      </c>
      <c r="D13" s="19" t="n">
        <v>397</v>
      </c>
      <c r="E13" s="18" t="n">
        <v>45.72960157</v>
      </c>
      <c r="F13" s="20" t="n">
        <v>3.30216377</v>
      </c>
      <c r="G13" s="18" t="n">
        <v>51.78130457</v>
      </c>
      <c r="H13" s="20" t="n">
        <v>3.29487231</v>
      </c>
      <c r="I13" s="18" t="s">
        <v>431</v>
      </c>
      <c r="J13" s="20" t="s">
        <v>431</v>
      </c>
      <c r="K13" s="18" t="n">
        <v>1.07654716</v>
      </c>
      <c r="L13" s="20" t="n">
        <v>0.40149164</v>
      </c>
      <c r="M13" s="18" t="n">
        <v>0</v>
      </c>
      <c r="N13" s="20" t="n">
        <v>0</v>
      </c>
      <c r="O13" s="18" t="n">
        <v>0</v>
      </c>
      <c r="P13" s="20" t="n">
        <v>0</v>
      </c>
      <c r="Q13" s="18" t="n">
        <v>1.4125467</v>
      </c>
      <c r="R13" s="20" t="n">
        <v>0.60141389</v>
      </c>
    </row>
    <row r="14" spans="1:18">
      <c r="A14" s="15" t="s">
        <v>438</v>
      </c>
      <c r="B14" s="17" t="n">
        <v>2799</v>
      </c>
      <c r="C14" s="18">
        <f>(2449.0/B14*100)</f>
        <v/>
      </c>
      <c r="D14" s="19" t="n">
        <v>350</v>
      </c>
      <c r="E14" s="18" t="n">
        <v>45.77480022</v>
      </c>
      <c r="F14" s="20" t="n">
        <v>3.007419</v>
      </c>
      <c r="G14" s="18" t="n">
        <v>52.23932743</v>
      </c>
      <c r="H14" s="20" t="n">
        <v>3.02287667</v>
      </c>
      <c r="I14" s="18" t="s">
        <v>431</v>
      </c>
      <c r="J14" s="20" t="s">
        <v>431</v>
      </c>
      <c r="K14" s="18" t="n">
        <v>1.06645909</v>
      </c>
      <c r="L14" s="20" t="n">
        <v>0.47344799</v>
      </c>
      <c r="M14" s="18" t="n">
        <v>0</v>
      </c>
      <c r="N14" s="20" t="n">
        <v>0</v>
      </c>
      <c r="O14" s="18" t="n">
        <v>0</v>
      </c>
      <c r="P14" s="20" t="n">
        <v>0</v>
      </c>
      <c r="Q14" s="18" t="n">
        <v>0.9194132699999999</v>
      </c>
      <c r="R14" s="20" t="n">
        <v>0.46163967</v>
      </c>
    </row>
    <row r="15" spans="1:18">
      <c r="A15" s="15" t="s">
        <v>439</v>
      </c>
      <c r="B15" s="17" t="n">
        <v>3019</v>
      </c>
      <c r="C15" s="18">
        <f>(2673.0/B15*100)</f>
        <v/>
      </c>
      <c r="D15" s="19" t="n">
        <v>346</v>
      </c>
      <c r="E15" s="18" t="n">
        <v>42.10682061</v>
      </c>
      <c r="F15" s="20" t="n">
        <v>2.81368913</v>
      </c>
      <c r="G15" s="18" t="n">
        <v>55.67181719</v>
      </c>
      <c r="H15" s="20" t="n">
        <v>2.84922127</v>
      </c>
      <c r="I15" s="18" t="s">
        <v>431</v>
      </c>
      <c r="J15" s="20" t="s">
        <v>431</v>
      </c>
      <c r="K15" s="18" t="n">
        <v>0.86550105</v>
      </c>
      <c r="L15" s="20" t="n">
        <v>0.50295312</v>
      </c>
      <c r="M15" s="18" t="n">
        <v>0</v>
      </c>
      <c r="N15" s="20" t="n">
        <v>0</v>
      </c>
      <c r="O15" s="18" t="n">
        <v>0</v>
      </c>
      <c r="P15" s="20" t="n">
        <v>0</v>
      </c>
      <c r="Q15" s="18" t="n">
        <v>1.35586116</v>
      </c>
      <c r="R15" s="20" t="n">
        <v>0.6194567600000001</v>
      </c>
    </row>
    <row r="16" spans="1:18">
      <c r="A16" s="15" t="s">
        <v>440</v>
      </c>
      <c r="B16" s="17" t="n">
        <v>2997</v>
      </c>
      <c r="C16" s="18">
        <f>(2629.0/B16*100)</f>
        <v/>
      </c>
      <c r="D16" s="19" t="n">
        <v>368</v>
      </c>
      <c r="E16" s="18" t="n">
        <v>41.15195495</v>
      </c>
      <c r="F16" s="20" t="n">
        <v>2.54713412</v>
      </c>
      <c r="G16" s="18" t="n">
        <v>50.69286672</v>
      </c>
      <c r="H16" s="20" t="n">
        <v>2.52994904</v>
      </c>
      <c r="I16" s="18" t="s">
        <v>431</v>
      </c>
      <c r="J16" s="20" t="s">
        <v>431</v>
      </c>
      <c r="K16" s="18" t="n">
        <v>4.42185923</v>
      </c>
      <c r="L16" s="20" t="n">
        <v>1.38107048</v>
      </c>
      <c r="M16" s="18" t="n">
        <v>0</v>
      </c>
      <c r="N16" s="20" t="n">
        <v>0</v>
      </c>
      <c r="O16" s="18" t="n">
        <v>0</v>
      </c>
      <c r="P16" s="20" t="n">
        <v>0</v>
      </c>
      <c r="Q16" s="18" t="n">
        <v>3.7333191</v>
      </c>
      <c r="R16" s="20" t="n">
        <v>0.92922896</v>
      </c>
    </row>
    <row r="17" spans="1:18">
      <c r="A17" s="15" t="s">
        <v>441</v>
      </c>
      <c r="B17" s="17" t="n">
        <v>3307</v>
      </c>
      <c r="C17" s="18">
        <f>(2920.0/B17*100)</f>
        <v/>
      </c>
      <c r="D17" s="19" t="n">
        <v>387</v>
      </c>
      <c r="E17" s="18" t="n">
        <v>40.36898468</v>
      </c>
      <c r="F17" s="20" t="n">
        <v>2.50925397</v>
      </c>
      <c r="G17" s="18" t="n">
        <v>54.64014809</v>
      </c>
      <c r="H17" s="20" t="n">
        <v>2.51399684</v>
      </c>
      <c r="I17" s="18" t="s">
        <v>431</v>
      </c>
      <c r="J17" s="20" t="s">
        <v>431</v>
      </c>
      <c r="K17" s="18" t="n">
        <v>2.4972139</v>
      </c>
      <c r="L17" s="20" t="n">
        <v>0.80447094</v>
      </c>
      <c r="M17" s="18" t="n">
        <v>0</v>
      </c>
      <c r="N17" s="20" t="n">
        <v>0</v>
      </c>
      <c r="O17" s="18" t="n">
        <v>0</v>
      </c>
      <c r="P17" s="20" t="n">
        <v>0</v>
      </c>
      <c r="Q17" s="18" t="n">
        <v>2.49365334</v>
      </c>
      <c r="R17" s="20" t="n">
        <v>0.81437674</v>
      </c>
    </row>
    <row r="18" spans="1:18">
      <c r="A18" s="15" t="s">
        <v>442</v>
      </c>
      <c r="B18" s="17" t="n">
        <v>2826</v>
      </c>
      <c r="C18" s="18">
        <f>(2466.0/B18*100)</f>
        <v/>
      </c>
      <c r="D18" s="19" t="n">
        <v>360</v>
      </c>
      <c r="E18" s="18" t="n">
        <v>54.10196246</v>
      </c>
      <c r="F18" s="20" t="n">
        <v>2.80968723</v>
      </c>
      <c r="G18" s="18" t="n">
        <v>41.68127964</v>
      </c>
      <c r="H18" s="20" t="n">
        <v>2.72891943</v>
      </c>
      <c r="I18" s="18" t="s">
        <v>431</v>
      </c>
      <c r="J18" s="20" t="s">
        <v>431</v>
      </c>
      <c r="K18" s="18" t="n">
        <v>1.60097957</v>
      </c>
      <c r="L18" s="20" t="n">
        <v>0.69484481</v>
      </c>
      <c r="M18" s="18" t="n">
        <v>0</v>
      </c>
      <c r="N18" s="20" t="n">
        <v>0</v>
      </c>
      <c r="O18" s="18" t="n">
        <v>0</v>
      </c>
      <c r="P18" s="20" t="n">
        <v>0</v>
      </c>
      <c r="Q18" s="18" t="n">
        <v>2.61577833</v>
      </c>
      <c r="R18" s="20" t="n">
        <v>0.95596895</v>
      </c>
    </row>
    <row r="19" spans="1:18">
      <c r="A19" s="15" t="s">
        <v>443</v>
      </c>
      <c r="B19" s="17" t="n">
        <v>2808</v>
      </c>
      <c r="C19" s="18">
        <f>(2471.0/B19*100)</f>
        <v/>
      </c>
      <c r="D19" s="19" t="n">
        <v>337</v>
      </c>
      <c r="E19" s="18" t="n">
        <v>46.33981414</v>
      </c>
      <c r="F19" s="20" t="n">
        <v>2.97256964</v>
      </c>
      <c r="G19" s="18" t="n">
        <v>50.76870648</v>
      </c>
      <c r="H19" s="20" t="n">
        <v>2.81371121</v>
      </c>
      <c r="I19" s="18" t="s">
        <v>431</v>
      </c>
      <c r="J19" s="20" t="s">
        <v>431</v>
      </c>
      <c r="K19" s="18" t="n">
        <v>0.50300481</v>
      </c>
      <c r="L19" s="20" t="n">
        <v>0.36190317</v>
      </c>
      <c r="M19" s="18" t="n">
        <v>0</v>
      </c>
      <c r="N19" s="20" t="n">
        <v>0</v>
      </c>
      <c r="O19" s="18" t="n">
        <v>0</v>
      </c>
      <c r="P19" s="20" t="n">
        <v>0</v>
      </c>
      <c r="Q19" s="18" t="n">
        <v>2.38847457</v>
      </c>
      <c r="R19" s="20" t="n">
        <v>1.06873114</v>
      </c>
    </row>
    <row r="20" spans="1:18">
      <c r="A20" s="15" t="s">
        <v>444</v>
      </c>
      <c r="B20" s="17" t="n">
        <v>1630</v>
      </c>
      <c r="C20" s="18">
        <f>(1433.0/B20*100)</f>
        <v/>
      </c>
      <c r="D20" s="19" t="n">
        <v>197</v>
      </c>
      <c r="E20" s="18" t="n">
        <v>42.46524696</v>
      </c>
      <c r="F20" s="20" t="n">
        <v>3.8977288</v>
      </c>
      <c r="G20" s="18" t="n">
        <v>55.01926996</v>
      </c>
      <c r="H20" s="20" t="n">
        <v>4.02798071</v>
      </c>
      <c r="I20" s="18" t="s">
        <v>431</v>
      </c>
      <c r="J20" s="20" t="s">
        <v>431</v>
      </c>
      <c r="K20" s="18" t="n">
        <v>1.97936003</v>
      </c>
      <c r="L20" s="20" t="n">
        <v>0.9565027</v>
      </c>
      <c r="M20" s="18" t="n">
        <v>0</v>
      </c>
      <c r="N20" s="20" t="n">
        <v>0</v>
      </c>
      <c r="O20" s="18" t="n">
        <v>0</v>
      </c>
      <c r="P20" s="20" t="n">
        <v>0</v>
      </c>
      <c r="Q20" s="18" t="n">
        <v>0.53612306</v>
      </c>
      <c r="R20" s="20" t="n">
        <v>0.53837946</v>
      </c>
    </row>
    <row r="21" spans="1:18">
      <c r="A21" s="15" t="s">
        <v>445</v>
      </c>
      <c r="B21" s="17" t="n">
        <v>2908</v>
      </c>
      <c r="C21" s="18">
        <f>(2449.0/B21*100)</f>
        <v/>
      </c>
      <c r="D21" s="19" t="n">
        <v>459</v>
      </c>
      <c r="E21" s="18" t="n">
        <v>39.70536426</v>
      </c>
      <c r="F21" s="20" t="n">
        <v>2.25720992</v>
      </c>
      <c r="G21" s="18" t="n">
        <v>59.35944425</v>
      </c>
      <c r="H21" s="20" t="n">
        <v>2.30162416</v>
      </c>
      <c r="I21" s="18" t="s">
        <v>431</v>
      </c>
      <c r="J21" s="20" t="s">
        <v>431</v>
      </c>
      <c r="K21" s="18" t="n">
        <v>0.76362843</v>
      </c>
      <c r="L21" s="20" t="n">
        <v>0.42974902</v>
      </c>
      <c r="M21" s="18" t="n">
        <v>0</v>
      </c>
      <c r="N21" s="20" t="n">
        <v>0</v>
      </c>
      <c r="O21" s="18" t="n">
        <v>0</v>
      </c>
      <c r="P21" s="20" t="n">
        <v>0</v>
      </c>
      <c r="Q21" s="18" t="n">
        <v>0.17156306</v>
      </c>
      <c r="R21" s="20" t="n">
        <v>0.17885813</v>
      </c>
    </row>
    <row r="22" spans="1:18">
      <c r="A22" s="15" t="s">
        <v>446</v>
      </c>
      <c r="B22" s="17" t="n">
        <v>2931</v>
      </c>
      <c r="C22" s="18">
        <f>(2577.0/B22*100)</f>
        <v/>
      </c>
      <c r="D22" s="19" t="n">
        <v>354</v>
      </c>
      <c r="E22" s="18" t="n">
        <v>46.99717019</v>
      </c>
      <c r="F22" s="20" t="n">
        <v>2.69557133</v>
      </c>
      <c r="G22" s="18" t="n">
        <v>50.33521688</v>
      </c>
      <c r="H22" s="20" t="n">
        <v>2.94804963</v>
      </c>
      <c r="I22" s="18" t="s">
        <v>431</v>
      </c>
      <c r="J22" s="20" t="s">
        <v>431</v>
      </c>
      <c r="K22" s="18" t="n">
        <v>1.29588383</v>
      </c>
      <c r="L22" s="20" t="n">
        <v>0.65773857</v>
      </c>
      <c r="M22" s="18" t="n">
        <v>0</v>
      </c>
      <c r="N22" s="20" t="n">
        <v>0</v>
      </c>
      <c r="O22" s="18" t="n">
        <v>0</v>
      </c>
      <c r="P22" s="20" t="n">
        <v>0</v>
      </c>
      <c r="Q22" s="18" t="n">
        <v>1.3717291</v>
      </c>
      <c r="R22" s="20" t="n">
        <v>0.74114323</v>
      </c>
    </row>
    <row r="23" spans="1:18">
      <c r="A23" s="15" t="s">
        <v>447</v>
      </c>
      <c r="B23" s="17" t="n">
        <v>5791</v>
      </c>
      <c r="C23" s="18">
        <f>(5115.0/B23*100)</f>
        <v/>
      </c>
      <c r="D23" s="19" t="n">
        <v>676</v>
      </c>
      <c r="E23" s="18" t="n">
        <v>39.86121742</v>
      </c>
      <c r="F23" s="20" t="n">
        <v>2.49564152</v>
      </c>
      <c r="G23" s="18" t="n">
        <v>52.30996921</v>
      </c>
      <c r="H23" s="20" t="n">
        <v>2.51596949</v>
      </c>
      <c r="I23" s="18" t="s">
        <v>431</v>
      </c>
      <c r="J23" s="20" t="s">
        <v>431</v>
      </c>
      <c r="K23" s="18" t="n">
        <v>2.82160555</v>
      </c>
      <c r="L23" s="20" t="n">
        <v>0.97838519</v>
      </c>
      <c r="M23" s="18" t="n">
        <v>0</v>
      </c>
      <c r="N23" s="20" t="n">
        <v>0</v>
      </c>
      <c r="O23" s="18" t="n">
        <v>0</v>
      </c>
      <c r="P23" s="20" t="n">
        <v>0</v>
      </c>
      <c r="Q23" s="18" t="n">
        <v>5.00720782</v>
      </c>
      <c r="R23" s="20" t="n">
        <v>1.12355716</v>
      </c>
    </row>
    <row r="24" spans="1:18">
      <c r="A24" s="15" t="s">
        <v>448</v>
      </c>
      <c r="B24" s="17" t="n">
        <v>3338</v>
      </c>
      <c r="C24" s="18">
        <f>(2944.0/B24*100)</f>
        <v/>
      </c>
      <c r="D24" s="19" t="n">
        <v>394</v>
      </c>
      <c r="E24" s="18" t="n">
        <v>43.1335303</v>
      </c>
      <c r="F24" s="20" t="n">
        <v>2.41090688</v>
      </c>
      <c r="G24" s="18" t="n">
        <v>55.04410569</v>
      </c>
      <c r="H24" s="20" t="n">
        <v>2.47644083</v>
      </c>
      <c r="I24" s="18" t="s">
        <v>431</v>
      </c>
      <c r="J24" s="20" t="s">
        <v>431</v>
      </c>
      <c r="K24" s="18" t="n">
        <v>0.76650016</v>
      </c>
      <c r="L24" s="20" t="n">
        <v>0.43927976</v>
      </c>
      <c r="M24" s="18" t="n">
        <v>0</v>
      </c>
      <c r="N24" s="20" t="n">
        <v>0</v>
      </c>
      <c r="O24" s="18" t="n">
        <v>0</v>
      </c>
      <c r="P24" s="20" t="n">
        <v>0</v>
      </c>
      <c r="Q24" s="18" t="n">
        <v>1.05586385</v>
      </c>
      <c r="R24" s="20" t="n">
        <v>0.52658541</v>
      </c>
    </row>
    <row r="25" spans="1:18">
      <c r="A25" s="15" t="s">
        <v>449</v>
      </c>
      <c r="B25" s="17" t="n">
        <v>2912</v>
      </c>
      <c r="C25" s="18">
        <f>(2542.0/B25*100)</f>
        <v/>
      </c>
      <c r="D25" s="19" t="n">
        <v>370</v>
      </c>
      <c r="E25" s="18" t="n">
        <v>42.60526424</v>
      </c>
      <c r="F25" s="20" t="n">
        <v>3.04883419</v>
      </c>
      <c r="G25" s="18" t="n">
        <v>55.61295578</v>
      </c>
      <c r="H25" s="20" t="n">
        <v>2.96346076</v>
      </c>
      <c r="I25" s="18" t="s">
        <v>431</v>
      </c>
      <c r="J25" s="20" t="s">
        <v>431</v>
      </c>
      <c r="K25" s="18" t="n">
        <v>0.23975964</v>
      </c>
      <c r="L25" s="20" t="n">
        <v>0.24100564</v>
      </c>
      <c r="M25" s="18" t="n">
        <v>0</v>
      </c>
      <c r="N25" s="20" t="n">
        <v>0</v>
      </c>
      <c r="O25" s="18" t="n">
        <v>0</v>
      </c>
      <c r="P25" s="20" t="n">
        <v>0</v>
      </c>
      <c r="Q25" s="18" t="n">
        <v>1.54202034</v>
      </c>
      <c r="R25" s="20" t="n">
        <v>0.6507755</v>
      </c>
    </row>
    <row r="26" spans="1:18">
      <c r="A26" s="15" t="s">
        <v>450</v>
      </c>
      <c r="B26" s="17" t="n">
        <v>2450</v>
      </c>
      <c r="C26" s="18">
        <f>(2161.0/B26*100)</f>
        <v/>
      </c>
      <c r="D26" s="19" t="n">
        <v>289</v>
      </c>
      <c r="E26" s="18" t="n">
        <v>43.46115511</v>
      </c>
      <c r="F26" s="20" t="n">
        <v>3.49258783</v>
      </c>
      <c r="G26" s="18" t="n">
        <v>54.56866333</v>
      </c>
      <c r="H26" s="20" t="n">
        <v>3.58670991</v>
      </c>
      <c r="I26" s="18" t="s">
        <v>431</v>
      </c>
      <c r="J26" s="20" t="s">
        <v>431</v>
      </c>
      <c r="K26" s="18" t="n">
        <v>1.41991872</v>
      </c>
      <c r="L26" s="20" t="n">
        <v>0.6844861</v>
      </c>
      <c r="M26" s="18" t="n">
        <v>0</v>
      </c>
      <c r="N26" s="20" t="n">
        <v>0</v>
      </c>
      <c r="O26" s="18" t="n">
        <v>0</v>
      </c>
      <c r="P26" s="20" t="n">
        <v>0</v>
      </c>
      <c r="Q26" s="18" t="n">
        <v>0.55026284</v>
      </c>
      <c r="R26" s="20" t="n">
        <v>0.40231205</v>
      </c>
    </row>
    <row r="27" spans="1:18">
      <c r="A27" s="15" t="s">
        <v>451</v>
      </c>
      <c r="B27" s="17" t="n">
        <v>2616</v>
      </c>
      <c r="C27" s="18">
        <f>(2292.0/B27*100)</f>
        <v/>
      </c>
      <c r="D27" s="19" t="n">
        <v>324</v>
      </c>
      <c r="E27" s="18" t="n">
        <v>47.33150519</v>
      </c>
      <c r="F27" s="20" t="n">
        <v>2.64021108</v>
      </c>
      <c r="G27" s="18" t="n">
        <v>46.46253726</v>
      </c>
      <c r="H27" s="20" t="n">
        <v>2.54288352</v>
      </c>
      <c r="I27" s="18" t="s">
        <v>431</v>
      </c>
      <c r="J27" s="20" t="s">
        <v>431</v>
      </c>
      <c r="K27" s="18" t="n">
        <v>2.85899374</v>
      </c>
      <c r="L27" s="20" t="n">
        <v>1.01032544</v>
      </c>
      <c r="M27" s="18" t="n">
        <v>0</v>
      </c>
      <c r="N27" s="20" t="n">
        <v>0</v>
      </c>
      <c r="O27" s="18" t="n">
        <v>0</v>
      </c>
      <c r="P27" s="20" t="n">
        <v>0</v>
      </c>
      <c r="Q27" s="18" t="n">
        <v>3.34696381</v>
      </c>
      <c r="R27" s="20" t="n">
        <v>0.9866562800000001</v>
      </c>
    </row>
    <row r="28" spans="1:18">
      <c r="A28" s="15" t="s">
        <v>452</v>
      </c>
      <c r="B28" s="17" t="n">
        <v>3765</v>
      </c>
      <c r="C28" s="18">
        <f>(3365.0/B28*100)</f>
        <v/>
      </c>
      <c r="D28" s="19" t="n">
        <v>400</v>
      </c>
      <c r="E28" s="18" t="n">
        <v>64.15012259</v>
      </c>
      <c r="F28" s="20" t="n">
        <v>2.88976605</v>
      </c>
      <c r="G28" s="18" t="n">
        <v>34.45810176</v>
      </c>
      <c r="H28" s="20" t="n">
        <v>2.83264242</v>
      </c>
      <c r="I28" s="18" t="s">
        <v>431</v>
      </c>
      <c r="J28" s="20" t="s">
        <v>431</v>
      </c>
      <c r="K28" s="18" t="n">
        <v>1.24379732</v>
      </c>
      <c r="L28" s="20" t="n">
        <v>0.52067524</v>
      </c>
      <c r="M28" s="18" t="n">
        <v>0</v>
      </c>
      <c r="N28" s="20" t="n">
        <v>0</v>
      </c>
      <c r="O28" s="18" t="n">
        <v>0</v>
      </c>
      <c r="P28" s="20" t="n">
        <v>0</v>
      </c>
      <c r="Q28" s="18" t="n">
        <v>0.14797833</v>
      </c>
      <c r="R28" s="20" t="n">
        <v>0.14724892</v>
      </c>
    </row>
    <row r="29" spans="1:18">
      <c r="A29" s="15" t="s">
        <v>453</v>
      </c>
      <c r="B29" s="17" t="n">
        <v>2685</v>
      </c>
      <c r="C29" s="18">
        <f>(2368.0/B29*100)</f>
        <v/>
      </c>
      <c r="D29" s="19" t="n">
        <v>317</v>
      </c>
      <c r="E29" s="18" t="n">
        <v>45.67007104</v>
      </c>
      <c r="F29" s="20" t="n">
        <v>2.67610049</v>
      </c>
      <c r="G29" s="18" t="n">
        <v>53.12225349</v>
      </c>
      <c r="H29" s="20" t="n">
        <v>2.73694223</v>
      </c>
      <c r="I29" s="18" t="s">
        <v>431</v>
      </c>
      <c r="J29" s="20" t="s">
        <v>431</v>
      </c>
      <c r="K29" s="18" t="n">
        <v>0.32414901</v>
      </c>
      <c r="L29" s="20" t="n">
        <v>0.34741924</v>
      </c>
      <c r="M29" s="18" t="n">
        <v>0</v>
      </c>
      <c r="N29" s="20" t="n">
        <v>0</v>
      </c>
      <c r="O29" s="18" t="n">
        <v>0</v>
      </c>
      <c r="P29" s="20" t="n">
        <v>0</v>
      </c>
      <c r="Q29" s="18" t="n">
        <v>0.88352646</v>
      </c>
      <c r="R29" s="20" t="n">
        <v>0.48375079</v>
      </c>
    </row>
    <row r="30" spans="1:18">
      <c r="A30" s="15" t="s">
        <v>454</v>
      </c>
      <c r="B30" s="17" t="n">
        <v>2263</v>
      </c>
      <c r="C30" s="18">
        <f>(1998.0/B30*100)</f>
        <v/>
      </c>
      <c r="D30" s="19" t="n">
        <v>265</v>
      </c>
      <c r="E30" s="18" t="n">
        <v>40.19536764</v>
      </c>
      <c r="F30" s="20" t="n">
        <v>3.04693388</v>
      </c>
      <c r="G30" s="18" t="n">
        <v>54.48647811</v>
      </c>
      <c r="H30" s="20" t="n">
        <v>2.8338314</v>
      </c>
      <c r="I30" s="18" t="s">
        <v>431</v>
      </c>
      <c r="J30" s="20" t="s">
        <v>431</v>
      </c>
      <c r="K30" s="18" t="n">
        <v>3.37148058</v>
      </c>
      <c r="L30" s="20" t="n">
        <v>1.21869543</v>
      </c>
      <c r="M30" s="18" t="n">
        <v>0</v>
      </c>
      <c r="N30" s="20" t="n">
        <v>0</v>
      </c>
      <c r="O30" s="18" t="n">
        <v>0</v>
      </c>
      <c r="P30" s="20" t="n">
        <v>0</v>
      </c>
      <c r="Q30" s="18" t="n">
        <v>1.94667366</v>
      </c>
      <c r="R30" s="20" t="n">
        <v>0.79232244</v>
      </c>
    </row>
    <row r="31" spans="1:18">
      <c r="A31" s="15" t="s">
        <v>455</v>
      </c>
      <c r="B31" s="17" t="n">
        <v>2750</v>
      </c>
      <c r="C31" s="18">
        <f>(2399.0/B31*100)</f>
        <v/>
      </c>
      <c r="D31" s="19" t="n">
        <v>351</v>
      </c>
      <c r="E31" s="18" t="n">
        <v>42.01738506</v>
      </c>
      <c r="F31" s="20" t="n">
        <v>2.55574725</v>
      </c>
      <c r="G31" s="18" t="n">
        <v>53.92029344</v>
      </c>
      <c r="H31" s="20" t="n">
        <v>2.55640368</v>
      </c>
      <c r="I31" s="18" t="s">
        <v>431</v>
      </c>
      <c r="J31" s="20" t="s">
        <v>431</v>
      </c>
      <c r="K31" s="18" t="n">
        <v>1.99012184</v>
      </c>
      <c r="L31" s="20" t="n">
        <v>0.7405716</v>
      </c>
      <c r="M31" s="18" t="n">
        <v>0</v>
      </c>
      <c r="N31" s="20" t="n">
        <v>0</v>
      </c>
      <c r="O31" s="18" t="n">
        <v>0</v>
      </c>
      <c r="P31" s="20" t="n">
        <v>0</v>
      </c>
      <c r="Q31" s="18" t="n">
        <v>2.07219965</v>
      </c>
      <c r="R31" s="20" t="n">
        <v>0.78633497</v>
      </c>
    </row>
    <row r="32" spans="1:18">
      <c r="A32" s="15" t="s">
        <v>456</v>
      </c>
      <c r="B32" s="17" t="n">
        <v>2269</v>
      </c>
      <c r="C32" s="18">
        <f>(1895.0/B32*100)</f>
        <v/>
      </c>
      <c r="D32" s="19" t="n">
        <v>374</v>
      </c>
      <c r="E32" s="18" t="n">
        <v>46.00861759</v>
      </c>
      <c r="F32" s="20" t="n">
        <v>2.7187678</v>
      </c>
      <c r="G32" s="18" t="n">
        <v>52.13056788</v>
      </c>
      <c r="H32" s="20" t="n">
        <v>2.68008885</v>
      </c>
      <c r="I32" s="18" t="s">
        <v>431</v>
      </c>
      <c r="J32" s="20" t="s">
        <v>431</v>
      </c>
      <c r="K32" s="18" t="n">
        <v>1.05402989</v>
      </c>
      <c r="L32" s="20" t="n">
        <v>0.52591864</v>
      </c>
      <c r="M32" s="18" t="n">
        <v>0</v>
      </c>
      <c r="N32" s="20" t="n">
        <v>0</v>
      </c>
      <c r="O32" s="18" t="n">
        <v>0</v>
      </c>
      <c r="P32" s="20" t="n">
        <v>0</v>
      </c>
      <c r="Q32" s="18" t="n">
        <v>0.8067846400000001</v>
      </c>
      <c r="R32" s="20" t="n">
        <v>0.46823449</v>
      </c>
    </row>
    <row r="33" spans="1:18">
      <c r="A33" s="15" t="s">
        <v>457</v>
      </c>
      <c r="B33" s="17" t="n">
        <v>3674</v>
      </c>
      <c r="C33" s="18">
        <f>(3233.0/B33*100)</f>
        <v/>
      </c>
      <c r="D33" s="19" t="n">
        <v>441</v>
      </c>
      <c r="E33" s="18" t="n">
        <v>52.25083839</v>
      </c>
      <c r="F33" s="20" t="n">
        <v>3.16831715</v>
      </c>
      <c r="G33" s="18" t="n">
        <v>45.26278468</v>
      </c>
      <c r="H33" s="20" t="n">
        <v>3.23938468</v>
      </c>
      <c r="I33" s="18" t="s">
        <v>431</v>
      </c>
      <c r="J33" s="20" t="s">
        <v>431</v>
      </c>
      <c r="K33" s="18" t="n">
        <v>1.44115631</v>
      </c>
      <c r="L33" s="20" t="n">
        <v>0.81199279</v>
      </c>
      <c r="M33" s="18" t="n">
        <v>0</v>
      </c>
      <c r="N33" s="20" t="n">
        <v>0</v>
      </c>
      <c r="O33" s="18" t="n">
        <v>0</v>
      </c>
      <c r="P33" s="20" t="n">
        <v>0</v>
      </c>
      <c r="Q33" s="18" t="n">
        <v>1.04522062</v>
      </c>
      <c r="R33" s="20" t="n">
        <v>0.55541518</v>
      </c>
    </row>
    <row r="34" spans="1:18">
      <c r="A34" s="15" t="s">
        <v>458</v>
      </c>
      <c r="B34" s="17" t="n">
        <v>3315</v>
      </c>
      <c r="C34" s="18">
        <f>(2917.0/B34*100)</f>
        <v/>
      </c>
      <c r="D34" s="19" t="n">
        <v>398</v>
      </c>
      <c r="E34" s="18" t="n">
        <v>55.39863858</v>
      </c>
      <c r="F34" s="20" t="n">
        <v>2.55757106</v>
      </c>
      <c r="G34" s="18" t="n">
        <v>42.98478112</v>
      </c>
      <c r="H34" s="20" t="n">
        <v>2.5460128</v>
      </c>
      <c r="I34" s="18" t="s">
        <v>431</v>
      </c>
      <c r="J34" s="20" t="s">
        <v>431</v>
      </c>
      <c r="K34" s="18" t="n">
        <v>0.53093156</v>
      </c>
      <c r="L34" s="20" t="n">
        <v>0.38425301</v>
      </c>
      <c r="M34" s="18" t="n">
        <v>0</v>
      </c>
      <c r="N34" s="20" t="n">
        <v>0</v>
      </c>
      <c r="O34" s="18" t="n">
        <v>0</v>
      </c>
      <c r="P34" s="20" t="n">
        <v>0</v>
      </c>
      <c r="Q34" s="18" t="n">
        <v>1.08564874</v>
      </c>
      <c r="R34" s="20" t="n">
        <v>0.49131541</v>
      </c>
    </row>
    <row r="35" spans="1:18">
      <c r="A35" s="15" t="s">
        <v>459</v>
      </c>
      <c r="B35" s="17" t="n">
        <v>3505</v>
      </c>
      <c r="C35" s="18">
        <f>(3091.0/B35*100)</f>
        <v/>
      </c>
      <c r="D35" s="19" t="n">
        <v>414</v>
      </c>
      <c r="E35" s="18" t="n">
        <v>51.29515115</v>
      </c>
      <c r="F35" s="20" t="n">
        <v>2.81408055</v>
      </c>
      <c r="G35" s="18" t="n">
        <v>46.34219684</v>
      </c>
      <c r="H35" s="20" t="n">
        <v>2.78492564</v>
      </c>
      <c r="I35" s="18" t="s">
        <v>431</v>
      </c>
      <c r="J35" s="20" t="s">
        <v>431</v>
      </c>
      <c r="K35" s="18" t="n">
        <v>0.45662154</v>
      </c>
      <c r="L35" s="20" t="n">
        <v>0.28161996</v>
      </c>
      <c r="M35" s="18" t="n">
        <v>0</v>
      </c>
      <c r="N35" s="20" t="n">
        <v>0</v>
      </c>
      <c r="O35" s="18" t="n">
        <v>0</v>
      </c>
      <c r="P35" s="20" t="n">
        <v>0</v>
      </c>
      <c r="Q35" s="18" t="n">
        <v>1.90603047</v>
      </c>
      <c r="R35" s="20" t="n">
        <v>0.61720409</v>
      </c>
    </row>
    <row r="36" spans="1:18">
      <c r="A36" s="15" t="s">
        <v>460</v>
      </c>
      <c r="B36" s="17" t="n">
        <v>3332</v>
      </c>
      <c r="C36" s="18">
        <f>(2941.0/B36*100)</f>
        <v/>
      </c>
      <c r="D36" s="19" t="n">
        <v>391</v>
      </c>
      <c r="E36" s="18" t="n">
        <v>51.78345807</v>
      </c>
      <c r="F36" s="20" t="n">
        <v>2.67170004</v>
      </c>
      <c r="G36" s="18" t="n">
        <v>44.57010561</v>
      </c>
      <c r="H36" s="20" t="n">
        <v>2.38234424</v>
      </c>
      <c r="I36" s="18" t="s">
        <v>431</v>
      </c>
      <c r="J36" s="20" t="s">
        <v>431</v>
      </c>
      <c r="K36" s="18" t="n">
        <v>2.17615621</v>
      </c>
      <c r="L36" s="20" t="n">
        <v>0.848259</v>
      </c>
      <c r="M36" s="18" t="n">
        <v>0</v>
      </c>
      <c r="N36" s="20" t="n">
        <v>0</v>
      </c>
      <c r="O36" s="18" t="n">
        <v>0</v>
      </c>
      <c r="P36" s="20" t="n">
        <v>0</v>
      </c>
      <c r="Q36" s="18" t="n">
        <v>1.4702801</v>
      </c>
      <c r="R36" s="20" t="n">
        <v>0.72324192</v>
      </c>
    </row>
    <row r="37" spans="1:18">
      <c r="A37" s="15" t="s">
        <v>461</v>
      </c>
      <c r="B37" s="17" t="n">
        <v>2727</v>
      </c>
      <c r="C37" s="18">
        <f>(2412.0/B37*100)</f>
        <v/>
      </c>
      <c r="D37" s="19" t="n">
        <v>315</v>
      </c>
      <c r="E37" s="18" t="n">
        <v>42.12075758</v>
      </c>
      <c r="F37" s="20" t="n">
        <v>2.86478674</v>
      </c>
      <c r="G37" s="18" t="n">
        <v>51.99710144</v>
      </c>
      <c r="H37" s="20" t="n">
        <v>2.77200037</v>
      </c>
      <c r="I37" s="18" t="s">
        <v>431</v>
      </c>
      <c r="J37" s="20" t="s">
        <v>431</v>
      </c>
      <c r="K37" s="18" t="n">
        <v>2.53527196</v>
      </c>
      <c r="L37" s="20" t="n">
        <v>0.86278691</v>
      </c>
      <c r="M37" s="18" t="n">
        <v>0</v>
      </c>
      <c r="N37" s="20" t="n">
        <v>0</v>
      </c>
      <c r="O37" s="18" t="n">
        <v>0</v>
      </c>
      <c r="P37" s="20" t="n">
        <v>0</v>
      </c>
      <c r="Q37" s="18" t="n">
        <v>3.34686902</v>
      </c>
      <c r="R37" s="20" t="n">
        <v>1.08107707</v>
      </c>
    </row>
    <row r="38" spans="1:18">
      <c r="A38" s="15" t="s">
        <v>462</v>
      </c>
      <c r="B38" s="17" t="n">
        <v>3053</v>
      </c>
      <c r="C38" s="18">
        <f>(2549.0/B38*100)</f>
        <v/>
      </c>
      <c r="D38" s="19" t="n">
        <v>504</v>
      </c>
      <c r="E38" s="18" t="n">
        <v>40.53035393</v>
      </c>
      <c r="F38" s="20" t="n">
        <v>2.2534957</v>
      </c>
      <c r="G38" s="18" t="n">
        <v>53.54216124</v>
      </c>
      <c r="H38" s="20" t="n">
        <v>2.41009366</v>
      </c>
      <c r="I38" s="18" t="s">
        <v>431</v>
      </c>
      <c r="J38" s="20" t="s">
        <v>431</v>
      </c>
      <c r="K38" s="18" t="n">
        <v>1.93270749</v>
      </c>
      <c r="L38" s="20" t="n">
        <v>0.61388427</v>
      </c>
      <c r="M38" s="18" t="n">
        <v>0</v>
      </c>
      <c r="N38" s="20" t="n">
        <v>0</v>
      </c>
      <c r="O38" s="18" t="n">
        <v>0</v>
      </c>
      <c r="P38" s="20" t="n">
        <v>0</v>
      </c>
      <c r="Q38" s="18" t="n">
        <v>3.99477734</v>
      </c>
      <c r="R38" s="20" t="n">
        <v>1.03193354</v>
      </c>
    </row>
    <row r="39" spans="1:18">
      <c r="A39" s="15" t="s">
        <v>463</v>
      </c>
      <c r="B39" s="17" t="n">
        <v>2957</v>
      </c>
      <c r="C39" s="18">
        <f>(2593.0/B39*100)</f>
        <v/>
      </c>
      <c r="D39" s="19" t="n">
        <v>364</v>
      </c>
      <c r="E39" s="18" t="n">
        <v>62.48081941</v>
      </c>
      <c r="F39" s="20" t="n">
        <v>2.71014292</v>
      </c>
      <c r="G39" s="18" t="n">
        <v>34.86574738</v>
      </c>
      <c r="H39" s="20" t="n">
        <v>2.60562528</v>
      </c>
      <c r="I39" s="18" t="s">
        <v>431</v>
      </c>
      <c r="J39" s="20" t="s">
        <v>431</v>
      </c>
      <c r="K39" s="18" t="n">
        <v>0.98129093</v>
      </c>
      <c r="L39" s="20" t="n">
        <v>0.50056322</v>
      </c>
      <c r="M39" s="18" t="n">
        <v>0</v>
      </c>
      <c r="N39" s="20" t="n">
        <v>0</v>
      </c>
      <c r="O39" s="18" t="n">
        <v>0</v>
      </c>
      <c r="P39" s="20" t="n">
        <v>0</v>
      </c>
      <c r="Q39" s="18" t="n">
        <v>1.67214229</v>
      </c>
      <c r="R39" s="20" t="n">
        <v>0.60816158</v>
      </c>
    </row>
    <row r="40" spans="1:18">
      <c r="A40" s="15" t="s">
        <v>464</v>
      </c>
      <c r="B40" s="17" t="n">
        <v>7235</v>
      </c>
      <c r="C40" s="18">
        <f>(6361.0/B40*100)</f>
        <v/>
      </c>
      <c r="D40" s="19" t="n">
        <v>874</v>
      </c>
      <c r="E40" s="18" t="n">
        <v>39.94713617</v>
      </c>
      <c r="F40" s="20" t="n">
        <v>2.44409385</v>
      </c>
      <c r="G40" s="18" t="n">
        <v>55.79227893</v>
      </c>
      <c r="H40" s="20" t="n">
        <v>2.51486546</v>
      </c>
      <c r="I40" s="18" t="s">
        <v>431</v>
      </c>
      <c r="J40" s="20" t="s">
        <v>431</v>
      </c>
      <c r="K40" s="18" t="n">
        <v>1.33723748</v>
      </c>
      <c r="L40" s="20" t="n">
        <v>0.52040679</v>
      </c>
      <c r="M40" s="18" t="n">
        <v>0</v>
      </c>
      <c r="N40" s="20" t="n">
        <v>0</v>
      </c>
      <c r="O40" s="18" t="n">
        <v>0</v>
      </c>
      <c r="P40" s="20" t="n">
        <v>0</v>
      </c>
      <c r="Q40" s="18" t="n">
        <v>2.92334742</v>
      </c>
      <c r="R40" s="20" t="n">
        <v>0.91129666</v>
      </c>
    </row>
    <row r="41" spans="1:18">
      <c r="A41" s="15" t="s">
        <v>465</v>
      </c>
      <c r="B41" s="17" t="n">
        <v>2858</v>
      </c>
      <c r="C41" s="18">
        <f>(2518.0/B41*100)</f>
        <v/>
      </c>
      <c r="D41" s="19" t="n">
        <v>340</v>
      </c>
      <c r="E41" s="18" t="n">
        <v>40.7325117</v>
      </c>
      <c r="F41" s="20" t="n">
        <v>2.61859894</v>
      </c>
      <c r="G41" s="18" t="n">
        <v>57.44029139</v>
      </c>
      <c r="H41" s="20" t="n">
        <v>2.7967098</v>
      </c>
      <c r="I41" s="18" t="s">
        <v>431</v>
      </c>
      <c r="J41" s="20" t="s">
        <v>431</v>
      </c>
      <c r="K41" s="18" t="n">
        <v>0.46936045</v>
      </c>
      <c r="L41" s="20" t="n">
        <v>0.32380735</v>
      </c>
      <c r="M41" s="18" t="n">
        <v>0</v>
      </c>
      <c r="N41" s="20" t="n">
        <v>0</v>
      </c>
      <c r="O41" s="18" t="n">
        <v>0</v>
      </c>
      <c r="P41" s="20" t="n">
        <v>0</v>
      </c>
      <c r="Q41" s="18" t="n">
        <v>1.35783646</v>
      </c>
      <c r="R41" s="20" t="n">
        <v>0.59859512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(9988.0/B46*100)</f>
        <v/>
      </c>
      <c r="D46" s="19" t="n">
        <v>1080</v>
      </c>
      <c r="E46" s="18" t="n">
        <v>67.26741077</v>
      </c>
      <c r="F46" s="20" t="n">
        <v>1.78758955</v>
      </c>
      <c r="G46" s="18" t="n">
        <v>27.28628417</v>
      </c>
      <c r="H46" s="20" t="n">
        <v>1.83855512</v>
      </c>
      <c r="I46" s="18" t="s">
        <v>431</v>
      </c>
      <c r="J46" s="20" t="s">
        <v>431</v>
      </c>
      <c r="K46" s="18" t="n">
        <v>2.2786746</v>
      </c>
      <c r="L46" s="20" t="n">
        <v>0.53678528</v>
      </c>
      <c r="M46" s="18" t="n">
        <v>0</v>
      </c>
      <c r="N46" s="20" t="n">
        <v>0</v>
      </c>
      <c r="O46" s="18" t="n">
        <v>0</v>
      </c>
      <c r="P46" s="20" t="n">
        <v>0</v>
      </c>
      <c r="Q46" s="18" t="n">
        <v>3.16763046</v>
      </c>
      <c r="R46" s="20" t="n">
        <v>0.53892607</v>
      </c>
    </row>
    <row r="47" spans="1:18">
      <c r="A47" s="15" t="s">
        <v>471</v>
      </c>
      <c r="B47" s="17" t="n">
        <v>3105</v>
      </c>
      <c r="C47" s="18">
        <f>(2738.0/B47*100)</f>
        <v/>
      </c>
      <c r="D47" s="19" t="n">
        <v>367</v>
      </c>
      <c r="E47" s="18" t="n">
        <v>55.11530854</v>
      </c>
      <c r="F47" s="20" t="n">
        <v>2.8512838</v>
      </c>
      <c r="G47" s="18" t="n">
        <v>41.1547709</v>
      </c>
      <c r="H47" s="20" t="n">
        <v>2.92637744</v>
      </c>
      <c r="I47" s="18" t="s">
        <v>431</v>
      </c>
      <c r="J47" s="20" t="s">
        <v>431</v>
      </c>
      <c r="K47" s="18" t="n">
        <v>1.32770725</v>
      </c>
      <c r="L47" s="20" t="n">
        <v>0.61862526</v>
      </c>
      <c r="M47" s="18" t="n">
        <v>0</v>
      </c>
      <c r="N47" s="20" t="n">
        <v>0</v>
      </c>
      <c r="O47" s="18" t="n">
        <v>0</v>
      </c>
      <c r="P47" s="20" t="n">
        <v>0</v>
      </c>
      <c r="Q47" s="18" t="n">
        <v>2.40221331</v>
      </c>
      <c r="R47" s="20" t="n">
        <v>0.85265623</v>
      </c>
    </row>
    <row r="48" spans="1:18">
      <c r="A48" s="15" t="s">
        <v>472</v>
      </c>
      <c r="B48" s="17" t="n">
        <v>5159</v>
      </c>
      <c r="C48" s="18">
        <f>(4510.0/B48*100)</f>
        <v/>
      </c>
      <c r="D48" s="19" t="n">
        <v>649</v>
      </c>
      <c r="E48" s="18" t="n">
        <v>41.22730107</v>
      </c>
      <c r="F48" s="20" t="n">
        <v>2.85416</v>
      </c>
      <c r="G48" s="18" t="n">
        <v>56.91796537</v>
      </c>
      <c r="H48" s="20" t="n">
        <v>2.89585301</v>
      </c>
      <c r="I48" s="18" t="s">
        <v>431</v>
      </c>
      <c r="J48" s="20" t="s">
        <v>431</v>
      </c>
      <c r="K48" s="18" t="n">
        <v>1.09262053</v>
      </c>
      <c r="L48" s="20" t="n">
        <v>0.55042406</v>
      </c>
      <c r="M48" s="18" t="n">
        <v>0</v>
      </c>
      <c r="N48" s="20" t="n">
        <v>0</v>
      </c>
      <c r="O48" s="18" t="n">
        <v>0</v>
      </c>
      <c r="P48" s="20" t="n">
        <v>0</v>
      </c>
      <c r="Q48" s="18" t="n">
        <v>0.76211303</v>
      </c>
      <c r="R48" s="20" t="n">
        <v>0.43038766</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(4993.0/B50*100)</f>
        <v/>
      </c>
      <c r="D50" s="19" t="n">
        <v>644</v>
      </c>
      <c r="E50" s="18" t="n">
        <v>61.77880988</v>
      </c>
      <c r="F50" s="20" t="n">
        <v>2.80312572</v>
      </c>
      <c r="G50" s="18" t="n">
        <v>33.38158525</v>
      </c>
      <c r="H50" s="20" t="n">
        <v>2.84971464</v>
      </c>
      <c r="I50" s="18" t="s">
        <v>431</v>
      </c>
      <c r="J50" s="20" t="s">
        <v>431</v>
      </c>
      <c r="K50" s="18" t="n">
        <v>3.47384057</v>
      </c>
      <c r="L50" s="20" t="n">
        <v>1.00865942</v>
      </c>
      <c r="M50" s="18" t="n">
        <v>0</v>
      </c>
      <c r="N50" s="20" t="n">
        <v>0</v>
      </c>
      <c r="O50" s="18" t="n">
        <v>0</v>
      </c>
      <c r="P50" s="20" t="n">
        <v>0</v>
      </c>
      <c r="Q50" s="18" t="n">
        <v>1.3657643</v>
      </c>
      <c r="R50" s="20" t="n">
        <v>0.52063965</v>
      </c>
    </row>
    <row r="51" spans="1:18">
      <c r="A51" s="15" t="s">
        <v>475</v>
      </c>
      <c r="B51" s="17" t="n">
        <v>3372</v>
      </c>
      <c r="C51" s="18">
        <f>(3066.0/B51*100)</f>
        <v/>
      </c>
      <c r="D51" s="19" t="n">
        <v>306</v>
      </c>
      <c r="E51" s="18" t="n">
        <v>56.83577461</v>
      </c>
      <c r="F51" s="20" t="n">
        <v>3.33870248</v>
      </c>
      <c r="G51" s="18" t="n">
        <v>39.46367477</v>
      </c>
      <c r="H51" s="20" t="n">
        <v>3.33214327</v>
      </c>
      <c r="I51" s="18" t="s">
        <v>431</v>
      </c>
      <c r="J51" s="20" t="s">
        <v>431</v>
      </c>
      <c r="K51" s="18" t="n">
        <v>0.84741595</v>
      </c>
      <c r="L51" s="20" t="n">
        <v>0.55882331</v>
      </c>
      <c r="M51" s="18" t="n">
        <v>0</v>
      </c>
      <c r="N51" s="20" t="n">
        <v>0</v>
      </c>
      <c r="O51" s="18" t="n">
        <v>0</v>
      </c>
      <c r="P51" s="20" t="n">
        <v>0</v>
      </c>
      <c r="Q51" s="18" t="n">
        <v>2.85313466</v>
      </c>
      <c r="R51" s="20" t="n">
        <v>0.95145636</v>
      </c>
    </row>
    <row r="52" spans="1:18">
      <c r="A52" s="15" t="s">
        <v>476</v>
      </c>
      <c r="B52" s="17" t="n">
        <v>2796</v>
      </c>
      <c r="C52" s="18">
        <f>(2452.0/B52*100)</f>
        <v/>
      </c>
      <c r="D52" s="19" t="n">
        <v>344</v>
      </c>
      <c r="E52" s="18" t="n">
        <v>47.40714293</v>
      </c>
      <c r="F52" s="20" t="n">
        <v>2.94193411</v>
      </c>
      <c r="G52" s="18" t="n">
        <v>49.22161899</v>
      </c>
      <c r="H52" s="20" t="n">
        <v>2.86651229</v>
      </c>
      <c r="I52" s="18" t="s">
        <v>431</v>
      </c>
      <c r="J52" s="20" t="s">
        <v>431</v>
      </c>
      <c r="K52" s="18" t="n">
        <v>1.18522887</v>
      </c>
      <c r="L52" s="20" t="n">
        <v>0.59783829</v>
      </c>
      <c r="M52" s="18" t="n">
        <v>0</v>
      </c>
      <c r="N52" s="20" t="n">
        <v>0</v>
      </c>
      <c r="O52" s="18" t="n">
        <v>0</v>
      </c>
      <c r="P52" s="20" t="n">
        <v>0</v>
      </c>
      <c r="Q52" s="18" t="n">
        <v>2.18600921</v>
      </c>
      <c r="R52" s="20" t="n">
        <v>0.8351879800000001</v>
      </c>
    </row>
    <row r="53" spans="1:18">
      <c r="A53" s="15" t="s">
        <v>477</v>
      </c>
      <c r="B53" s="17" t="n">
        <v>2811</v>
      </c>
      <c r="C53" s="18">
        <f>(2471.0/B53*100)</f>
        <v/>
      </c>
      <c r="D53" s="19" t="n">
        <v>340</v>
      </c>
      <c r="E53" s="18" t="n">
        <v>63.09210253</v>
      </c>
      <c r="F53" s="20" t="n">
        <v>2.64654596</v>
      </c>
      <c r="G53" s="18" t="n">
        <v>31.7410884</v>
      </c>
      <c r="H53" s="20" t="n">
        <v>2.58859514</v>
      </c>
      <c r="I53" s="18" t="s">
        <v>431</v>
      </c>
      <c r="J53" s="20" t="s">
        <v>431</v>
      </c>
      <c r="K53" s="18" t="n">
        <v>2.88219735</v>
      </c>
      <c r="L53" s="20" t="n">
        <v>1.02863981</v>
      </c>
      <c r="M53" s="18" t="n">
        <v>0</v>
      </c>
      <c r="N53" s="20" t="n">
        <v>0</v>
      </c>
      <c r="O53" s="18" t="n">
        <v>0</v>
      </c>
      <c r="P53" s="20" t="n">
        <v>0</v>
      </c>
      <c r="Q53" s="18" t="n">
        <v>2.28461172</v>
      </c>
      <c r="R53" s="20" t="n">
        <v>0.8446657</v>
      </c>
    </row>
    <row r="54" spans="1:18">
      <c r="A54" s="15" t="s">
        <v>478</v>
      </c>
      <c r="B54" s="17" t="n">
        <v>2266</v>
      </c>
      <c r="C54" s="18">
        <f>(1857.0/B54*100)</f>
        <v/>
      </c>
      <c r="D54" s="19" t="n">
        <v>409</v>
      </c>
      <c r="E54" s="18" t="n">
        <v>50.80995814</v>
      </c>
      <c r="F54" s="20" t="n">
        <v>2.77606904</v>
      </c>
      <c r="G54" s="18" t="n">
        <v>23.10718861</v>
      </c>
      <c r="H54" s="20" t="n">
        <v>1.93799328</v>
      </c>
      <c r="I54" s="18" t="s">
        <v>431</v>
      </c>
      <c r="J54" s="20" t="s">
        <v>431</v>
      </c>
      <c r="K54" s="18" t="n">
        <v>20.00167822</v>
      </c>
      <c r="L54" s="20" t="n">
        <v>2.23567205</v>
      </c>
      <c r="M54" s="18" t="n">
        <v>0</v>
      </c>
      <c r="N54" s="20" t="n">
        <v>0</v>
      </c>
      <c r="O54" s="18" t="n">
        <v>0</v>
      </c>
      <c r="P54" s="20" t="n">
        <v>0</v>
      </c>
      <c r="Q54" s="18" t="n">
        <v>6.08117503</v>
      </c>
      <c r="R54" s="20" t="n">
        <v>1.57821187</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(2353.0/B56*100)</f>
        <v/>
      </c>
      <c r="D56" s="19" t="n">
        <v>331</v>
      </c>
      <c r="E56" s="18" t="n">
        <v>36.7876167</v>
      </c>
      <c r="F56" s="20" t="n">
        <v>3.11810277</v>
      </c>
      <c r="G56" s="18" t="n">
        <v>61.93819312</v>
      </c>
      <c r="H56" s="20" t="n">
        <v>3.0630596</v>
      </c>
      <c r="I56" s="18" t="s">
        <v>431</v>
      </c>
      <c r="J56" s="20" t="s">
        <v>431</v>
      </c>
      <c r="K56" s="18" t="n">
        <v>0.74933543</v>
      </c>
      <c r="L56" s="20" t="n">
        <v>0.52282274</v>
      </c>
      <c r="M56" s="18" t="n">
        <v>0</v>
      </c>
      <c r="N56" s="20" t="n">
        <v>0</v>
      </c>
      <c r="O56" s="18" t="n">
        <v>0</v>
      </c>
      <c r="P56" s="20" t="n">
        <v>0</v>
      </c>
      <c r="Q56" s="18" t="n">
        <v>0.52485475</v>
      </c>
      <c r="R56" s="20" t="n">
        <v>0.36589404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(2923.0/B61*100)</f>
        <v/>
      </c>
      <c r="D61" s="19" t="n">
        <v>401</v>
      </c>
      <c r="E61" s="18" t="n">
        <v>53.85066585</v>
      </c>
      <c r="F61" s="20" t="n">
        <v>2.88577614</v>
      </c>
      <c r="G61" s="18" t="n">
        <v>43.340156</v>
      </c>
      <c r="H61" s="20" t="n">
        <v>2.94002918</v>
      </c>
      <c r="I61" s="18" t="s">
        <v>431</v>
      </c>
      <c r="J61" s="20" t="s">
        <v>431</v>
      </c>
      <c r="K61" s="18" t="n">
        <v>0.5121604</v>
      </c>
      <c r="L61" s="20" t="n">
        <v>0.31432778</v>
      </c>
      <c r="M61" s="18" t="n">
        <v>0</v>
      </c>
      <c r="N61" s="20" t="n">
        <v>0</v>
      </c>
      <c r="O61" s="18" t="n">
        <v>0</v>
      </c>
      <c r="P61" s="20" t="n">
        <v>0</v>
      </c>
      <c r="Q61" s="18" t="n">
        <v>2.29701775</v>
      </c>
      <c r="R61" s="20" t="n">
        <v>0.8285065</v>
      </c>
    </row>
    <row r="62" spans="1:18">
      <c r="A62" s="15" t="s">
        <v>486</v>
      </c>
      <c r="B62" s="17" t="n">
        <v>2246</v>
      </c>
      <c r="C62" s="18">
        <f>(1985.0/B62*100)</f>
        <v/>
      </c>
      <c r="D62" s="19" t="n">
        <v>261</v>
      </c>
      <c r="E62" s="18" t="n">
        <v>39.04034387</v>
      </c>
      <c r="F62" s="20" t="n">
        <v>2.86878654</v>
      </c>
      <c r="G62" s="18" t="n">
        <v>60.95965613</v>
      </c>
      <c r="H62" s="20" t="n">
        <v>2.86878654</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(2544.0/B66*100)</f>
        <v/>
      </c>
      <c r="D66" s="19" t="n">
        <v>350</v>
      </c>
      <c r="E66" s="18" t="n">
        <v>57.91667125</v>
      </c>
      <c r="F66" s="20" t="n">
        <v>2.56015211</v>
      </c>
      <c r="G66" s="18" t="n">
        <v>32.43011671</v>
      </c>
      <c r="H66" s="20" t="n">
        <v>2.76100491</v>
      </c>
      <c r="I66" s="18" t="s">
        <v>431</v>
      </c>
      <c r="J66" s="20" t="s">
        <v>431</v>
      </c>
      <c r="K66" s="18" t="n">
        <v>2.93632284</v>
      </c>
      <c r="L66" s="20" t="n">
        <v>0.87140105</v>
      </c>
      <c r="M66" s="18" t="n">
        <v>0</v>
      </c>
      <c r="N66" s="20" t="n">
        <v>0</v>
      </c>
      <c r="O66" s="18" t="n">
        <v>0</v>
      </c>
      <c r="P66" s="20" t="n">
        <v>0</v>
      </c>
      <c r="Q66" s="18" t="n">
        <v>6.7168892</v>
      </c>
      <c r="R66" s="20" t="n">
        <v>1.39140184</v>
      </c>
    </row>
    <row r="67" spans="1:18">
      <c r="A67" s="15" t="s">
        <v>491</v>
      </c>
      <c r="B67" s="17" t="n">
        <v>3511</v>
      </c>
      <c r="C67" s="18">
        <f>(3161.0/B67*100)</f>
        <v/>
      </c>
      <c r="D67" s="19" t="n">
        <v>350</v>
      </c>
      <c r="E67" s="18" t="n">
        <v>54.50305429</v>
      </c>
      <c r="F67" s="20" t="n">
        <v>2.70709118</v>
      </c>
      <c r="G67" s="18" t="n">
        <v>42.57281178</v>
      </c>
      <c r="H67" s="20" t="n">
        <v>2.50586731</v>
      </c>
      <c r="I67" s="18" t="s">
        <v>431</v>
      </c>
      <c r="J67" s="20" t="s">
        <v>431</v>
      </c>
      <c r="K67" s="18" t="n">
        <v>0.95703522</v>
      </c>
      <c r="L67" s="20" t="n">
        <v>0.54799211</v>
      </c>
      <c r="M67" s="18" t="n">
        <v>0</v>
      </c>
      <c r="N67" s="20" t="n">
        <v>0</v>
      </c>
      <c r="O67" s="18" t="n">
        <v>0</v>
      </c>
      <c r="P67" s="20" t="n">
        <v>0</v>
      </c>
      <c r="Q67" s="18" t="n">
        <v>1.96709872</v>
      </c>
      <c r="R67" s="20" t="n">
        <v>0.72263418</v>
      </c>
    </row>
    <row r="68" spans="1:18">
      <c r="A68" s="15" t="s">
        <v>492</v>
      </c>
      <c r="B68" s="17" t="n">
        <v>6049</v>
      </c>
      <c r="C68" s="18">
        <f>(5054.0/B68*100)</f>
        <v/>
      </c>
      <c r="D68" s="19" t="n">
        <v>995</v>
      </c>
      <c r="E68" s="18" t="n">
        <v>57.54619018</v>
      </c>
      <c r="F68" s="20" t="n">
        <v>1.55520541</v>
      </c>
      <c r="G68" s="18" t="n">
        <v>30.97549836</v>
      </c>
      <c r="H68" s="20" t="n">
        <v>1.38994252</v>
      </c>
      <c r="I68" s="18" t="s">
        <v>431</v>
      </c>
      <c r="J68" s="20" t="s">
        <v>431</v>
      </c>
      <c r="K68" s="18" t="n">
        <v>7.21348784</v>
      </c>
      <c r="L68" s="20" t="n">
        <v>0.78722341</v>
      </c>
      <c r="M68" s="18" t="n">
        <v>0</v>
      </c>
      <c r="N68" s="20" t="n">
        <v>0</v>
      </c>
      <c r="O68" s="18" t="n">
        <v>0</v>
      </c>
      <c r="P68" s="20" t="n">
        <v>0</v>
      </c>
      <c r="Q68" s="18" t="n">
        <v>4.26482362</v>
      </c>
      <c r="R68" s="20" t="n">
        <v>0.65504463</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(2591.0/B70*100)</f>
        <v/>
      </c>
      <c r="D70" s="19" t="n">
        <v>338</v>
      </c>
      <c r="E70" s="18" t="n">
        <v>50.49454812</v>
      </c>
      <c r="F70" s="20" t="n">
        <v>2.71035093</v>
      </c>
      <c r="G70" s="18" t="n">
        <v>45.01539093</v>
      </c>
      <c r="H70" s="20" t="n">
        <v>2.95267819</v>
      </c>
      <c r="I70" s="18" t="s">
        <v>431</v>
      </c>
      <c r="J70" s="20" t="s">
        <v>431</v>
      </c>
      <c r="K70" s="18" t="n">
        <v>0.39173839</v>
      </c>
      <c r="L70" s="20" t="n">
        <v>0.28409302</v>
      </c>
      <c r="M70" s="18" t="n">
        <v>0</v>
      </c>
      <c r="N70" s="20" t="n">
        <v>0</v>
      </c>
      <c r="O70" s="18" t="n">
        <v>0</v>
      </c>
      <c r="P70" s="20" t="n">
        <v>0</v>
      </c>
      <c r="Q70" s="18" t="n">
        <v>4.09832255</v>
      </c>
      <c r="R70" s="20" t="n">
        <v>0.8915041500000001</v>
      </c>
    </row>
    <row r="71" spans="1:18">
      <c r="A71" s="15" t="s">
        <v>495</v>
      </c>
      <c r="B71" s="17" t="n">
        <v>3142</v>
      </c>
      <c r="C71" s="18">
        <f>(2758.0/B71*100)</f>
        <v/>
      </c>
      <c r="D71" s="19" t="n">
        <v>384</v>
      </c>
      <c r="E71" s="18" t="n">
        <v>32.68887338</v>
      </c>
      <c r="F71" s="20" t="n">
        <v>2.61052754</v>
      </c>
      <c r="G71" s="18" t="n">
        <v>66.30572573000001</v>
      </c>
      <c r="H71" s="20" t="n">
        <v>2.81892424</v>
      </c>
      <c r="I71" s="18" t="s">
        <v>431</v>
      </c>
      <c r="J71" s="20" t="s">
        <v>431</v>
      </c>
      <c r="K71" s="18" t="n">
        <v>0.48064048</v>
      </c>
      <c r="L71" s="20" t="n">
        <v>0.3429309</v>
      </c>
      <c r="M71" s="18" t="n">
        <v>0</v>
      </c>
      <c r="N71" s="20" t="n">
        <v>0</v>
      </c>
      <c r="O71" s="18" t="n">
        <v>0</v>
      </c>
      <c r="P71" s="20" t="n">
        <v>0</v>
      </c>
      <c r="Q71" s="18" t="n">
        <v>0.5247604</v>
      </c>
      <c r="R71" s="20" t="n">
        <v>0.3764618</v>
      </c>
    </row>
    <row r="72" spans="1:18">
      <c r="A72" s="15" t="s">
        <v>496</v>
      </c>
      <c r="B72" s="17" t="n">
        <v>3889</v>
      </c>
      <c r="C72" s="18">
        <f>(3425.0/B72*100)</f>
        <v/>
      </c>
      <c r="D72" s="19" t="n">
        <v>464</v>
      </c>
      <c r="E72" s="18" t="n">
        <v>39.63507914</v>
      </c>
      <c r="F72" s="20" t="n">
        <v>2.16459662</v>
      </c>
      <c r="G72" s="18" t="n">
        <v>59.66465449</v>
      </c>
      <c r="H72" s="20" t="n">
        <v>2.08359253</v>
      </c>
      <c r="I72" s="18" t="s">
        <v>431</v>
      </c>
      <c r="J72" s="20" t="s">
        <v>431</v>
      </c>
      <c r="K72" s="18" t="n">
        <v>0.43794447</v>
      </c>
      <c r="L72" s="20" t="n">
        <v>0.31746472</v>
      </c>
      <c r="M72" s="18" t="n">
        <v>0</v>
      </c>
      <c r="N72" s="20" t="n">
        <v>0</v>
      </c>
      <c r="O72" s="18" t="n">
        <v>0</v>
      </c>
      <c r="P72" s="20" t="n">
        <v>0</v>
      </c>
      <c r="Q72" s="18" t="n">
        <v>0.2623219</v>
      </c>
      <c r="R72" s="20" t="n">
        <v>0.26269463</v>
      </c>
    </row>
    <row r="73" spans="1:18">
      <c r="A73" s="15" t="s">
        <v>497</v>
      </c>
      <c r="B73" s="17" t="n">
        <v>3597</v>
      </c>
      <c r="C73" s="18">
        <f>(3174.0/B73*100)</f>
        <v/>
      </c>
      <c r="D73" s="19" t="n">
        <v>423</v>
      </c>
      <c r="E73" s="18" t="n">
        <v>69.83223436</v>
      </c>
      <c r="F73" s="20" t="n">
        <v>2.54825064</v>
      </c>
      <c r="G73" s="18" t="n">
        <v>29.2315401</v>
      </c>
      <c r="H73" s="20" t="n">
        <v>2.53557618</v>
      </c>
      <c r="I73" s="18" t="s">
        <v>431</v>
      </c>
      <c r="J73" s="20" t="s">
        <v>431</v>
      </c>
      <c r="K73" s="18" t="n">
        <v>0.01064214</v>
      </c>
      <c r="L73" s="20" t="n">
        <v>0.01058486</v>
      </c>
      <c r="M73" s="18" t="n">
        <v>0</v>
      </c>
      <c r="N73" s="20" t="n">
        <v>0</v>
      </c>
      <c r="O73" s="18" t="n">
        <v>0</v>
      </c>
      <c r="P73" s="20" t="n">
        <v>0</v>
      </c>
      <c r="Q73" s="18" t="n">
        <v>0.9255833999999999</v>
      </c>
      <c r="R73" s="20" t="n">
        <v>0.49920122</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(2134.0/B75*100)</f>
        <v/>
      </c>
      <c r="D75" s="19" t="n">
        <v>272</v>
      </c>
      <c r="E75" s="18" t="n">
        <v>71.05086333</v>
      </c>
      <c r="F75" s="20" t="n">
        <v>3.03709268</v>
      </c>
      <c r="G75" s="18" t="n">
        <v>20.48235169</v>
      </c>
      <c r="H75" s="20" t="n">
        <v>2.83088953</v>
      </c>
      <c r="I75" s="18" t="s">
        <v>431</v>
      </c>
      <c r="J75" s="20" t="s">
        <v>431</v>
      </c>
      <c r="K75" s="18" t="n">
        <v>5.33540334</v>
      </c>
      <c r="L75" s="20" t="n">
        <v>1.56467723</v>
      </c>
      <c r="M75" s="18" t="n">
        <v>0</v>
      </c>
      <c r="N75" s="20" t="n">
        <v>0</v>
      </c>
      <c r="O75" s="18" t="n">
        <v>0</v>
      </c>
      <c r="P75" s="20" t="n">
        <v>0</v>
      </c>
      <c r="Q75" s="18" t="n">
        <v>3.13138164</v>
      </c>
      <c r="R75" s="20" t="n">
        <v>1.03322107</v>
      </c>
    </row>
    <row r="76" spans="1:18">
      <c r="A76" s="15" t="s">
        <v>500</v>
      </c>
      <c r="B76" s="17" t="n">
        <v>7052</v>
      </c>
      <c r="C76" s="18">
        <f>(6214.0/B76*100)</f>
        <v/>
      </c>
      <c r="D76" s="19" t="n">
        <v>838</v>
      </c>
      <c r="E76" s="18" t="n">
        <v>56.28269324</v>
      </c>
      <c r="F76" s="20" t="n">
        <v>2.23602115</v>
      </c>
      <c r="G76" s="18" t="n">
        <v>39.05892153</v>
      </c>
      <c r="H76" s="20" t="n">
        <v>2.29377939</v>
      </c>
      <c r="I76" s="18" t="s">
        <v>431</v>
      </c>
      <c r="J76" s="20" t="s">
        <v>431</v>
      </c>
      <c r="K76" s="18" t="n">
        <v>2.46869471</v>
      </c>
      <c r="L76" s="20" t="n">
        <v>0.66265147</v>
      </c>
      <c r="M76" s="18" t="n">
        <v>0</v>
      </c>
      <c r="N76" s="20" t="n">
        <v>0</v>
      </c>
      <c r="O76" s="18" t="n">
        <v>0</v>
      </c>
      <c r="P76" s="20" t="n">
        <v>0</v>
      </c>
      <c r="Q76" s="18" t="n">
        <v>2.18969052</v>
      </c>
      <c r="R76" s="20" t="n">
        <v>0.53138125</v>
      </c>
    </row>
    <row r="77" spans="1:18">
      <c r="A77" s="15" t="s">
        <v>501</v>
      </c>
      <c r="B77" s="17" t="n">
        <v>2908</v>
      </c>
      <c r="C77" s="18">
        <f>(2597.0/B77*100)</f>
        <v/>
      </c>
      <c r="D77" s="19" t="n">
        <v>311</v>
      </c>
      <c r="E77" s="18" t="n">
        <v>50.66173526</v>
      </c>
      <c r="F77" s="20" t="n">
        <v>2.81617124</v>
      </c>
      <c r="G77" s="18" t="n">
        <v>38.39067042</v>
      </c>
      <c r="H77" s="20" t="n">
        <v>2.81918762</v>
      </c>
      <c r="I77" s="18" t="s">
        <v>431</v>
      </c>
      <c r="J77" s="20" t="s">
        <v>431</v>
      </c>
      <c r="K77" s="18" t="n">
        <v>5.73968164</v>
      </c>
      <c r="L77" s="20" t="n">
        <v>1.52368938</v>
      </c>
      <c r="M77" s="18" t="n">
        <v>0</v>
      </c>
      <c r="N77" s="20" t="n">
        <v>0</v>
      </c>
      <c r="O77" s="18" t="n">
        <v>0</v>
      </c>
      <c r="P77" s="20" t="n">
        <v>0</v>
      </c>
      <c r="Q77" s="18" t="n">
        <v>5.20791269</v>
      </c>
      <c r="R77" s="20" t="n">
        <v>1.30297543</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(3658.0/B81*100)</f>
        <v/>
      </c>
      <c r="D81" s="19" t="n">
        <v>505</v>
      </c>
      <c r="E81" s="18" t="n">
        <v>62.92787037</v>
      </c>
      <c r="F81" s="20" t="n">
        <v>3.33195734</v>
      </c>
      <c r="G81" s="18" t="n">
        <v>35.98781459</v>
      </c>
      <c r="H81" s="20" t="n">
        <v>3.39138863</v>
      </c>
      <c r="I81" s="18" t="s">
        <v>431</v>
      </c>
      <c r="J81" s="20" t="s">
        <v>431</v>
      </c>
      <c r="K81" s="18" t="n">
        <v>0.2172443</v>
      </c>
      <c r="L81" s="20" t="n">
        <v>0.15276655</v>
      </c>
      <c r="M81" s="18" t="n">
        <v>0</v>
      </c>
      <c r="N81" s="20" t="n">
        <v>0</v>
      </c>
      <c r="O81" s="18" t="n">
        <v>0</v>
      </c>
      <c r="P81" s="20" t="n">
        <v>0</v>
      </c>
      <c r="Q81" s="18" t="n">
        <v>0.86707075</v>
      </c>
      <c r="R81" s="20" t="n">
        <v>0.5007909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(6479.0/B7*100)</f>
        <v/>
      </c>
      <c r="D7" s="19" t="n">
        <v>888</v>
      </c>
      <c r="E7" s="18" t="n">
        <v>47.47450678</v>
      </c>
      <c r="F7" s="20" t="n">
        <v>1.94023595</v>
      </c>
      <c r="G7" s="18" t="n">
        <v>50.90020057</v>
      </c>
      <c r="H7" s="20" t="n">
        <v>2.0133357</v>
      </c>
      <c r="I7" s="18" t="s">
        <v>431</v>
      </c>
      <c r="J7" s="20" t="s">
        <v>431</v>
      </c>
      <c r="K7" s="18" t="n">
        <v>0.85463397</v>
      </c>
      <c r="L7" s="20" t="n">
        <v>0.31486211</v>
      </c>
      <c r="M7" s="18" t="n">
        <v>0</v>
      </c>
      <c r="N7" s="20" t="n">
        <v>0</v>
      </c>
      <c r="O7" s="18" t="n">
        <v>0</v>
      </c>
      <c r="P7" s="20" t="n">
        <v>0</v>
      </c>
      <c r="Q7" s="18" t="n">
        <v>0.77065867</v>
      </c>
      <c r="R7" s="20" t="n">
        <v>0.31165996</v>
      </c>
    </row>
    <row r="8" spans="1:18">
      <c r="A8" s="15" t="s">
        <v>432</v>
      </c>
      <c r="B8" s="17" t="n">
        <v>3564</v>
      </c>
      <c r="C8" s="18">
        <f>(3147.0/B8*100)</f>
        <v/>
      </c>
      <c r="D8" s="19" t="n">
        <v>417</v>
      </c>
      <c r="E8" s="18" t="n">
        <v>33.34097297</v>
      </c>
      <c r="F8" s="20" t="n">
        <v>2.26628915</v>
      </c>
      <c r="G8" s="18" t="n">
        <v>63.81960189</v>
      </c>
      <c r="H8" s="20" t="n">
        <v>2.37817041</v>
      </c>
      <c r="I8" s="18" t="s">
        <v>431</v>
      </c>
      <c r="J8" s="20" t="s">
        <v>431</v>
      </c>
      <c r="K8" s="18" t="n">
        <v>0.78943828</v>
      </c>
      <c r="L8" s="20" t="n">
        <v>0.44755141</v>
      </c>
      <c r="M8" s="18" t="n">
        <v>0</v>
      </c>
      <c r="N8" s="20" t="n">
        <v>0</v>
      </c>
      <c r="O8" s="18" t="n">
        <v>0</v>
      </c>
      <c r="P8" s="20" t="n">
        <v>0</v>
      </c>
      <c r="Q8" s="18" t="n">
        <v>2.04998686</v>
      </c>
      <c r="R8" s="20" t="n">
        <v>0.6912611400000001</v>
      </c>
    </row>
    <row r="9" spans="1:18">
      <c r="A9" s="15" t="s">
        <v>433</v>
      </c>
      <c r="B9" s="17" t="n">
        <v>4899</v>
      </c>
      <c r="C9" s="18">
        <f>(4356.0/B9*100)</f>
        <v/>
      </c>
      <c r="D9" s="19" t="n">
        <v>543</v>
      </c>
      <c r="E9" s="18" t="n">
        <v>31.37596611</v>
      </c>
      <c r="F9" s="20" t="n">
        <v>2.19835361</v>
      </c>
      <c r="G9" s="18" t="n">
        <v>66.12902219</v>
      </c>
      <c r="H9" s="20" t="n">
        <v>2.18615141</v>
      </c>
      <c r="I9" s="18" t="s">
        <v>431</v>
      </c>
      <c r="J9" s="20" t="s">
        <v>431</v>
      </c>
      <c r="K9" s="18" t="n">
        <v>2.12456525</v>
      </c>
      <c r="L9" s="20" t="n">
        <v>0.5413127599999999</v>
      </c>
      <c r="M9" s="18" t="n">
        <v>0</v>
      </c>
      <c r="N9" s="20" t="n">
        <v>0</v>
      </c>
      <c r="O9" s="18" t="n">
        <v>0</v>
      </c>
      <c r="P9" s="20" t="n">
        <v>0</v>
      </c>
      <c r="Q9" s="18" t="n">
        <v>0.37044645</v>
      </c>
      <c r="R9" s="20" t="n">
        <v>0.26163198</v>
      </c>
    </row>
    <row r="10" spans="1:18">
      <c r="A10" s="15" t="s">
        <v>434</v>
      </c>
      <c r="B10" s="17" t="n">
        <v>10036</v>
      </c>
      <c r="C10" s="18">
        <f>(8862.0/B10*100)</f>
        <v/>
      </c>
      <c r="D10" s="19" t="n">
        <v>1174</v>
      </c>
      <c r="E10" s="18" t="n">
        <v>36.61500227</v>
      </c>
      <c r="F10" s="20" t="n">
        <v>1.9415889</v>
      </c>
      <c r="G10" s="18" t="n">
        <v>61.56025484</v>
      </c>
      <c r="H10" s="20" t="n">
        <v>1.90045495</v>
      </c>
      <c r="I10" s="18" t="s">
        <v>431</v>
      </c>
      <c r="J10" s="20" t="s">
        <v>431</v>
      </c>
      <c r="K10" s="18" t="n">
        <v>1.19413424</v>
      </c>
      <c r="L10" s="20" t="n">
        <v>0.46616943</v>
      </c>
      <c r="M10" s="18" t="n">
        <v>0</v>
      </c>
      <c r="N10" s="20" t="n">
        <v>0</v>
      </c>
      <c r="O10" s="18" t="n">
        <v>0</v>
      </c>
      <c r="P10" s="20" t="n">
        <v>0</v>
      </c>
      <c r="Q10" s="18" t="n">
        <v>0.63060866</v>
      </c>
      <c r="R10" s="20" t="n">
        <v>0.36444186</v>
      </c>
    </row>
    <row r="11" spans="1:18">
      <c r="A11" s="15" t="s">
        <v>435</v>
      </c>
      <c r="B11" s="17" t="n">
        <v>3553</v>
      </c>
      <c r="C11" s="18">
        <f>(3144.0/B11*100)</f>
        <v/>
      </c>
      <c r="D11" s="19" t="n">
        <v>409</v>
      </c>
      <c r="E11" s="18" t="n">
        <v>35.33586832</v>
      </c>
      <c r="F11" s="20" t="n">
        <v>2.19745389</v>
      </c>
      <c r="G11" s="18" t="n">
        <v>59.86811192</v>
      </c>
      <c r="H11" s="20" t="n">
        <v>2.35388363</v>
      </c>
      <c r="I11" s="18" t="s">
        <v>431</v>
      </c>
      <c r="J11" s="20" t="s">
        <v>431</v>
      </c>
      <c r="K11" s="18" t="n">
        <v>2.74805349</v>
      </c>
      <c r="L11" s="20" t="n">
        <v>1.07460009</v>
      </c>
      <c r="M11" s="18" t="n">
        <v>0</v>
      </c>
      <c r="N11" s="20" t="n">
        <v>0</v>
      </c>
      <c r="O11" s="18" t="n">
        <v>0</v>
      </c>
      <c r="P11" s="20" t="n">
        <v>0</v>
      </c>
      <c r="Q11" s="18" t="n">
        <v>2.04796627</v>
      </c>
      <c r="R11" s="20" t="n">
        <v>0.88657657</v>
      </c>
    </row>
    <row r="12" spans="1:18">
      <c r="A12" s="15" t="s">
        <v>436</v>
      </c>
      <c r="B12" s="17" t="n">
        <v>3472</v>
      </c>
      <c r="C12" s="18">
        <f>(3063.0/B12*100)</f>
        <v/>
      </c>
      <c r="D12" s="19" t="n">
        <v>409</v>
      </c>
      <c r="E12" s="18" t="n">
        <v>43.40682023</v>
      </c>
      <c r="F12" s="20" t="n">
        <v>2.78739519</v>
      </c>
      <c r="G12" s="18" t="n">
        <v>54.23053871</v>
      </c>
      <c r="H12" s="20" t="n">
        <v>2.77849016</v>
      </c>
      <c r="I12" s="18" t="s">
        <v>431</v>
      </c>
      <c r="J12" s="20" t="s">
        <v>431</v>
      </c>
      <c r="K12" s="18" t="n">
        <v>0.61739654</v>
      </c>
      <c r="L12" s="20" t="n">
        <v>0.29265389</v>
      </c>
      <c r="M12" s="18" t="n">
        <v>0</v>
      </c>
      <c r="N12" s="20" t="n">
        <v>0</v>
      </c>
      <c r="O12" s="18" t="n">
        <v>0</v>
      </c>
      <c r="P12" s="20" t="n">
        <v>0</v>
      </c>
      <c r="Q12" s="18" t="n">
        <v>1.74524452</v>
      </c>
      <c r="R12" s="20" t="n">
        <v>0.73239957</v>
      </c>
    </row>
    <row r="13" spans="1:18">
      <c r="A13" s="15" t="s">
        <v>437</v>
      </c>
      <c r="B13" s="17" t="n">
        <v>3559</v>
      </c>
      <c r="C13" s="18">
        <f>(3163.0/B13*100)</f>
        <v/>
      </c>
      <c r="D13" s="19" t="n">
        <v>396</v>
      </c>
      <c r="E13" s="18" t="n">
        <v>54.78883003</v>
      </c>
      <c r="F13" s="20" t="n">
        <v>2.91603445</v>
      </c>
      <c r="G13" s="18" t="n">
        <v>43.01994644</v>
      </c>
      <c r="H13" s="20" t="n">
        <v>2.91485956</v>
      </c>
      <c r="I13" s="18" t="s">
        <v>431</v>
      </c>
      <c r="J13" s="20" t="s">
        <v>431</v>
      </c>
      <c r="K13" s="18" t="n">
        <v>1.33188154</v>
      </c>
      <c r="L13" s="20" t="n">
        <v>0.48581741</v>
      </c>
      <c r="M13" s="18" t="n">
        <v>0</v>
      </c>
      <c r="N13" s="20" t="n">
        <v>0</v>
      </c>
      <c r="O13" s="18" t="n">
        <v>0</v>
      </c>
      <c r="P13" s="20" t="n">
        <v>0</v>
      </c>
      <c r="Q13" s="18" t="n">
        <v>0.85934199</v>
      </c>
      <c r="R13" s="20" t="n">
        <v>0.56177206</v>
      </c>
    </row>
    <row r="14" spans="1:18">
      <c r="A14" s="15" t="s">
        <v>438</v>
      </c>
      <c r="B14" s="17" t="n">
        <v>2799</v>
      </c>
      <c r="C14" s="18">
        <f>(2451.0/B14*100)</f>
        <v/>
      </c>
      <c r="D14" s="19" t="n">
        <v>348</v>
      </c>
      <c r="E14" s="18" t="n">
        <v>50.34459768</v>
      </c>
      <c r="F14" s="20" t="n">
        <v>3.25521751</v>
      </c>
      <c r="G14" s="18" t="n">
        <v>48.1543672</v>
      </c>
      <c r="H14" s="20" t="n">
        <v>3.21872583</v>
      </c>
      <c r="I14" s="18" t="s">
        <v>431</v>
      </c>
      <c r="J14" s="20" t="s">
        <v>431</v>
      </c>
      <c r="K14" s="18" t="n">
        <v>1.50103512</v>
      </c>
      <c r="L14" s="20" t="n">
        <v>0.5619835</v>
      </c>
      <c r="M14" s="18" t="n">
        <v>0</v>
      </c>
      <c r="N14" s="20" t="n">
        <v>0</v>
      </c>
      <c r="O14" s="18" t="n">
        <v>0</v>
      </c>
      <c r="P14" s="20" t="n">
        <v>0</v>
      </c>
      <c r="Q14" s="18" t="n">
        <v>0</v>
      </c>
      <c r="R14" s="20" t="n">
        <v>0</v>
      </c>
    </row>
    <row r="15" spans="1:18">
      <c r="A15" s="15" t="s">
        <v>439</v>
      </c>
      <c r="B15" s="17" t="n">
        <v>3019</v>
      </c>
      <c r="C15" s="18">
        <f>(2673.0/B15*100)</f>
        <v/>
      </c>
      <c r="D15" s="19" t="n">
        <v>346</v>
      </c>
      <c r="E15" s="18" t="n">
        <v>25.46894339</v>
      </c>
      <c r="F15" s="20" t="n">
        <v>2.58487211</v>
      </c>
      <c r="G15" s="18" t="n">
        <v>72.30272384</v>
      </c>
      <c r="H15" s="20" t="n">
        <v>2.65980843</v>
      </c>
      <c r="I15" s="18" t="s">
        <v>431</v>
      </c>
      <c r="J15" s="20" t="s">
        <v>431</v>
      </c>
      <c r="K15" s="18" t="n">
        <v>1.15135218</v>
      </c>
      <c r="L15" s="20" t="n">
        <v>0.57493856</v>
      </c>
      <c r="M15" s="18" t="n">
        <v>0</v>
      </c>
      <c r="N15" s="20" t="n">
        <v>0</v>
      </c>
      <c r="O15" s="18" t="n">
        <v>0</v>
      </c>
      <c r="P15" s="20" t="n">
        <v>0</v>
      </c>
      <c r="Q15" s="18" t="n">
        <v>1.07698059</v>
      </c>
      <c r="R15" s="20" t="n">
        <v>0.54657593</v>
      </c>
    </row>
    <row r="16" spans="1:18">
      <c r="A16" s="15" t="s">
        <v>440</v>
      </c>
      <c r="B16" s="17" t="n">
        <v>2997</v>
      </c>
      <c r="C16" s="18">
        <f>(2630.0/B16*100)</f>
        <v/>
      </c>
      <c r="D16" s="19" t="n">
        <v>367</v>
      </c>
      <c r="E16" s="18" t="n">
        <v>31.08444463</v>
      </c>
      <c r="F16" s="20" t="n">
        <v>2.44857214</v>
      </c>
      <c r="G16" s="18" t="n">
        <v>63.67384587</v>
      </c>
      <c r="H16" s="20" t="n">
        <v>2.8464205</v>
      </c>
      <c r="I16" s="18" t="s">
        <v>431</v>
      </c>
      <c r="J16" s="20" t="s">
        <v>431</v>
      </c>
      <c r="K16" s="18" t="n">
        <v>4.68892541</v>
      </c>
      <c r="L16" s="20" t="n">
        <v>1.4060947</v>
      </c>
      <c r="M16" s="18" t="n">
        <v>0</v>
      </c>
      <c r="N16" s="20" t="n">
        <v>0</v>
      </c>
      <c r="O16" s="18" t="n">
        <v>0</v>
      </c>
      <c r="P16" s="20" t="n">
        <v>0</v>
      </c>
      <c r="Q16" s="18" t="n">
        <v>0.55278409</v>
      </c>
      <c r="R16" s="20" t="n">
        <v>0.39020006</v>
      </c>
    </row>
    <row r="17" spans="1:18">
      <c r="A17" s="15" t="s">
        <v>441</v>
      </c>
      <c r="B17" s="17" t="n">
        <v>3307</v>
      </c>
      <c r="C17" s="18">
        <f>(2923.0/B17*100)</f>
        <v/>
      </c>
      <c r="D17" s="19" t="n">
        <v>384</v>
      </c>
      <c r="E17" s="18" t="n">
        <v>26.01138984</v>
      </c>
      <c r="F17" s="20" t="n">
        <v>2.0147425</v>
      </c>
      <c r="G17" s="18" t="n">
        <v>70.22943082</v>
      </c>
      <c r="H17" s="20" t="n">
        <v>2.27779616</v>
      </c>
      <c r="I17" s="18" t="s">
        <v>431</v>
      </c>
      <c r="J17" s="20" t="s">
        <v>431</v>
      </c>
      <c r="K17" s="18" t="n">
        <v>2.51568762</v>
      </c>
      <c r="L17" s="20" t="n">
        <v>0.81052019</v>
      </c>
      <c r="M17" s="18" t="n">
        <v>0</v>
      </c>
      <c r="N17" s="20" t="n">
        <v>0</v>
      </c>
      <c r="O17" s="18" t="n">
        <v>0</v>
      </c>
      <c r="P17" s="20" t="n">
        <v>0</v>
      </c>
      <c r="Q17" s="18" t="n">
        <v>1.24349172</v>
      </c>
      <c r="R17" s="20" t="n">
        <v>0.55354077</v>
      </c>
    </row>
    <row r="18" spans="1:18">
      <c r="A18" s="15" t="s">
        <v>442</v>
      </c>
      <c r="B18" s="17" t="n">
        <v>2826</v>
      </c>
      <c r="C18" s="18">
        <f>(2466.0/B18*100)</f>
        <v/>
      </c>
      <c r="D18" s="19" t="n">
        <v>360</v>
      </c>
      <c r="E18" s="18" t="n">
        <v>42.28130609</v>
      </c>
      <c r="F18" s="20" t="n">
        <v>3.10845827</v>
      </c>
      <c r="G18" s="18" t="n">
        <v>54.4166705</v>
      </c>
      <c r="H18" s="20" t="n">
        <v>3.27846312</v>
      </c>
      <c r="I18" s="18" t="s">
        <v>431</v>
      </c>
      <c r="J18" s="20" t="s">
        <v>431</v>
      </c>
      <c r="K18" s="18" t="n">
        <v>2.50463559</v>
      </c>
      <c r="L18" s="20" t="n">
        <v>0.93151554</v>
      </c>
      <c r="M18" s="18" t="n">
        <v>0</v>
      </c>
      <c r="N18" s="20" t="n">
        <v>0</v>
      </c>
      <c r="O18" s="18" t="n">
        <v>0</v>
      </c>
      <c r="P18" s="20" t="n">
        <v>0</v>
      </c>
      <c r="Q18" s="18" t="n">
        <v>0.79738782</v>
      </c>
      <c r="R18" s="20" t="n">
        <v>0.48033486</v>
      </c>
    </row>
    <row r="19" spans="1:18">
      <c r="A19" s="15" t="s">
        <v>443</v>
      </c>
      <c r="B19" s="17" t="n">
        <v>2808</v>
      </c>
      <c r="C19" s="18">
        <f>(2473.0/B19*100)</f>
        <v/>
      </c>
      <c r="D19" s="19" t="n">
        <v>335</v>
      </c>
      <c r="E19" s="18" t="n">
        <v>52.07428076</v>
      </c>
      <c r="F19" s="20" t="n">
        <v>2.67364566</v>
      </c>
      <c r="G19" s="18" t="n">
        <v>45.49234496</v>
      </c>
      <c r="H19" s="20" t="n">
        <v>2.79513281</v>
      </c>
      <c r="I19" s="18" t="s">
        <v>431</v>
      </c>
      <c r="J19" s="20" t="s">
        <v>431</v>
      </c>
      <c r="K19" s="18" t="n">
        <v>0.50567786</v>
      </c>
      <c r="L19" s="20" t="n">
        <v>0.36391228</v>
      </c>
      <c r="M19" s="18" t="n">
        <v>0</v>
      </c>
      <c r="N19" s="20" t="n">
        <v>0</v>
      </c>
      <c r="O19" s="18" t="n">
        <v>0</v>
      </c>
      <c r="P19" s="20" t="n">
        <v>0</v>
      </c>
      <c r="Q19" s="18" t="n">
        <v>1.92769642</v>
      </c>
      <c r="R19" s="20" t="n">
        <v>1.33617657</v>
      </c>
    </row>
    <row r="20" spans="1:18">
      <c r="A20" s="15" t="s">
        <v>444</v>
      </c>
      <c r="B20" s="17" t="n">
        <v>1630</v>
      </c>
      <c r="C20" s="18">
        <f>(1435.0/B20*100)</f>
        <v/>
      </c>
      <c r="D20" s="19" t="n">
        <v>195</v>
      </c>
      <c r="E20" s="18" t="n">
        <v>44.78980656</v>
      </c>
      <c r="F20" s="20" t="n">
        <v>3.54519972</v>
      </c>
      <c r="G20" s="18" t="n">
        <v>51.74984821</v>
      </c>
      <c r="H20" s="20" t="n">
        <v>3.66358519</v>
      </c>
      <c r="I20" s="18" t="s">
        <v>431</v>
      </c>
      <c r="J20" s="20" t="s">
        <v>431</v>
      </c>
      <c r="K20" s="18" t="n">
        <v>1.99893503</v>
      </c>
      <c r="L20" s="20" t="n">
        <v>0.96496162</v>
      </c>
      <c r="M20" s="18" t="n">
        <v>0</v>
      </c>
      <c r="N20" s="20" t="n">
        <v>0</v>
      </c>
      <c r="O20" s="18" t="n">
        <v>0</v>
      </c>
      <c r="P20" s="20" t="n">
        <v>0</v>
      </c>
      <c r="Q20" s="18" t="n">
        <v>1.4614102</v>
      </c>
      <c r="R20" s="20" t="n">
        <v>0.85629265</v>
      </c>
    </row>
    <row r="21" spans="1:18">
      <c r="A21" s="15" t="s">
        <v>445</v>
      </c>
      <c r="B21" s="17" t="n">
        <v>2908</v>
      </c>
      <c r="C21" s="18">
        <f>(2450.0/B21*100)</f>
        <v/>
      </c>
      <c r="D21" s="19" t="n">
        <v>458</v>
      </c>
      <c r="E21" s="18" t="n">
        <v>45.61642836</v>
      </c>
      <c r="F21" s="20" t="n">
        <v>2.07019019</v>
      </c>
      <c r="G21" s="18" t="n">
        <v>52.74839716</v>
      </c>
      <c r="H21" s="20" t="n">
        <v>2.0666563</v>
      </c>
      <c r="I21" s="18" t="s">
        <v>431</v>
      </c>
      <c r="J21" s="20" t="s">
        <v>431</v>
      </c>
      <c r="K21" s="18" t="n">
        <v>0.955807</v>
      </c>
      <c r="L21" s="20" t="n">
        <v>0.46988053</v>
      </c>
      <c r="M21" s="18" t="n">
        <v>0</v>
      </c>
      <c r="N21" s="20" t="n">
        <v>0</v>
      </c>
      <c r="O21" s="18" t="n">
        <v>0</v>
      </c>
      <c r="P21" s="20" t="n">
        <v>0</v>
      </c>
      <c r="Q21" s="18" t="n">
        <v>0.67936748</v>
      </c>
      <c r="R21" s="20" t="n">
        <v>0.37710648</v>
      </c>
    </row>
    <row r="22" spans="1:18">
      <c r="A22" s="15" t="s">
        <v>446</v>
      </c>
      <c r="B22" s="17" t="n">
        <v>2931</v>
      </c>
      <c r="C22" s="18">
        <f>(2579.0/B22*100)</f>
        <v/>
      </c>
      <c r="D22" s="19" t="n">
        <v>352</v>
      </c>
      <c r="E22" s="18" t="n">
        <v>35.08751494</v>
      </c>
      <c r="F22" s="20" t="n">
        <v>2.751131</v>
      </c>
      <c r="G22" s="18" t="n">
        <v>60.80905416</v>
      </c>
      <c r="H22" s="20" t="n">
        <v>2.73801136</v>
      </c>
      <c r="I22" s="18" t="s">
        <v>431</v>
      </c>
      <c r="J22" s="20" t="s">
        <v>431</v>
      </c>
      <c r="K22" s="18" t="n">
        <v>1.53131489</v>
      </c>
      <c r="L22" s="20" t="n">
        <v>0.69402438</v>
      </c>
      <c r="M22" s="18" t="n">
        <v>0</v>
      </c>
      <c r="N22" s="20" t="n">
        <v>0</v>
      </c>
      <c r="O22" s="18" t="n">
        <v>0</v>
      </c>
      <c r="P22" s="20" t="n">
        <v>0</v>
      </c>
      <c r="Q22" s="18" t="n">
        <v>2.57211601</v>
      </c>
      <c r="R22" s="20" t="n">
        <v>0.98688388</v>
      </c>
    </row>
    <row r="23" spans="1:18">
      <c r="A23" s="15" t="s">
        <v>447</v>
      </c>
      <c r="B23" s="17" t="n">
        <v>5791</v>
      </c>
      <c r="C23" s="18">
        <f>(5116.0/B23*100)</f>
        <v/>
      </c>
      <c r="D23" s="19" t="n">
        <v>675</v>
      </c>
      <c r="E23" s="18" t="n">
        <v>29.44174557</v>
      </c>
      <c r="F23" s="20" t="n">
        <v>2.30062685</v>
      </c>
      <c r="G23" s="18" t="n">
        <v>66.00552042</v>
      </c>
      <c r="H23" s="20" t="n">
        <v>2.54692934</v>
      </c>
      <c r="I23" s="18" t="s">
        <v>431</v>
      </c>
      <c r="J23" s="20" t="s">
        <v>431</v>
      </c>
      <c r="K23" s="18" t="n">
        <v>2.85392027</v>
      </c>
      <c r="L23" s="20" t="n">
        <v>0.97819742</v>
      </c>
      <c r="M23" s="18" t="n">
        <v>0</v>
      </c>
      <c r="N23" s="20" t="n">
        <v>0</v>
      </c>
      <c r="O23" s="18" t="n">
        <v>0</v>
      </c>
      <c r="P23" s="20" t="n">
        <v>0</v>
      </c>
      <c r="Q23" s="18" t="n">
        <v>1.69881374</v>
      </c>
      <c r="R23" s="20" t="n">
        <v>0.76998482</v>
      </c>
    </row>
    <row r="24" spans="1:18">
      <c r="A24" s="15" t="s">
        <v>448</v>
      </c>
      <c r="B24" s="17" t="n">
        <v>3338</v>
      </c>
      <c r="C24" s="18">
        <f>(2947.0/B24*100)</f>
        <v/>
      </c>
      <c r="D24" s="19" t="n">
        <v>391</v>
      </c>
      <c r="E24" s="18" t="n">
        <v>44.46447366</v>
      </c>
      <c r="F24" s="20" t="n">
        <v>2.56526846</v>
      </c>
      <c r="G24" s="18" t="n">
        <v>53.21316336</v>
      </c>
      <c r="H24" s="20" t="n">
        <v>2.83191485</v>
      </c>
      <c r="I24" s="18" t="s">
        <v>431</v>
      </c>
      <c r="J24" s="20" t="s">
        <v>431</v>
      </c>
      <c r="K24" s="18" t="n">
        <v>1.84032212</v>
      </c>
      <c r="L24" s="20" t="n">
        <v>0.74768824</v>
      </c>
      <c r="M24" s="18" t="n">
        <v>0</v>
      </c>
      <c r="N24" s="20" t="n">
        <v>0</v>
      </c>
      <c r="O24" s="18" t="n">
        <v>0</v>
      </c>
      <c r="P24" s="20" t="n">
        <v>0</v>
      </c>
      <c r="Q24" s="18" t="n">
        <v>0.48204086</v>
      </c>
      <c r="R24" s="20" t="n">
        <v>0.34051046</v>
      </c>
    </row>
    <row r="25" spans="1:18">
      <c r="A25" s="15" t="s">
        <v>449</v>
      </c>
      <c r="B25" s="17" t="n">
        <v>2912</v>
      </c>
      <c r="C25" s="18">
        <f>(2542.0/B25*100)</f>
        <v/>
      </c>
      <c r="D25" s="19" t="n">
        <v>370</v>
      </c>
      <c r="E25" s="18" t="n">
        <v>36.6141619</v>
      </c>
      <c r="F25" s="20" t="n">
        <v>2.51260711</v>
      </c>
      <c r="G25" s="18" t="n">
        <v>61.19355003</v>
      </c>
      <c r="H25" s="20" t="n">
        <v>2.58389856</v>
      </c>
      <c r="I25" s="18" t="s">
        <v>431</v>
      </c>
      <c r="J25" s="20" t="s">
        <v>431</v>
      </c>
      <c r="K25" s="18" t="n">
        <v>0.7892724800000001</v>
      </c>
      <c r="L25" s="20" t="n">
        <v>0.45941842</v>
      </c>
      <c r="M25" s="18" t="n">
        <v>0</v>
      </c>
      <c r="N25" s="20" t="n">
        <v>0</v>
      </c>
      <c r="O25" s="18" t="n">
        <v>0</v>
      </c>
      <c r="P25" s="20" t="n">
        <v>0</v>
      </c>
      <c r="Q25" s="18" t="n">
        <v>1.40301559</v>
      </c>
      <c r="R25" s="20" t="n">
        <v>0.73103316</v>
      </c>
    </row>
    <row r="26" spans="1:18">
      <c r="A26" s="15" t="s">
        <v>450</v>
      </c>
      <c r="B26" s="17" t="n">
        <v>2450</v>
      </c>
      <c r="C26" s="18">
        <f>(2163.0/B26*100)</f>
        <v/>
      </c>
      <c r="D26" s="19" t="n">
        <v>287</v>
      </c>
      <c r="E26" s="18" t="n">
        <v>36.24308586</v>
      </c>
      <c r="F26" s="20" t="n">
        <v>2.72551816</v>
      </c>
      <c r="G26" s="18" t="n">
        <v>62.32873351</v>
      </c>
      <c r="H26" s="20" t="n">
        <v>2.71910739</v>
      </c>
      <c r="I26" s="18" t="s">
        <v>431</v>
      </c>
      <c r="J26" s="20" t="s">
        <v>431</v>
      </c>
      <c r="K26" s="18" t="n">
        <v>1.42818063</v>
      </c>
      <c r="L26" s="20" t="n">
        <v>0.68842552</v>
      </c>
      <c r="M26" s="18" t="n">
        <v>0</v>
      </c>
      <c r="N26" s="20" t="n">
        <v>0</v>
      </c>
      <c r="O26" s="18" t="n">
        <v>0</v>
      </c>
      <c r="P26" s="20" t="n">
        <v>0</v>
      </c>
      <c r="Q26" s="18" t="n">
        <v>0</v>
      </c>
      <c r="R26" s="20" t="n">
        <v>0</v>
      </c>
    </row>
    <row r="27" spans="1:18">
      <c r="A27" s="15" t="s">
        <v>451</v>
      </c>
      <c r="B27" s="17" t="n">
        <v>2616</v>
      </c>
      <c r="C27" s="18">
        <f>(2294.0/B27*100)</f>
        <v/>
      </c>
      <c r="D27" s="19" t="n">
        <v>322</v>
      </c>
      <c r="E27" s="18" t="n">
        <v>36.86956805</v>
      </c>
      <c r="F27" s="20" t="n">
        <v>2.59483359</v>
      </c>
      <c r="G27" s="18" t="n">
        <v>59.63199169</v>
      </c>
      <c r="H27" s="20" t="n">
        <v>2.68092996</v>
      </c>
      <c r="I27" s="18" t="s">
        <v>431</v>
      </c>
      <c r="J27" s="20" t="s">
        <v>431</v>
      </c>
      <c r="K27" s="18" t="n">
        <v>2.87585655</v>
      </c>
      <c r="L27" s="20" t="n">
        <v>1.01632266</v>
      </c>
      <c r="M27" s="18" t="n">
        <v>0</v>
      </c>
      <c r="N27" s="20" t="n">
        <v>0</v>
      </c>
      <c r="O27" s="18" t="n">
        <v>0</v>
      </c>
      <c r="P27" s="20" t="n">
        <v>0</v>
      </c>
      <c r="Q27" s="18" t="n">
        <v>0.62258371</v>
      </c>
      <c r="R27" s="20" t="n">
        <v>0.43234866</v>
      </c>
    </row>
    <row r="28" spans="1:18">
      <c r="A28" s="15" t="s">
        <v>452</v>
      </c>
      <c r="B28" s="17" t="n">
        <v>3765</v>
      </c>
      <c r="C28" s="18">
        <f>(3369.0/B28*100)</f>
        <v/>
      </c>
      <c r="D28" s="19" t="n">
        <v>396</v>
      </c>
      <c r="E28" s="18" t="n">
        <v>53.77917792</v>
      </c>
      <c r="F28" s="20" t="n">
        <v>2.51794626</v>
      </c>
      <c r="G28" s="18" t="n">
        <v>44.2181857</v>
      </c>
      <c r="H28" s="20" t="n">
        <v>2.59943404</v>
      </c>
      <c r="I28" s="18" t="s">
        <v>431</v>
      </c>
      <c r="J28" s="20" t="s">
        <v>431</v>
      </c>
      <c r="K28" s="18" t="n">
        <v>1.40830428</v>
      </c>
      <c r="L28" s="20" t="n">
        <v>0.55312808</v>
      </c>
      <c r="M28" s="18" t="n">
        <v>0</v>
      </c>
      <c r="N28" s="20" t="n">
        <v>0</v>
      </c>
      <c r="O28" s="18" t="n">
        <v>0</v>
      </c>
      <c r="P28" s="20" t="n">
        <v>0</v>
      </c>
      <c r="Q28" s="18" t="n">
        <v>0.5943321</v>
      </c>
      <c r="R28" s="20" t="n">
        <v>0.46835016</v>
      </c>
    </row>
    <row r="29" spans="1:18">
      <c r="A29" s="15" t="s">
        <v>453</v>
      </c>
      <c r="B29" s="17" t="n">
        <v>2685</v>
      </c>
      <c r="C29" s="18">
        <f>(2368.0/B29*100)</f>
        <v/>
      </c>
      <c r="D29" s="19" t="n">
        <v>317</v>
      </c>
      <c r="E29" s="18" t="n">
        <v>35.66440944</v>
      </c>
      <c r="F29" s="20" t="n">
        <v>2.82809347</v>
      </c>
      <c r="G29" s="18" t="n">
        <v>63.67002625</v>
      </c>
      <c r="H29" s="20" t="n">
        <v>2.8490643</v>
      </c>
      <c r="I29" s="18" t="s">
        <v>431</v>
      </c>
      <c r="J29" s="20" t="s">
        <v>431</v>
      </c>
      <c r="K29" s="18" t="n">
        <v>0.32414901</v>
      </c>
      <c r="L29" s="20" t="n">
        <v>0.34741924</v>
      </c>
      <c r="M29" s="18" t="n">
        <v>0</v>
      </c>
      <c r="N29" s="20" t="n">
        <v>0</v>
      </c>
      <c r="O29" s="18" t="n">
        <v>0</v>
      </c>
      <c r="P29" s="20" t="n">
        <v>0</v>
      </c>
      <c r="Q29" s="18" t="n">
        <v>0.3414153</v>
      </c>
      <c r="R29" s="20" t="n">
        <v>0.31693407</v>
      </c>
    </row>
    <row r="30" spans="1:18">
      <c r="A30" s="15" t="s">
        <v>454</v>
      </c>
      <c r="B30" s="17" t="n">
        <v>2263</v>
      </c>
      <c r="C30" s="18">
        <f>(2000.0/B30*100)</f>
        <v/>
      </c>
      <c r="D30" s="19" t="n">
        <v>263</v>
      </c>
      <c r="E30" s="18" t="n">
        <v>47.9806603</v>
      </c>
      <c r="F30" s="20" t="n">
        <v>3.24792569</v>
      </c>
      <c r="G30" s="18" t="n">
        <v>47.14749295</v>
      </c>
      <c r="H30" s="20" t="n">
        <v>2.90344819</v>
      </c>
      <c r="I30" s="18" t="s">
        <v>431</v>
      </c>
      <c r="J30" s="20" t="s">
        <v>431</v>
      </c>
      <c r="K30" s="18" t="n">
        <v>3.39897089</v>
      </c>
      <c r="L30" s="20" t="n">
        <v>1.22401835</v>
      </c>
      <c r="M30" s="18" t="n">
        <v>0</v>
      </c>
      <c r="N30" s="20" t="n">
        <v>0</v>
      </c>
      <c r="O30" s="18" t="n">
        <v>0</v>
      </c>
      <c r="P30" s="20" t="n">
        <v>0</v>
      </c>
      <c r="Q30" s="18" t="n">
        <v>1.47287587</v>
      </c>
      <c r="R30" s="20" t="n">
        <v>0.7974669599999999</v>
      </c>
    </row>
    <row r="31" spans="1:18">
      <c r="A31" s="15" t="s">
        <v>455</v>
      </c>
      <c r="B31" s="17" t="n">
        <v>2750</v>
      </c>
      <c r="C31" s="18">
        <f>(2399.0/B31*100)</f>
        <v/>
      </c>
      <c r="D31" s="19" t="n">
        <v>351</v>
      </c>
      <c r="E31" s="18" t="n">
        <v>42.86333261</v>
      </c>
      <c r="F31" s="20" t="n">
        <v>2.764829</v>
      </c>
      <c r="G31" s="18" t="n">
        <v>54.85973492</v>
      </c>
      <c r="H31" s="20" t="n">
        <v>2.73714766</v>
      </c>
      <c r="I31" s="18" t="s">
        <v>431</v>
      </c>
      <c r="J31" s="20" t="s">
        <v>431</v>
      </c>
      <c r="K31" s="18" t="n">
        <v>2.27693247</v>
      </c>
      <c r="L31" s="20" t="n">
        <v>0.68429248</v>
      </c>
      <c r="M31" s="18" t="n">
        <v>0</v>
      </c>
      <c r="N31" s="20" t="n">
        <v>0</v>
      </c>
      <c r="O31" s="18" t="n">
        <v>0</v>
      </c>
      <c r="P31" s="20" t="n">
        <v>0</v>
      </c>
      <c r="Q31" s="18" t="n">
        <v>0</v>
      </c>
      <c r="R31" s="20" t="n">
        <v>0</v>
      </c>
    </row>
    <row r="32" spans="1:18">
      <c r="A32" s="15" t="s">
        <v>456</v>
      </c>
      <c r="B32" s="17" t="n">
        <v>2269</v>
      </c>
      <c r="C32" s="18">
        <f>(1895.0/B32*100)</f>
        <v/>
      </c>
      <c r="D32" s="19" t="n">
        <v>374</v>
      </c>
      <c r="E32" s="18" t="n">
        <v>44.17006545</v>
      </c>
      <c r="F32" s="20" t="n">
        <v>2.66165724</v>
      </c>
      <c r="G32" s="18" t="n">
        <v>54.77590467</v>
      </c>
      <c r="H32" s="20" t="n">
        <v>2.70742308</v>
      </c>
      <c r="I32" s="18" t="s">
        <v>431</v>
      </c>
      <c r="J32" s="20" t="s">
        <v>431</v>
      </c>
      <c r="K32" s="18" t="n">
        <v>1.05402989</v>
      </c>
      <c r="L32" s="20" t="n">
        <v>0.52591864</v>
      </c>
      <c r="M32" s="18" t="n">
        <v>0</v>
      </c>
      <c r="N32" s="20" t="n">
        <v>0</v>
      </c>
      <c r="O32" s="18" t="n">
        <v>0</v>
      </c>
      <c r="P32" s="20" t="n">
        <v>0</v>
      </c>
      <c r="Q32" s="18" t="n">
        <v>0</v>
      </c>
      <c r="R32" s="20" t="n">
        <v>0</v>
      </c>
    </row>
    <row r="33" spans="1:18">
      <c r="A33" s="15" t="s">
        <v>457</v>
      </c>
      <c r="B33" s="17" t="n">
        <v>3674</v>
      </c>
      <c r="C33" s="18">
        <f>(3238.0/B33*100)</f>
        <v/>
      </c>
      <c r="D33" s="19" t="n">
        <v>436</v>
      </c>
      <c r="E33" s="18" t="n">
        <v>38.84278791</v>
      </c>
      <c r="F33" s="20" t="n">
        <v>2.3076846</v>
      </c>
      <c r="G33" s="18" t="n">
        <v>59.46564312</v>
      </c>
      <c r="H33" s="20" t="n">
        <v>2.3734411</v>
      </c>
      <c r="I33" s="18" t="s">
        <v>431</v>
      </c>
      <c r="J33" s="20" t="s">
        <v>431</v>
      </c>
      <c r="K33" s="18" t="n">
        <v>1.45797342</v>
      </c>
      <c r="L33" s="20" t="n">
        <v>0.8218707200000001</v>
      </c>
      <c r="M33" s="18" t="n">
        <v>0</v>
      </c>
      <c r="N33" s="20" t="n">
        <v>0</v>
      </c>
      <c r="O33" s="18" t="n">
        <v>0</v>
      </c>
      <c r="P33" s="20" t="n">
        <v>0</v>
      </c>
      <c r="Q33" s="18" t="n">
        <v>0.23359554</v>
      </c>
      <c r="R33" s="20" t="n">
        <v>0.19595764</v>
      </c>
    </row>
    <row r="34" spans="1:18">
      <c r="A34" s="15" t="s">
        <v>458</v>
      </c>
      <c r="B34" s="17" t="n">
        <v>3315</v>
      </c>
      <c r="C34" s="18">
        <f>(2918.0/B34*100)</f>
        <v/>
      </c>
      <c r="D34" s="19" t="n">
        <v>397</v>
      </c>
      <c r="E34" s="18" t="n">
        <v>46.33760332</v>
      </c>
      <c r="F34" s="20" t="n">
        <v>2.78177832</v>
      </c>
      <c r="G34" s="18" t="n">
        <v>51.68197763</v>
      </c>
      <c r="H34" s="20" t="n">
        <v>2.70194309</v>
      </c>
      <c r="I34" s="18" t="s">
        <v>431</v>
      </c>
      <c r="J34" s="20" t="s">
        <v>431</v>
      </c>
      <c r="K34" s="18" t="n">
        <v>1.1220486</v>
      </c>
      <c r="L34" s="20" t="n">
        <v>0.57773274</v>
      </c>
      <c r="M34" s="18" t="n">
        <v>0</v>
      </c>
      <c r="N34" s="20" t="n">
        <v>0</v>
      </c>
      <c r="O34" s="18" t="n">
        <v>0</v>
      </c>
      <c r="P34" s="20" t="n">
        <v>0</v>
      </c>
      <c r="Q34" s="18" t="n">
        <v>0.85837044</v>
      </c>
      <c r="R34" s="20" t="n">
        <v>0.50820468</v>
      </c>
    </row>
    <row r="35" spans="1:18">
      <c r="A35" s="15" t="s">
        <v>459</v>
      </c>
      <c r="B35" s="17" t="n">
        <v>3505</v>
      </c>
      <c r="C35" s="18">
        <f>(3091.0/B35*100)</f>
        <v/>
      </c>
      <c r="D35" s="19" t="n">
        <v>414</v>
      </c>
      <c r="E35" s="18" t="n">
        <v>38.2240079</v>
      </c>
      <c r="F35" s="20" t="n">
        <v>2.90056676</v>
      </c>
      <c r="G35" s="18" t="n">
        <v>60.48875151</v>
      </c>
      <c r="H35" s="20" t="n">
        <v>2.79003884</v>
      </c>
      <c r="I35" s="18" t="s">
        <v>431</v>
      </c>
      <c r="J35" s="20" t="s">
        <v>431</v>
      </c>
      <c r="K35" s="18" t="n">
        <v>0.45662154</v>
      </c>
      <c r="L35" s="20" t="n">
        <v>0.28161996</v>
      </c>
      <c r="M35" s="18" t="n">
        <v>0</v>
      </c>
      <c r="N35" s="20" t="n">
        <v>0</v>
      </c>
      <c r="O35" s="18" t="n">
        <v>0</v>
      </c>
      <c r="P35" s="20" t="n">
        <v>0</v>
      </c>
      <c r="Q35" s="18" t="n">
        <v>0.83061905</v>
      </c>
      <c r="R35" s="20" t="n">
        <v>0.50309689</v>
      </c>
    </row>
    <row r="36" spans="1:18">
      <c r="A36" s="15" t="s">
        <v>460</v>
      </c>
      <c r="B36" s="17" t="n">
        <v>3332</v>
      </c>
      <c r="C36" s="18">
        <f>(2943.0/B36*100)</f>
        <v/>
      </c>
      <c r="D36" s="19" t="n">
        <v>389</v>
      </c>
      <c r="E36" s="18" t="n">
        <v>44.28156078</v>
      </c>
      <c r="F36" s="20" t="n">
        <v>2.77119564</v>
      </c>
      <c r="G36" s="18" t="n">
        <v>52.04791638</v>
      </c>
      <c r="H36" s="20" t="n">
        <v>2.63293378</v>
      </c>
      <c r="I36" s="18" t="s">
        <v>431</v>
      </c>
      <c r="J36" s="20" t="s">
        <v>431</v>
      </c>
      <c r="K36" s="18" t="n">
        <v>2.41838335</v>
      </c>
      <c r="L36" s="20" t="n">
        <v>0.88222612</v>
      </c>
      <c r="M36" s="18" t="n">
        <v>0</v>
      </c>
      <c r="N36" s="20" t="n">
        <v>0</v>
      </c>
      <c r="O36" s="18" t="n">
        <v>0</v>
      </c>
      <c r="P36" s="20" t="n">
        <v>0</v>
      </c>
      <c r="Q36" s="18" t="n">
        <v>1.25213949</v>
      </c>
      <c r="R36" s="20" t="n">
        <v>0.42110678</v>
      </c>
    </row>
    <row r="37" spans="1:18">
      <c r="A37" s="15" t="s">
        <v>461</v>
      </c>
      <c r="B37" s="17" t="n">
        <v>2727</v>
      </c>
      <c r="C37" s="18">
        <f>(2414.0/B37*100)</f>
        <v/>
      </c>
      <c r="D37" s="19" t="n">
        <v>313</v>
      </c>
      <c r="E37" s="18" t="n">
        <v>41.99487809</v>
      </c>
      <c r="F37" s="20" t="n">
        <v>2.98047226</v>
      </c>
      <c r="G37" s="18" t="n">
        <v>53.3459666</v>
      </c>
      <c r="H37" s="20" t="n">
        <v>2.94291314</v>
      </c>
      <c r="I37" s="18" t="s">
        <v>431</v>
      </c>
      <c r="J37" s="20" t="s">
        <v>431</v>
      </c>
      <c r="K37" s="18" t="n">
        <v>3.10096218</v>
      </c>
      <c r="L37" s="20" t="n">
        <v>0.94628298</v>
      </c>
      <c r="M37" s="18" t="n">
        <v>0</v>
      </c>
      <c r="N37" s="20" t="n">
        <v>0</v>
      </c>
      <c r="O37" s="18" t="n">
        <v>0</v>
      </c>
      <c r="P37" s="20" t="n">
        <v>0</v>
      </c>
      <c r="Q37" s="18" t="n">
        <v>1.55819313</v>
      </c>
      <c r="R37" s="20" t="n">
        <v>0.80474136</v>
      </c>
    </row>
    <row r="38" spans="1:18">
      <c r="A38" s="15" t="s">
        <v>462</v>
      </c>
      <c r="B38" s="17" t="n">
        <v>3053</v>
      </c>
      <c r="C38" s="18">
        <f>(2551.0/B38*100)</f>
        <v/>
      </c>
      <c r="D38" s="19" t="n">
        <v>502</v>
      </c>
      <c r="E38" s="18" t="n">
        <v>32.90049555</v>
      </c>
      <c r="F38" s="20" t="n">
        <v>2.22839516</v>
      </c>
      <c r="G38" s="18" t="n">
        <v>64.36186248999999</v>
      </c>
      <c r="H38" s="20" t="n">
        <v>2.34000872</v>
      </c>
      <c r="I38" s="18" t="s">
        <v>431</v>
      </c>
      <c r="J38" s="20" t="s">
        <v>431</v>
      </c>
      <c r="K38" s="18" t="n">
        <v>1.99216609</v>
      </c>
      <c r="L38" s="20" t="n">
        <v>0.61844744</v>
      </c>
      <c r="M38" s="18" t="n">
        <v>0</v>
      </c>
      <c r="N38" s="20" t="n">
        <v>0</v>
      </c>
      <c r="O38" s="18" t="n">
        <v>0</v>
      </c>
      <c r="P38" s="20" t="n">
        <v>0</v>
      </c>
      <c r="Q38" s="18" t="n">
        <v>0.74547587</v>
      </c>
      <c r="R38" s="20" t="n">
        <v>0.35641806</v>
      </c>
    </row>
    <row r="39" spans="1:18">
      <c r="A39" s="15" t="s">
        <v>463</v>
      </c>
      <c r="B39" s="17" t="n">
        <v>2957</v>
      </c>
      <c r="C39" s="18">
        <f>(2595.0/B39*100)</f>
        <v/>
      </c>
      <c r="D39" s="19" t="n">
        <v>362</v>
      </c>
      <c r="E39" s="18" t="n">
        <v>40.34023715</v>
      </c>
      <c r="F39" s="20" t="n">
        <v>3.29426107</v>
      </c>
      <c r="G39" s="18" t="n">
        <v>57.26477077</v>
      </c>
      <c r="H39" s="20" t="n">
        <v>3.2839612</v>
      </c>
      <c r="I39" s="18" t="s">
        <v>431</v>
      </c>
      <c r="J39" s="20" t="s">
        <v>431</v>
      </c>
      <c r="K39" s="18" t="n">
        <v>1.186167</v>
      </c>
      <c r="L39" s="20" t="n">
        <v>0.54131897</v>
      </c>
      <c r="M39" s="18" t="n">
        <v>0</v>
      </c>
      <c r="N39" s="20" t="n">
        <v>0</v>
      </c>
      <c r="O39" s="18" t="n">
        <v>0</v>
      </c>
      <c r="P39" s="20" t="n">
        <v>0</v>
      </c>
      <c r="Q39" s="18" t="n">
        <v>1.20882508</v>
      </c>
      <c r="R39" s="20" t="n">
        <v>0.46655396</v>
      </c>
    </row>
    <row r="40" spans="1:18">
      <c r="A40" s="15" t="s">
        <v>464</v>
      </c>
      <c r="B40" s="17" t="n">
        <v>7235</v>
      </c>
      <c r="C40" s="18">
        <f>(6361.0/B40*100)</f>
        <v/>
      </c>
      <c r="D40" s="19" t="n">
        <v>874</v>
      </c>
      <c r="E40" s="18" t="n">
        <v>51.82052304</v>
      </c>
      <c r="F40" s="20" t="n">
        <v>2.91581382</v>
      </c>
      <c r="G40" s="18" t="n">
        <v>45.15571835</v>
      </c>
      <c r="H40" s="20" t="n">
        <v>2.58841349</v>
      </c>
      <c r="I40" s="18" t="s">
        <v>431</v>
      </c>
      <c r="J40" s="20" t="s">
        <v>431</v>
      </c>
      <c r="K40" s="18" t="n">
        <v>1.72020626</v>
      </c>
      <c r="L40" s="20" t="n">
        <v>0.43098554</v>
      </c>
      <c r="M40" s="18" t="n">
        <v>0</v>
      </c>
      <c r="N40" s="20" t="n">
        <v>0</v>
      </c>
      <c r="O40" s="18" t="n">
        <v>0</v>
      </c>
      <c r="P40" s="20" t="n">
        <v>0</v>
      </c>
      <c r="Q40" s="18" t="n">
        <v>1.30355234</v>
      </c>
      <c r="R40" s="20" t="n">
        <v>0.91340833</v>
      </c>
    </row>
    <row r="41" spans="1:18">
      <c r="A41" s="15" t="s">
        <v>465</v>
      </c>
      <c r="B41" s="17" t="n">
        <v>2858</v>
      </c>
      <c r="C41" s="18">
        <f>(2518.0/B41*100)</f>
        <v/>
      </c>
      <c r="D41" s="19" t="n">
        <v>340</v>
      </c>
      <c r="E41" s="18" t="n">
        <v>51.61981126</v>
      </c>
      <c r="F41" s="20" t="n">
        <v>2.90764821</v>
      </c>
      <c r="G41" s="18" t="n">
        <v>46.74123109</v>
      </c>
      <c r="H41" s="20" t="n">
        <v>3.01064342</v>
      </c>
      <c r="I41" s="18" t="s">
        <v>431</v>
      </c>
      <c r="J41" s="20" t="s">
        <v>431</v>
      </c>
      <c r="K41" s="18" t="n">
        <v>0.80375402</v>
      </c>
      <c r="L41" s="20" t="n">
        <v>0.43689618</v>
      </c>
      <c r="M41" s="18" t="n">
        <v>0</v>
      </c>
      <c r="N41" s="20" t="n">
        <v>0</v>
      </c>
      <c r="O41" s="18" t="n">
        <v>0</v>
      </c>
      <c r="P41" s="20" t="n">
        <v>0</v>
      </c>
      <c r="Q41" s="18" t="n">
        <v>0.83520363</v>
      </c>
      <c r="R41" s="20" t="n">
        <v>0.4461841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(10007.0/B46*100)</f>
        <v/>
      </c>
      <c r="D46" s="19" t="n">
        <v>1061</v>
      </c>
      <c r="E46" s="18" t="n">
        <v>56.29859654</v>
      </c>
      <c r="F46" s="20" t="n">
        <v>2.31051013</v>
      </c>
      <c r="G46" s="18" t="n">
        <v>40.21741351</v>
      </c>
      <c r="H46" s="20" t="n">
        <v>2.26013647</v>
      </c>
      <c r="I46" s="18" t="s">
        <v>431</v>
      </c>
      <c r="J46" s="20" t="s">
        <v>431</v>
      </c>
      <c r="K46" s="18" t="n">
        <v>2.51697113</v>
      </c>
      <c r="L46" s="20" t="n">
        <v>0.56488288</v>
      </c>
      <c r="M46" s="18" t="n">
        <v>0</v>
      </c>
      <c r="N46" s="20" t="n">
        <v>0</v>
      </c>
      <c r="O46" s="18" t="n">
        <v>0</v>
      </c>
      <c r="P46" s="20" t="n">
        <v>0</v>
      </c>
      <c r="Q46" s="18" t="n">
        <v>0.9670188199999999</v>
      </c>
      <c r="R46" s="20" t="n">
        <v>0.30390316</v>
      </c>
    </row>
    <row r="47" spans="1:18">
      <c r="A47" s="15" t="s">
        <v>471</v>
      </c>
      <c r="B47" s="17" t="n">
        <v>3105</v>
      </c>
      <c r="C47" s="18">
        <f>(2739.0/B47*100)</f>
        <v/>
      </c>
      <c r="D47" s="19" t="n">
        <v>366</v>
      </c>
      <c r="E47" s="18" t="n">
        <v>57.79697362</v>
      </c>
      <c r="F47" s="20" t="n">
        <v>2.90318979</v>
      </c>
      <c r="G47" s="18" t="n">
        <v>39.76489338</v>
      </c>
      <c r="H47" s="20" t="n">
        <v>2.88513504</v>
      </c>
      <c r="I47" s="18" t="s">
        <v>431</v>
      </c>
      <c r="J47" s="20" t="s">
        <v>431</v>
      </c>
      <c r="K47" s="18" t="n">
        <v>1.62206903</v>
      </c>
      <c r="L47" s="20" t="n">
        <v>0.6715873</v>
      </c>
      <c r="M47" s="18" t="n">
        <v>0</v>
      </c>
      <c r="N47" s="20" t="n">
        <v>0</v>
      </c>
      <c r="O47" s="18" t="n">
        <v>0</v>
      </c>
      <c r="P47" s="20" t="n">
        <v>0</v>
      </c>
      <c r="Q47" s="18" t="n">
        <v>0.81606397</v>
      </c>
      <c r="R47" s="20" t="n">
        <v>0.48054303</v>
      </c>
    </row>
    <row r="48" spans="1:18">
      <c r="A48" s="15" t="s">
        <v>472</v>
      </c>
      <c r="B48" s="17" t="n">
        <v>5159</v>
      </c>
      <c r="C48" s="18">
        <f>(4510.0/B48*100)</f>
        <v/>
      </c>
      <c r="D48" s="19" t="n">
        <v>649</v>
      </c>
      <c r="E48" s="18" t="n">
        <v>32.08980777</v>
      </c>
      <c r="F48" s="20" t="n">
        <v>2.26768999</v>
      </c>
      <c r="G48" s="18" t="n">
        <v>66.25714205</v>
      </c>
      <c r="H48" s="20" t="n">
        <v>2.31168378</v>
      </c>
      <c r="I48" s="18" t="s">
        <v>431</v>
      </c>
      <c r="J48" s="20" t="s">
        <v>431</v>
      </c>
      <c r="K48" s="18" t="n">
        <v>1.09262053</v>
      </c>
      <c r="L48" s="20" t="n">
        <v>0.55042406</v>
      </c>
      <c r="M48" s="18" t="n">
        <v>0</v>
      </c>
      <c r="N48" s="20" t="n">
        <v>0</v>
      </c>
      <c r="O48" s="18" t="n">
        <v>0</v>
      </c>
      <c r="P48" s="20" t="n">
        <v>0</v>
      </c>
      <c r="Q48" s="18" t="n">
        <v>0.56042965</v>
      </c>
      <c r="R48" s="20" t="n">
        <v>0.33627304</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(4997.0/B50*100)</f>
        <v/>
      </c>
      <c r="D50" s="19" t="n">
        <v>640</v>
      </c>
      <c r="E50" s="18" t="n">
        <v>43.80560461</v>
      </c>
      <c r="F50" s="20" t="n">
        <v>2.84988284</v>
      </c>
      <c r="G50" s="18" t="n">
        <v>50.92642359</v>
      </c>
      <c r="H50" s="20" t="n">
        <v>2.99184604</v>
      </c>
      <c r="I50" s="18" t="s">
        <v>431</v>
      </c>
      <c r="J50" s="20" t="s">
        <v>431</v>
      </c>
      <c r="K50" s="18" t="n">
        <v>4.23712583</v>
      </c>
      <c r="L50" s="20" t="n">
        <v>1.02693682</v>
      </c>
      <c r="M50" s="18" t="n">
        <v>0</v>
      </c>
      <c r="N50" s="20" t="n">
        <v>0</v>
      </c>
      <c r="O50" s="18" t="n">
        <v>0</v>
      </c>
      <c r="P50" s="20" t="n">
        <v>0</v>
      </c>
      <c r="Q50" s="18" t="n">
        <v>1.03084598</v>
      </c>
      <c r="R50" s="20" t="n">
        <v>0.50341506</v>
      </c>
    </row>
    <row r="51" spans="1:18">
      <c r="A51" s="15" t="s">
        <v>475</v>
      </c>
      <c r="B51" s="17" t="n">
        <v>3372</v>
      </c>
      <c r="C51" s="18">
        <f>(3068.0/B51*100)</f>
        <v/>
      </c>
      <c r="D51" s="19" t="n">
        <v>304</v>
      </c>
      <c r="E51" s="18" t="n">
        <v>44.6427586</v>
      </c>
      <c r="F51" s="20" t="n">
        <v>3.19482815</v>
      </c>
      <c r="G51" s="18" t="n">
        <v>51.03167997</v>
      </c>
      <c r="H51" s="20" t="n">
        <v>3.11868775</v>
      </c>
      <c r="I51" s="18" t="s">
        <v>431</v>
      </c>
      <c r="J51" s="20" t="s">
        <v>431</v>
      </c>
      <c r="K51" s="18" t="n">
        <v>1.19764797</v>
      </c>
      <c r="L51" s="20" t="n">
        <v>0.66995684</v>
      </c>
      <c r="M51" s="18" t="n">
        <v>0</v>
      </c>
      <c r="N51" s="20" t="n">
        <v>0</v>
      </c>
      <c r="O51" s="18" t="n">
        <v>0</v>
      </c>
      <c r="P51" s="20" t="n">
        <v>0</v>
      </c>
      <c r="Q51" s="18" t="n">
        <v>3.12791347</v>
      </c>
      <c r="R51" s="20" t="n">
        <v>1.37147052</v>
      </c>
    </row>
    <row r="52" spans="1:18">
      <c r="A52" s="15" t="s">
        <v>476</v>
      </c>
      <c r="B52" s="17" t="n">
        <v>2796</v>
      </c>
      <c r="C52" s="18">
        <f>(2452.0/B52*100)</f>
        <v/>
      </c>
      <c r="D52" s="19" t="n">
        <v>344</v>
      </c>
      <c r="E52" s="18" t="n">
        <v>59.06034159</v>
      </c>
      <c r="F52" s="20" t="n">
        <v>2.74221329</v>
      </c>
      <c r="G52" s="18" t="n">
        <v>38.04260344</v>
      </c>
      <c r="H52" s="20" t="n">
        <v>2.64875456</v>
      </c>
      <c r="I52" s="18" t="s">
        <v>431</v>
      </c>
      <c r="J52" s="20" t="s">
        <v>431</v>
      </c>
      <c r="K52" s="18" t="n">
        <v>1.70977498</v>
      </c>
      <c r="L52" s="20" t="n">
        <v>0.70189038</v>
      </c>
      <c r="M52" s="18" t="n">
        <v>0</v>
      </c>
      <c r="N52" s="20" t="n">
        <v>0</v>
      </c>
      <c r="O52" s="18" t="n">
        <v>0</v>
      </c>
      <c r="P52" s="20" t="n">
        <v>0</v>
      </c>
      <c r="Q52" s="18" t="n">
        <v>1.18727999</v>
      </c>
      <c r="R52" s="20" t="n">
        <v>0.60274007</v>
      </c>
    </row>
    <row r="53" spans="1:18">
      <c r="A53" s="15" t="s">
        <v>477</v>
      </c>
      <c r="B53" s="17" t="n">
        <v>2811</v>
      </c>
      <c r="C53" s="18">
        <f>(2472.0/B53*100)</f>
        <v/>
      </c>
      <c r="D53" s="19" t="n">
        <v>339</v>
      </c>
      <c r="E53" s="18" t="n">
        <v>49.2597132</v>
      </c>
      <c r="F53" s="20" t="n">
        <v>2.84081842</v>
      </c>
      <c r="G53" s="18" t="n">
        <v>45.83234508</v>
      </c>
      <c r="H53" s="20" t="n">
        <v>2.79642555</v>
      </c>
      <c r="I53" s="18" t="s">
        <v>431</v>
      </c>
      <c r="J53" s="20" t="s">
        <v>431</v>
      </c>
      <c r="K53" s="18" t="n">
        <v>2.88790709</v>
      </c>
      <c r="L53" s="20" t="n">
        <v>1.02962774</v>
      </c>
      <c r="M53" s="18" t="n">
        <v>0</v>
      </c>
      <c r="N53" s="20" t="n">
        <v>0</v>
      </c>
      <c r="O53" s="18" t="n">
        <v>0</v>
      </c>
      <c r="P53" s="20" t="n">
        <v>0</v>
      </c>
      <c r="Q53" s="18" t="n">
        <v>2.02003463</v>
      </c>
      <c r="R53" s="20" t="n">
        <v>0.85474649</v>
      </c>
    </row>
    <row r="54" spans="1:18">
      <c r="A54" s="15" t="s">
        <v>478</v>
      </c>
      <c r="B54" s="17" t="n">
        <v>2266</v>
      </c>
      <c r="C54" s="18">
        <f>(1857.0/B54*100)</f>
        <v/>
      </c>
      <c r="D54" s="19" t="n">
        <v>409</v>
      </c>
      <c r="E54" s="18" t="n">
        <v>55.47860037</v>
      </c>
      <c r="F54" s="20" t="n">
        <v>2.86210427</v>
      </c>
      <c r="G54" s="18" t="n">
        <v>20.54899765</v>
      </c>
      <c r="H54" s="20" t="n">
        <v>2.24307871</v>
      </c>
      <c r="I54" s="18" t="s">
        <v>431</v>
      </c>
      <c r="J54" s="20" t="s">
        <v>431</v>
      </c>
      <c r="K54" s="18" t="n">
        <v>21.9740025</v>
      </c>
      <c r="L54" s="20" t="n">
        <v>2.43023333</v>
      </c>
      <c r="M54" s="18" t="n">
        <v>0</v>
      </c>
      <c r="N54" s="20" t="n">
        <v>0</v>
      </c>
      <c r="O54" s="18" t="n">
        <v>0</v>
      </c>
      <c r="P54" s="20" t="n">
        <v>0</v>
      </c>
      <c r="Q54" s="18" t="n">
        <v>1.99839948</v>
      </c>
      <c r="R54" s="20" t="n">
        <v>0.72459194</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(2356.0/B56*100)</f>
        <v/>
      </c>
      <c r="D56" s="19" t="n">
        <v>328</v>
      </c>
      <c r="E56" s="18" t="n">
        <v>31.75683885</v>
      </c>
      <c r="F56" s="20" t="n">
        <v>3.18320778</v>
      </c>
      <c r="G56" s="18" t="n">
        <v>67.48820061000001</v>
      </c>
      <c r="H56" s="20" t="n">
        <v>3.13208706</v>
      </c>
      <c r="I56" s="18" t="s">
        <v>431</v>
      </c>
      <c r="J56" s="20" t="s">
        <v>431</v>
      </c>
      <c r="K56" s="18" t="n">
        <v>0.75496054</v>
      </c>
      <c r="L56" s="20" t="n">
        <v>0.52690863</v>
      </c>
      <c r="M56" s="18" t="n">
        <v>0</v>
      </c>
      <c r="N56" s="20" t="n">
        <v>0</v>
      </c>
      <c r="O56" s="18" t="n">
        <v>0</v>
      </c>
      <c r="P56" s="20" t="n">
        <v>0</v>
      </c>
      <c r="Q56" s="18" t="n">
        <v>0</v>
      </c>
      <c r="R56" s="20" t="n">
        <v>0</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(2923.0/B61*100)</f>
        <v/>
      </c>
      <c r="D61" s="19" t="n">
        <v>401</v>
      </c>
      <c r="E61" s="18" t="n">
        <v>45.57232085</v>
      </c>
      <c r="F61" s="20" t="n">
        <v>2.66545801</v>
      </c>
      <c r="G61" s="18" t="n">
        <v>53.16212687</v>
      </c>
      <c r="H61" s="20" t="n">
        <v>2.61153638</v>
      </c>
      <c r="I61" s="18" t="s">
        <v>431</v>
      </c>
      <c r="J61" s="20" t="s">
        <v>431</v>
      </c>
      <c r="K61" s="18" t="n">
        <v>0.79886527</v>
      </c>
      <c r="L61" s="20" t="n">
        <v>0.43662793</v>
      </c>
      <c r="M61" s="18" t="n">
        <v>0</v>
      </c>
      <c r="N61" s="20" t="n">
        <v>0</v>
      </c>
      <c r="O61" s="18" t="n">
        <v>0</v>
      </c>
      <c r="P61" s="20" t="n">
        <v>0</v>
      </c>
      <c r="Q61" s="18" t="n">
        <v>0.46668701</v>
      </c>
      <c r="R61" s="20" t="n">
        <v>0.3018313</v>
      </c>
    </row>
    <row r="62" spans="1:18">
      <c r="A62" s="15" t="s">
        <v>486</v>
      </c>
      <c r="B62" s="17" t="n">
        <v>2246</v>
      </c>
      <c r="C62" s="18">
        <f>(1986.0/B62*100)</f>
        <v/>
      </c>
      <c r="D62" s="19" t="n">
        <v>260</v>
      </c>
      <c r="E62" s="18" t="n">
        <v>34.24319027</v>
      </c>
      <c r="F62" s="20" t="n">
        <v>2.7304325</v>
      </c>
      <c r="G62" s="18" t="n">
        <v>65.37483628</v>
      </c>
      <c r="H62" s="20" t="n">
        <v>2.79944947</v>
      </c>
      <c r="I62" s="18" t="s">
        <v>431</v>
      </c>
      <c r="J62" s="20" t="s">
        <v>431</v>
      </c>
      <c r="K62" s="18" t="n">
        <v>0</v>
      </c>
      <c r="L62" s="20" t="n">
        <v>0</v>
      </c>
      <c r="M62" s="18" t="n">
        <v>0</v>
      </c>
      <c r="N62" s="20" t="n">
        <v>0</v>
      </c>
      <c r="O62" s="18" t="n">
        <v>0</v>
      </c>
      <c r="P62" s="20" t="n">
        <v>0</v>
      </c>
      <c r="Q62" s="18" t="n">
        <v>0.38197345</v>
      </c>
      <c r="R62" s="20" t="n">
        <v>0.38339964</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(2544.0/B66*100)</f>
        <v/>
      </c>
      <c r="D66" s="19" t="n">
        <v>350</v>
      </c>
      <c r="E66" s="18" t="n">
        <v>59.23505676</v>
      </c>
      <c r="F66" s="20" t="n">
        <v>3.01932742</v>
      </c>
      <c r="G66" s="18" t="n">
        <v>33.15418196</v>
      </c>
      <c r="H66" s="20" t="n">
        <v>2.89748709</v>
      </c>
      <c r="I66" s="18" t="s">
        <v>431</v>
      </c>
      <c r="J66" s="20" t="s">
        <v>431</v>
      </c>
      <c r="K66" s="18" t="n">
        <v>3.7793224</v>
      </c>
      <c r="L66" s="20" t="n">
        <v>0.97868639</v>
      </c>
      <c r="M66" s="18" t="n">
        <v>0</v>
      </c>
      <c r="N66" s="20" t="n">
        <v>0</v>
      </c>
      <c r="O66" s="18" t="n">
        <v>0</v>
      </c>
      <c r="P66" s="20" t="n">
        <v>0</v>
      </c>
      <c r="Q66" s="18" t="n">
        <v>3.83143887</v>
      </c>
      <c r="R66" s="20" t="n">
        <v>1.05890213</v>
      </c>
    </row>
    <row r="67" spans="1:18">
      <c r="A67" s="15" t="s">
        <v>491</v>
      </c>
      <c r="B67" s="17" t="n">
        <v>3511</v>
      </c>
      <c r="C67" s="18">
        <f>(3165.0/B67*100)</f>
        <v/>
      </c>
      <c r="D67" s="19" t="n">
        <v>346</v>
      </c>
      <c r="E67" s="18" t="n">
        <v>42.54024533</v>
      </c>
      <c r="F67" s="20" t="n">
        <v>2.73747319</v>
      </c>
      <c r="G67" s="18" t="n">
        <v>55.73230406</v>
      </c>
      <c r="H67" s="20" t="n">
        <v>2.87689945</v>
      </c>
      <c r="I67" s="18" t="s">
        <v>431</v>
      </c>
      <c r="J67" s="20" t="s">
        <v>431</v>
      </c>
      <c r="K67" s="18" t="n">
        <v>0.96837716</v>
      </c>
      <c r="L67" s="20" t="n">
        <v>0.55442354</v>
      </c>
      <c r="M67" s="18" t="n">
        <v>0</v>
      </c>
      <c r="N67" s="20" t="n">
        <v>0</v>
      </c>
      <c r="O67" s="18" t="n">
        <v>0</v>
      </c>
      <c r="P67" s="20" t="n">
        <v>0</v>
      </c>
      <c r="Q67" s="18" t="n">
        <v>0.75907345</v>
      </c>
      <c r="R67" s="20" t="n">
        <v>0.53558532</v>
      </c>
    </row>
    <row r="68" spans="1:18">
      <c r="A68" s="15" t="s">
        <v>492</v>
      </c>
      <c r="B68" s="17" t="n">
        <v>6049</v>
      </c>
      <c r="C68" s="18">
        <f>(5054.0/B68*100)</f>
        <v/>
      </c>
      <c r="D68" s="19" t="n">
        <v>995</v>
      </c>
      <c r="E68" s="18" t="n">
        <v>59.23911317</v>
      </c>
      <c r="F68" s="20" t="n">
        <v>1.60114738</v>
      </c>
      <c r="G68" s="18" t="n">
        <v>30.12818938</v>
      </c>
      <c r="H68" s="20" t="n">
        <v>1.22933192</v>
      </c>
      <c r="I68" s="18" t="s">
        <v>431</v>
      </c>
      <c r="J68" s="20" t="s">
        <v>431</v>
      </c>
      <c r="K68" s="18" t="n">
        <v>7.69720603</v>
      </c>
      <c r="L68" s="20" t="n">
        <v>0.85098174</v>
      </c>
      <c r="M68" s="18" t="n">
        <v>0</v>
      </c>
      <c r="N68" s="20" t="n">
        <v>0</v>
      </c>
      <c r="O68" s="18" t="n">
        <v>0</v>
      </c>
      <c r="P68" s="20" t="n">
        <v>0</v>
      </c>
      <c r="Q68" s="18" t="n">
        <v>2.93549141</v>
      </c>
      <c r="R68" s="20" t="n">
        <v>0.5142932099999999</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(2593.0/B70*100)</f>
        <v/>
      </c>
      <c r="D70" s="19" t="n">
        <v>336</v>
      </c>
      <c r="E70" s="18" t="n">
        <v>39.82921763</v>
      </c>
      <c r="F70" s="20" t="n">
        <v>3.50272705</v>
      </c>
      <c r="G70" s="18" t="n">
        <v>58.67650855</v>
      </c>
      <c r="H70" s="20" t="n">
        <v>3.4310465</v>
      </c>
      <c r="I70" s="18" t="s">
        <v>431</v>
      </c>
      <c r="J70" s="20" t="s">
        <v>431</v>
      </c>
      <c r="K70" s="18" t="n">
        <v>0.66869672</v>
      </c>
      <c r="L70" s="20" t="n">
        <v>0.34443255</v>
      </c>
      <c r="M70" s="18" t="n">
        <v>0</v>
      </c>
      <c r="N70" s="20" t="n">
        <v>0</v>
      </c>
      <c r="O70" s="18" t="n">
        <v>0</v>
      </c>
      <c r="P70" s="20" t="n">
        <v>0</v>
      </c>
      <c r="Q70" s="18" t="n">
        <v>0.8255771</v>
      </c>
      <c r="R70" s="20" t="n">
        <v>0.37407342</v>
      </c>
    </row>
    <row r="71" spans="1:18">
      <c r="A71" s="15" t="s">
        <v>495</v>
      </c>
      <c r="B71" s="17" t="n">
        <v>3142</v>
      </c>
      <c r="C71" s="18">
        <f>(2757.0/B71*100)</f>
        <v/>
      </c>
      <c r="D71" s="19" t="n">
        <v>385</v>
      </c>
      <c r="E71" s="18" t="n">
        <v>40.00423465</v>
      </c>
      <c r="F71" s="20" t="n">
        <v>2.80199972</v>
      </c>
      <c r="G71" s="18" t="n">
        <v>59.17239248</v>
      </c>
      <c r="H71" s="20" t="n">
        <v>2.85194457</v>
      </c>
      <c r="I71" s="18" t="s">
        <v>431</v>
      </c>
      <c r="J71" s="20" t="s">
        <v>431</v>
      </c>
      <c r="K71" s="18" t="n">
        <v>0.47936082</v>
      </c>
      <c r="L71" s="20" t="n">
        <v>0.34201534</v>
      </c>
      <c r="M71" s="18" t="n">
        <v>0</v>
      </c>
      <c r="N71" s="20" t="n">
        <v>0</v>
      </c>
      <c r="O71" s="18" t="n">
        <v>0</v>
      </c>
      <c r="P71" s="20" t="n">
        <v>0</v>
      </c>
      <c r="Q71" s="18" t="n">
        <v>0.34401206</v>
      </c>
      <c r="R71" s="20" t="n">
        <v>0.24179673</v>
      </c>
    </row>
    <row r="72" spans="1:18">
      <c r="A72" s="15" t="s">
        <v>496</v>
      </c>
      <c r="B72" s="17" t="n">
        <v>3889</v>
      </c>
      <c r="C72" s="18">
        <f>(3427.0/B72*100)</f>
        <v/>
      </c>
      <c r="D72" s="19" t="n">
        <v>462</v>
      </c>
      <c r="E72" s="18" t="n">
        <v>31.17788227</v>
      </c>
      <c r="F72" s="20" t="n">
        <v>2.38063364</v>
      </c>
      <c r="G72" s="18" t="n">
        <v>68.11101678999999</v>
      </c>
      <c r="H72" s="20" t="n">
        <v>2.31234633</v>
      </c>
      <c r="I72" s="18" t="s">
        <v>431</v>
      </c>
      <c r="J72" s="20" t="s">
        <v>431</v>
      </c>
      <c r="K72" s="18" t="n">
        <v>0.43978902</v>
      </c>
      <c r="L72" s="20" t="n">
        <v>0.31878823</v>
      </c>
      <c r="M72" s="18" t="n">
        <v>0</v>
      </c>
      <c r="N72" s="20" t="n">
        <v>0</v>
      </c>
      <c r="O72" s="18" t="n">
        <v>0</v>
      </c>
      <c r="P72" s="20" t="n">
        <v>0</v>
      </c>
      <c r="Q72" s="18" t="n">
        <v>0.27131192</v>
      </c>
      <c r="R72" s="20" t="n">
        <v>0.27035188</v>
      </c>
    </row>
    <row r="73" spans="1:18">
      <c r="A73" s="15" t="s">
        <v>497</v>
      </c>
      <c r="B73" s="17" t="n">
        <v>3597</v>
      </c>
      <c r="C73" s="18">
        <f>(3177.0/B73*100)</f>
        <v/>
      </c>
      <c r="D73" s="19" t="n">
        <v>420</v>
      </c>
      <c r="E73" s="18" t="n">
        <v>58.92262259</v>
      </c>
      <c r="F73" s="20" t="n">
        <v>2.8253769</v>
      </c>
      <c r="G73" s="18" t="n">
        <v>41.04485165</v>
      </c>
      <c r="H73" s="20" t="n">
        <v>2.82431317</v>
      </c>
      <c r="I73" s="18" t="s">
        <v>431</v>
      </c>
      <c r="J73" s="20" t="s">
        <v>431</v>
      </c>
      <c r="K73" s="18" t="n">
        <v>0.01068962</v>
      </c>
      <c r="L73" s="20" t="n">
        <v>0.0106324</v>
      </c>
      <c r="M73" s="18" t="n">
        <v>0</v>
      </c>
      <c r="N73" s="20" t="n">
        <v>0</v>
      </c>
      <c r="O73" s="18" t="n">
        <v>0</v>
      </c>
      <c r="P73" s="20" t="n">
        <v>0</v>
      </c>
      <c r="Q73" s="18" t="n">
        <v>0.02183614</v>
      </c>
      <c r="R73" s="20" t="n">
        <v>0.01564406</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(2136.0/B75*100)</f>
        <v/>
      </c>
      <c r="D75" s="19" t="n">
        <v>270</v>
      </c>
      <c r="E75" s="18" t="n">
        <v>46.41388822</v>
      </c>
      <c r="F75" s="20" t="n">
        <v>2.68325953</v>
      </c>
      <c r="G75" s="18" t="n">
        <v>46.19070574</v>
      </c>
      <c r="H75" s="20" t="n">
        <v>2.8055671</v>
      </c>
      <c r="I75" s="18" t="s">
        <v>431</v>
      </c>
      <c r="J75" s="20" t="s">
        <v>431</v>
      </c>
      <c r="K75" s="18" t="n">
        <v>6.16181776</v>
      </c>
      <c r="L75" s="20" t="n">
        <v>1.7038995</v>
      </c>
      <c r="M75" s="18" t="n">
        <v>0</v>
      </c>
      <c r="N75" s="20" t="n">
        <v>0</v>
      </c>
      <c r="O75" s="18" t="n">
        <v>0</v>
      </c>
      <c r="P75" s="20" t="n">
        <v>0</v>
      </c>
      <c r="Q75" s="18" t="n">
        <v>1.23358828</v>
      </c>
      <c r="R75" s="20" t="n">
        <v>0.62402397</v>
      </c>
    </row>
    <row r="76" spans="1:18">
      <c r="A76" s="15" t="s">
        <v>500</v>
      </c>
      <c r="B76" s="17" t="n">
        <v>7052</v>
      </c>
      <c r="C76" s="18">
        <f>(6216.0/B76*100)</f>
        <v/>
      </c>
      <c r="D76" s="19" t="n">
        <v>836</v>
      </c>
      <c r="E76" s="18" t="n">
        <v>56.34340708</v>
      </c>
      <c r="F76" s="20" t="n">
        <v>1.8344158</v>
      </c>
      <c r="G76" s="18" t="n">
        <v>39.26055619</v>
      </c>
      <c r="H76" s="20" t="n">
        <v>1.72075055</v>
      </c>
      <c r="I76" s="18" t="s">
        <v>431</v>
      </c>
      <c r="J76" s="20" t="s">
        <v>431</v>
      </c>
      <c r="K76" s="18" t="n">
        <v>2.92268484</v>
      </c>
      <c r="L76" s="20" t="n">
        <v>0.71786413</v>
      </c>
      <c r="M76" s="18" t="n">
        <v>0</v>
      </c>
      <c r="N76" s="20" t="n">
        <v>0</v>
      </c>
      <c r="O76" s="18" t="n">
        <v>0</v>
      </c>
      <c r="P76" s="20" t="n">
        <v>0</v>
      </c>
      <c r="Q76" s="18" t="n">
        <v>1.47335189</v>
      </c>
      <c r="R76" s="20" t="n">
        <v>0.31252599</v>
      </c>
    </row>
    <row r="77" spans="1:18">
      <c r="A77" s="15" t="s">
        <v>501</v>
      </c>
      <c r="B77" s="17" t="n">
        <v>2908</v>
      </c>
      <c r="C77" s="18">
        <f>(2597.0/B77*100)</f>
        <v/>
      </c>
      <c r="D77" s="19" t="n">
        <v>311</v>
      </c>
      <c r="E77" s="18" t="n">
        <v>40.78154267</v>
      </c>
      <c r="F77" s="20" t="n">
        <v>2.68901726</v>
      </c>
      <c r="G77" s="18" t="n">
        <v>51.48276217</v>
      </c>
      <c r="H77" s="20" t="n">
        <v>2.89835793</v>
      </c>
      <c r="I77" s="18" t="s">
        <v>431</v>
      </c>
      <c r="J77" s="20" t="s">
        <v>431</v>
      </c>
      <c r="K77" s="18" t="n">
        <v>5.73968164</v>
      </c>
      <c r="L77" s="20" t="n">
        <v>1.52368938</v>
      </c>
      <c r="M77" s="18" t="n">
        <v>0</v>
      </c>
      <c r="N77" s="20" t="n">
        <v>0</v>
      </c>
      <c r="O77" s="18" t="n">
        <v>0</v>
      </c>
      <c r="P77" s="20" t="n">
        <v>0</v>
      </c>
      <c r="Q77" s="18" t="n">
        <v>1.99601353</v>
      </c>
      <c r="R77" s="20" t="n">
        <v>0.75047246</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(3657.0/B81*100)</f>
        <v/>
      </c>
      <c r="D81" s="19" t="n">
        <v>506</v>
      </c>
      <c r="E81" s="18" t="n">
        <v>67.80911077</v>
      </c>
      <c r="F81" s="20" t="n">
        <v>2.89886479</v>
      </c>
      <c r="G81" s="18" t="n">
        <v>30.73189081</v>
      </c>
      <c r="H81" s="20" t="n">
        <v>2.87652237</v>
      </c>
      <c r="I81" s="18" t="s">
        <v>431</v>
      </c>
      <c r="J81" s="20" t="s">
        <v>431</v>
      </c>
      <c r="K81" s="18" t="n">
        <v>0.2166087</v>
      </c>
      <c r="L81" s="20" t="n">
        <v>0.1523279</v>
      </c>
      <c r="M81" s="18" t="n">
        <v>0</v>
      </c>
      <c r="N81" s="20" t="n">
        <v>0</v>
      </c>
      <c r="O81" s="18" t="n">
        <v>0</v>
      </c>
      <c r="P81" s="20" t="n">
        <v>0</v>
      </c>
      <c r="Q81" s="18" t="n">
        <v>1.24238972</v>
      </c>
      <c r="R81" s="20" t="n">
        <v>0.61586818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(6483.0/B7*100)</f>
        <v/>
      </c>
      <c r="D7" s="19" t="n">
        <v>884</v>
      </c>
      <c r="E7" s="18" t="n">
        <v>20.21935848</v>
      </c>
      <c r="F7" s="20" t="n">
        <v>1.42177924</v>
      </c>
      <c r="G7" s="18" t="n">
        <v>78.28594928</v>
      </c>
      <c r="H7" s="20" t="n">
        <v>1.44652736</v>
      </c>
      <c r="I7" s="18" t="s">
        <v>431</v>
      </c>
      <c r="J7" s="20" t="s">
        <v>431</v>
      </c>
      <c r="K7" s="18" t="n">
        <v>1.06204558</v>
      </c>
      <c r="L7" s="20" t="n">
        <v>0.34731642</v>
      </c>
      <c r="M7" s="18" t="n">
        <v>0</v>
      </c>
      <c r="N7" s="20" t="n">
        <v>0</v>
      </c>
      <c r="O7" s="18" t="n">
        <v>0</v>
      </c>
      <c r="P7" s="20" t="n">
        <v>0</v>
      </c>
      <c r="Q7" s="18" t="n">
        <v>0.43264666</v>
      </c>
      <c r="R7" s="20" t="n">
        <v>0.24363135</v>
      </c>
    </row>
    <row r="8" spans="1:18">
      <c r="A8" s="15" t="s">
        <v>432</v>
      </c>
      <c r="B8" s="17" t="n">
        <v>3564</v>
      </c>
      <c r="C8" s="18">
        <f>(3150.0/B8*100)</f>
        <v/>
      </c>
      <c r="D8" s="19" t="n">
        <v>414</v>
      </c>
      <c r="E8" s="18" t="n">
        <v>19.24841154</v>
      </c>
      <c r="F8" s="20" t="n">
        <v>2.2163432</v>
      </c>
      <c r="G8" s="18" t="n">
        <v>79.17007019</v>
      </c>
      <c r="H8" s="20" t="n">
        <v>2.24576282</v>
      </c>
      <c r="I8" s="18" t="s">
        <v>431</v>
      </c>
      <c r="J8" s="20" t="s">
        <v>431</v>
      </c>
      <c r="K8" s="18" t="n">
        <v>1.20922731</v>
      </c>
      <c r="L8" s="20" t="n">
        <v>0.5591537</v>
      </c>
      <c r="M8" s="18" t="n">
        <v>0</v>
      </c>
      <c r="N8" s="20" t="n">
        <v>0</v>
      </c>
      <c r="O8" s="18" t="n">
        <v>0</v>
      </c>
      <c r="P8" s="20" t="n">
        <v>0</v>
      </c>
      <c r="Q8" s="18" t="n">
        <v>0.37229095</v>
      </c>
      <c r="R8" s="20" t="n">
        <v>0.27581101</v>
      </c>
    </row>
    <row r="9" spans="1:18">
      <c r="A9" s="15" t="s">
        <v>433</v>
      </c>
      <c r="B9" s="17" t="n">
        <v>4899</v>
      </c>
      <c r="C9" s="18">
        <f>(4356.0/B9*100)</f>
        <v/>
      </c>
      <c r="D9" s="19" t="n">
        <v>543</v>
      </c>
      <c r="E9" s="18" t="n">
        <v>16.27467554</v>
      </c>
      <c r="F9" s="20" t="n">
        <v>1.61864412</v>
      </c>
      <c r="G9" s="18" t="n">
        <v>80.75177162</v>
      </c>
      <c r="H9" s="20" t="n">
        <v>1.62028298</v>
      </c>
      <c r="I9" s="18" t="s">
        <v>431</v>
      </c>
      <c r="J9" s="20" t="s">
        <v>431</v>
      </c>
      <c r="K9" s="18" t="n">
        <v>2.56436867</v>
      </c>
      <c r="L9" s="20" t="n">
        <v>0.6189696099999999</v>
      </c>
      <c r="M9" s="18" t="n">
        <v>0</v>
      </c>
      <c r="N9" s="20" t="n">
        <v>0</v>
      </c>
      <c r="O9" s="18" t="n">
        <v>0</v>
      </c>
      <c r="P9" s="20" t="n">
        <v>0</v>
      </c>
      <c r="Q9" s="18" t="n">
        <v>0.40918417</v>
      </c>
      <c r="R9" s="20" t="n">
        <v>0.24360293</v>
      </c>
    </row>
    <row r="10" spans="1:18">
      <c r="A10" s="15" t="s">
        <v>434</v>
      </c>
      <c r="B10" s="17" t="n">
        <v>10036</v>
      </c>
      <c r="C10" s="18">
        <f>(8862.0/B10*100)</f>
        <v/>
      </c>
      <c r="D10" s="19" t="n">
        <v>1174</v>
      </c>
      <c r="E10" s="18" t="n">
        <v>16.4781805</v>
      </c>
      <c r="F10" s="20" t="n">
        <v>1.50191362</v>
      </c>
      <c r="G10" s="18" t="n">
        <v>82.02726138</v>
      </c>
      <c r="H10" s="20" t="n">
        <v>1.53549667</v>
      </c>
      <c r="I10" s="18" t="s">
        <v>431</v>
      </c>
      <c r="J10" s="20" t="s">
        <v>431</v>
      </c>
      <c r="K10" s="18" t="n">
        <v>1.43012689</v>
      </c>
      <c r="L10" s="20" t="n">
        <v>0.48825183</v>
      </c>
      <c r="M10" s="18" t="n">
        <v>0</v>
      </c>
      <c r="N10" s="20" t="n">
        <v>0</v>
      </c>
      <c r="O10" s="18" t="n">
        <v>0</v>
      </c>
      <c r="P10" s="20" t="n">
        <v>0</v>
      </c>
      <c r="Q10" s="18" t="n">
        <v>0.06443123000000001</v>
      </c>
      <c r="R10" s="20" t="n">
        <v>0.03939713</v>
      </c>
    </row>
    <row r="11" spans="1:18">
      <c r="A11" s="15" t="s">
        <v>435</v>
      </c>
      <c r="B11" s="17" t="n">
        <v>3553</v>
      </c>
      <c r="C11" s="18">
        <f>(3145.0/B11*100)</f>
        <v/>
      </c>
      <c r="D11" s="19" t="n">
        <v>408</v>
      </c>
      <c r="E11" s="18" t="n">
        <v>20.11798254</v>
      </c>
      <c r="F11" s="20" t="n">
        <v>2.12471903</v>
      </c>
      <c r="G11" s="18" t="n">
        <v>76.37290655</v>
      </c>
      <c r="H11" s="20" t="n">
        <v>2.27820995</v>
      </c>
      <c r="I11" s="18" t="s">
        <v>431</v>
      </c>
      <c r="J11" s="20" t="s">
        <v>431</v>
      </c>
      <c r="K11" s="18" t="n">
        <v>3.10721411</v>
      </c>
      <c r="L11" s="20" t="n">
        <v>1.12539446</v>
      </c>
      <c r="M11" s="18" t="n">
        <v>0</v>
      </c>
      <c r="N11" s="20" t="n">
        <v>0</v>
      </c>
      <c r="O11" s="18" t="n">
        <v>0</v>
      </c>
      <c r="P11" s="20" t="n">
        <v>0</v>
      </c>
      <c r="Q11" s="18" t="n">
        <v>0.4018968</v>
      </c>
      <c r="R11" s="20" t="n">
        <v>0.27531659</v>
      </c>
    </row>
    <row r="12" spans="1:18">
      <c r="A12" s="15" t="s">
        <v>436</v>
      </c>
      <c r="B12" s="17" t="n">
        <v>3472</v>
      </c>
      <c r="C12" s="18">
        <f>(3062.0/B12*100)</f>
        <v/>
      </c>
      <c r="D12" s="19" t="n">
        <v>410</v>
      </c>
      <c r="E12" s="18" t="n">
        <v>15.45620549</v>
      </c>
      <c r="F12" s="20" t="n">
        <v>2.3086378</v>
      </c>
      <c r="G12" s="18" t="n">
        <v>81.86923098</v>
      </c>
      <c r="H12" s="20" t="n">
        <v>2.14556172</v>
      </c>
      <c r="I12" s="18" t="s">
        <v>431</v>
      </c>
      <c r="J12" s="20" t="s">
        <v>431</v>
      </c>
      <c r="K12" s="18" t="n">
        <v>1.22679926</v>
      </c>
      <c r="L12" s="20" t="n">
        <v>0.48964647</v>
      </c>
      <c r="M12" s="18" t="n">
        <v>0</v>
      </c>
      <c r="N12" s="20" t="n">
        <v>0</v>
      </c>
      <c r="O12" s="18" t="n">
        <v>0</v>
      </c>
      <c r="P12" s="20" t="n">
        <v>0</v>
      </c>
      <c r="Q12" s="18" t="n">
        <v>1.44776427</v>
      </c>
      <c r="R12" s="20" t="n">
        <v>0.6249761</v>
      </c>
    </row>
    <row r="13" spans="1:18">
      <c r="A13" s="15" t="s">
        <v>437</v>
      </c>
      <c r="B13" s="17" t="n">
        <v>3559</v>
      </c>
      <c r="C13" s="18">
        <f>(3166.0/B13*100)</f>
        <v/>
      </c>
      <c r="D13" s="19" t="n">
        <v>393</v>
      </c>
      <c r="E13" s="18" t="n">
        <v>18.84709797</v>
      </c>
      <c r="F13" s="20" t="n">
        <v>2.23749287</v>
      </c>
      <c r="G13" s="18" t="n">
        <v>78.83911562</v>
      </c>
      <c r="H13" s="20" t="n">
        <v>2.35752788</v>
      </c>
      <c r="I13" s="18" t="s">
        <v>431</v>
      </c>
      <c r="J13" s="20" t="s">
        <v>431</v>
      </c>
      <c r="K13" s="18" t="n">
        <v>2.20835615</v>
      </c>
      <c r="L13" s="20" t="n">
        <v>0.7631724600000001</v>
      </c>
      <c r="M13" s="18" t="n">
        <v>0</v>
      </c>
      <c r="N13" s="20" t="n">
        <v>0</v>
      </c>
      <c r="O13" s="18" t="n">
        <v>0</v>
      </c>
      <c r="P13" s="20" t="n">
        <v>0</v>
      </c>
      <c r="Q13" s="18" t="n">
        <v>0.10543026</v>
      </c>
      <c r="R13" s="20" t="n">
        <v>0.07427335</v>
      </c>
    </row>
    <row r="14" spans="1:18">
      <c r="A14" s="15" t="s">
        <v>438</v>
      </c>
      <c r="B14" s="17" t="n">
        <v>2799</v>
      </c>
      <c r="C14" s="18">
        <f>(2451.0/B14*100)</f>
        <v/>
      </c>
      <c r="D14" s="19" t="n">
        <v>348</v>
      </c>
      <c r="E14" s="18" t="n">
        <v>14.72035068</v>
      </c>
      <c r="F14" s="20" t="n">
        <v>1.97509106</v>
      </c>
      <c r="G14" s="18" t="n">
        <v>83.77861420000001</v>
      </c>
      <c r="H14" s="20" t="n">
        <v>2.01536912</v>
      </c>
      <c r="I14" s="18" t="s">
        <v>431</v>
      </c>
      <c r="J14" s="20" t="s">
        <v>431</v>
      </c>
      <c r="K14" s="18" t="n">
        <v>1.50103512</v>
      </c>
      <c r="L14" s="20" t="n">
        <v>0.5619835</v>
      </c>
      <c r="M14" s="18" t="n">
        <v>0</v>
      </c>
      <c r="N14" s="20" t="n">
        <v>0</v>
      </c>
      <c r="O14" s="18" t="n">
        <v>0</v>
      </c>
      <c r="P14" s="20" t="n">
        <v>0</v>
      </c>
      <c r="Q14" s="18" t="n">
        <v>0</v>
      </c>
      <c r="R14" s="20" t="n">
        <v>0</v>
      </c>
    </row>
    <row r="15" spans="1:18">
      <c r="A15" s="15" t="s">
        <v>439</v>
      </c>
      <c r="B15" s="17" t="n">
        <v>3019</v>
      </c>
      <c r="C15" s="18">
        <f>(2674.0/B15*100)</f>
        <v/>
      </c>
      <c r="D15" s="19" t="n">
        <v>345</v>
      </c>
      <c r="E15" s="18" t="n">
        <v>14.04819194</v>
      </c>
      <c r="F15" s="20" t="n">
        <v>2.12826545</v>
      </c>
      <c r="G15" s="18" t="n">
        <v>83.97812046999999</v>
      </c>
      <c r="H15" s="20" t="n">
        <v>2.17776686</v>
      </c>
      <c r="I15" s="18" t="s">
        <v>431</v>
      </c>
      <c r="J15" s="20" t="s">
        <v>431</v>
      </c>
      <c r="K15" s="18" t="n">
        <v>1.41077514</v>
      </c>
      <c r="L15" s="20" t="n">
        <v>0.62068232</v>
      </c>
      <c r="M15" s="18" t="n">
        <v>0</v>
      </c>
      <c r="N15" s="20" t="n">
        <v>0</v>
      </c>
      <c r="O15" s="18" t="n">
        <v>0</v>
      </c>
      <c r="P15" s="20" t="n">
        <v>0</v>
      </c>
      <c r="Q15" s="18" t="n">
        <v>0.5629124599999999</v>
      </c>
      <c r="R15" s="20" t="n">
        <v>0.39672338</v>
      </c>
    </row>
    <row r="16" spans="1:18">
      <c r="A16" s="15" t="s">
        <v>440</v>
      </c>
      <c r="B16" s="17" t="n">
        <v>2997</v>
      </c>
      <c r="C16" s="18">
        <f>(2632.0/B16*100)</f>
        <v/>
      </c>
      <c r="D16" s="19" t="n">
        <v>365</v>
      </c>
      <c r="E16" s="18" t="n">
        <v>17.49569594</v>
      </c>
      <c r="F16" s="20" t="n">
        <v>2.03017663</v>
      </c>
      <c r="G16" s="18" t="n">
        <v>76.01714124</v>
      </c>
      <c r="H16" s="20" t="n">
        <v>2.5704432</v>
      </c>
      <c r="I16" s="18" t="s">
        <v>431</v>
      </c>
      <c r="J16" s="20" t="s">
        <v>431</v>
      </c>
      <c r="K16" s="18" t="n">
        <v>5.51095439</v>
      </c>
      <c r="L16" s="20" t="n">
        <v>1.42348189</v>
      </c>
      <c r="M16" s="18" t="n">
        <v>0</v>
      </c>
      <c r="N16" s="20" t="n">
        <v>0</v>
      </c>
      <c r="O16" s="18" t="n">
        <v>0</v>
      </c>
      <c r="P16" s="20" t="n">
        <v>0</v>
      </c>
      <c r="Q16" s="18" t="n">
        <v>0.97620843</v>
      </c>
      <c r="R16" s="20" t="n">
        <v>0.51112725</v>
      </c>
    </row>
    <row r="17" spans="1:18">
      <c r="A17" s="15" t="s">
        <v>441</v>
      </c>
      <c r="B17" s="17" t="n">
        <v>3307</v>
      </c>
      <c r="C17" s="18">
        <f>(2925.0/B17*100)</f>
        <v/>
      </c>
      <c r="D17" s="19" t="n">
        <v>382</v>
      </c>
      <c r="E17" s="18" t="n">
        <v>12.41577775</v>
      </c>
      <c r="F17" s="20" t="n">
        <v>1.55355013</v>
      </c>
      <c r="G17" s="18" t="n">
        <v>84.09887466000001</v>
      </c>
      <c r="H17" s="20" t="n">
        <v>2.10382566</v>
      </c>
      <c r="I17" s="18" t="s">
        <v>431</v>
      </c>
      <c r="J17" s="20" t="s">
        <v>431</v>
      </c>
      <c r="K17" s="18" t="n">
        <v>3.25750526</v>
      </c>
      <c r="L17" s="20" t="n">
        <v>1.05657804</v>
      </c>
      <c r="M17" s="18" t="n">
        <v>0</v>
      </c>
      <c r="N17" s="20" t="n">
        <v>0</v>
      </c>
      <c r="O17" s="18" t="n">
        <v>0</v>
      </c>
      <c r="P17" s="20" t="n">
        <v>0</v>
      </c>
      <c r="Q17" s="18" t="n">
        <v>0.22784233</v>
      </c>
      <c r="R17" s="20" t="n">
        <v>0.2271383</v>
      </c>
    </row>
    <row r="18" spans="1:18">
      <c r="A18" s="15" t="s">
        <v>442</v>
      </c>
      <c r="B18" s="17" t="n">
        <v>2826</v>
      </c>
      <c r="C18" s="18">
        <f>(2466.0/B18*100)</f>
        <v/>
      </c>
      <c r="D18" s="19" t="n">
        <v>360</v>
      </c>
      <c r="E18" s="18" t="n">
        <v>25.71473285</v>
      </c>
      <c r="F18" s="20" t="n">
        <v>2.54160001</v>
      </c>
      <c r="G18" s="18" t="n">
        <v>70.06390347999999</v>
      </c>
      <c r="H18" s="20" t="n">
        <v>2.88629336</v>
      </c>
      <c r="I18" s="18" t="s">
        <v>431</v>
      </c>
      <c r="J18" s="20" t="s">
        <v>431</v>
      </c>
      <c r="K18" s="18" t="n">
        <v>3.45167549</v>
      </c>
      <c r="L18" s="20" t="n">
        <v>1.10719704</v>
      </c>
      <c r="M18" s="18" t="n">
        <v>0</v>
      </c>
      <c r="N18" s="20" t="n">
        <v>0</v>
      </c>
      <c r="O18" s="18" t="n">
        <v>0</v>
      </c>
      <c r="P18" s="20" t="n">
        <v>0</v>
      </c>
      <c r="Q18" s="18" t="n">
        <v>0.76968819</v>
      </c>
      <c r="R18" s="20" t="n">
        <v>0.44993675</v>
      </c>
    </row>
    <row r="19" spans="1:18">
      <c r="A19" s="15" t="s">
        <v>443</v>
      </c>
      <c r="B19" s="17" t="n">
        <v>2808</v>
      </c>
      <c r="C19" s="18">
        <f>(2474.0/B19*100)</f>
        <v/>
      </c>
      <c r="D19" s="19" t="n">
        <v>334</v>
      </c>
      <c r="E19" s="18" t="n">
        <v>28.05156058</v>
      </c>
      <c r="F19" s="20" t="n">
        <v>2.37722487</v>
      </c>
      <c r="G19" s="18" t="n">
        <v>71.18406462999999</v>
      </c>
      <c r="H19" s="20" t="n">
        <v>2.34618967</v>
      </c>
      <c r="I19" s="18" t="s">
        <v>431</v>
      </c>
      <c r="J19" s="20" t="s">
        <v>431</v>
      </c>
      <c r="K19" s="18" t="n">
        <v>0.50727608</v>
      </c>
      <c r="L19" s="20" t="n">
        <v>0.3650909</v>
      </c>
      <c r="M19" s="18" t="n">
        <v>0</v>
      </c>
      <c r="N19" s="20" t="n">
        <v>0</v>
      </c>
      <c r="O19" s="18" t="n">
        <v>0</v>
      </c>
      <c r="P19" s="20" t="n">
        <v>0</v>
      </c>
      <c r="Q19" s="18" t="n">
        <v>0.25709872</v>
      </c>
      <c r="R19" s="20" t="n">
        <v>0.2577268</v>
      </c>
    </row>
    <row r="20" spans="1:18">
      <c r="A20" s="15" t="s">
        <v>444</v>
      </c>
      <c r="B20" s="17" t="n">
        <v>1630</v>
      </c>
      <c r="C20" s="18">
        <f>(1435.0/B20*100)</f>
        <v/>
      </c>
      <c r="D20" s="19" t="n">
        <v>195</v>
      </c>
      <c r="E20" s="18" t="n">
        <v>21.65141231</v>
      </c>
      <c r="F20" s="20" t="n">
        <v>2.94746961</v>
      </c>
      <c r="G20" s="18" t="n">
        <v>76.34965265</v>
      </c>
      <c r="H20" s="20" t="n">
        <v>3.18306133</v>
      </c>
      <c r="I20" s="18" t="s">
        <v>431</v>
      </c>
      <c r="J20" s="20" t="s">
        <v>431</v>
      </c>
      <c r="K20" s="18" t="n">
        <v>1.99893503</v>
      </c>
      <c r="L20" s="20" t="n">
        <v>0.96496162</v>
      </c>
      <c r="M20" s="18" t="n">
        <v>0</v>
      </c>
      <c r="N20" s="20" t="n">
        <v>0</v>
      </c>
      <c r="O20" s="18" t="n">
        <v>0</v>
      </c>
      <c r="P20" s="20" t="n">
        <v>0</v>
      </c>
      <c r="Q20" s="18" t="n">
        <v>0</v>
      </c>
      <c r="R20" s="20" t="n">
        <v>0</v>
      </c>
    </row>
    <row r="21" spans="1:18">
      <c r="A21" s="15" t="s">
        <v>445</v>
      </c>
      <c r="B21" s="17" t="n">
        <v>2908</v>
      </c>
      <c r="C21" s="18">
        <f>(2452.0/B21*100)</f>
        <v/>
      </c>
      <c r="D21" s="19" t="n">
        <v>456</v>
      </c>
      <c r="E21" s="18" t="n">
        <v>15.64287169</v>
      </c>
      <c r="F21" s="20" t="n">
        <v>1.92143581</v>
      </c>
      <c r="G21" s="18" t="n">
        <v>82.17636764</v>
      </c>
      <c r="H21" s="20" t="n">
        <v>2.04173979</v>
      </c>
      <c r="I21" s="18" t="s">
        <v>431</v>
      </c>
      <c r="J21" s="20" t="s">
        <v>431</v>
      </c>
      <c r="K21" s="18" t="n">
        <v>1.16422141</v>
      </c>
      <c r="L21" s="20" t="n">
        <v>0.5170018199999999</v>
      </c>
      <c r="M21" s="18" t="n">
        <v>0</v>
      </c>
      <c r="N21" s="20" t="n">
        <v>0</v>
      </c>
      <c r="O21" s="18" t="n">
        <v>0</v>
      </c>
      <c r="P21" s="20" t="n">
        <v>0</v>
      </c>
      <c r="Q21" s="18" t="n">
        <v>1.01653926</v>
      </c>
      <c r="R21" s="20" t="n">
        <v>0.5012888</v>
      </c>
    </row>
    <row r="22" spans="1:18">
      <c r="A22" s="15" t="s">
        <v>446</v>
      </c>
      <c r="B22" s="17" t="n">
        <v>2931</v>
      </c>
      <c r="C22" s="18">
        <f>(2582.0/B22*100)</f>
        <v/>
      </c>
      <c r="D22" s="19" t="n">
        <v>349</v>
      </c>
      <c r="E22" s="18" t="n">
        <v>23.99375086</v>
      </c>
      <c r="F22" s="20" t="n">
        <v>2.89078146</v>
      </c>
      <c r="G22" s="18" t="n">
        <v>72.41648107</v>
      </c>
      <c r="H22" s="20" t="n">
        <v>3.02310828</v>
      </c>
      <c r="I22" s="18" t="s">
        <v>431</v>
      </c>
      <c r="J22" s="20" t="s">
        <v>431</v>
      </c>
      <c r="K22" s="18" t="n">
        <v>2.03242025</v>
      </c>
      <c r="L22" s="20" t="n">
        <v>0.77826184</v>
      </c>
      <c r="M22" s="18" t="n">
        <v>0</v>
      </c>
      <c r="N22" s="20" t="n">
        <v>0</v>
      </c>
      <c r="O22" s="18" t="n">
        <v>0</v>
      </c>
      <c r="P22" s="20" t="n">
        <v>0</v>
      </c>
      <c r="Q22" s="18" t="n">
        <v>1.55734782</v>
      </c>
      <c r="R22" s="20" t="n">
        <v>0.82069024</v>
      </c>
    </row>
    <row r="23" spans="1:18">
      <c r="A23" s="15" t="s">
        <v>447</v>
      </c>
      <c r="B23" s="17" t="n">
        <v>5791</v>
      </c>
      <c r="C23" s="18">
        <f>(5118.0/B23*100)</f>
        <v/>
      </c>
      <c r="D23" s="19" t="n">
        <v>673</v>
      </c>
      <c r="E23" s="18" t="n">
        <v>17.74184782</v>
      </c>
      <c r="F23" s="20" t="n">
        <v>2.08206149</v>
      </c>
      <c r="G23" s="18" t="n">
        <v>78.84747579</v>
      </c>
      <c r="H23" s="20" t="n">
        <v>2.12691213</v>
      </c>
      <c r="I23" s="18" t="s">
        <v>431</v>
      </c>
      <c r="J23" s="20" t="s">
        <v>431</v>
      </c>
      <c r="K23" s="18" t="n">
        <v>2.87097407</v>
      </c>
      <c r="L23" s="20" t="n">
        <v>0.9817444</v>
      </c>
      <c r="M23" s="18" t="n">
        <v>0</v>
      </c>
      <c r="N23" s="20" t="n">
        <v>0</v>
      </c>
      <c r="O23" s="18" t="n">
        <v>0</v>
      </c>
      <c r="P23" s="20" t="n">
        <v>0</v>
      </c>
      <c r="Q23" s="18" t="n">
        <v>0.53970231</v>
      </c>
      <c r="R23" s="20" t="n">
        <v>0.27711188</v>
      </c>
    </row>
    <row r="24" spans="1:18">
      <c r="A24" s="15" t="s">
        <v>448</v>
      </c>
      <c r="B24" s="17" t="n">
        <v>3338</v>
      </c>
      <c r="C24" s="18">
        <f>(2949.0/B24*100)</f>
        <v/>
      </c>
      <c r="D24" s="19" t="n">
        <v>389</v>
      </c>
      <c r="E24" s="18" t="n">
        <v>18.87508341</v>
      </c>
      <c r="F24" s="20" t="n">
        <v>2.08885723</v>
      </c>
      <c r="G24" s="18" t="n">
        <v>78.82758832</v>
      </c>
      <c r="H24" s="20" t="n">
        <v>2.35808454</v>
      </c>
      <c r="I24" s="18" t="s">
        <v>431</v>
      </c>
      <c r="J24" s="20" t="s">
        <v>431</v>
      </c>
      <c r="K24" s="18" t="n">
        <v>2.29732827</v>
      </c>
      <c r="L24" s="20" t="n">
        <v>0.8109649</v>
      </c>
      <c r="M24" s="18" t="n">
        <v>0</v>
      </c>
      <c r="N24" s="20" t="n">
        <v>0</v>
      </c>
      <c r="O24" s="18" t="n">
        <v>0</v>
      </c>
      <c r="P24" s="20" t="n">
        <v>0</v>
      </c>
      <c r="Q24" s="18" t="n">
        <v>0</v>
      </c>
      <c r="R24" s="20" t="n">
        <v>0</v>
      </c>
    </row>
    <row r="25" spans="1:18">
      <c r="A25" s="15" t="s">
        <v>449</v>
      </c>
      <c r="B25" s="17" t="n">
        <v>2912</v>
      </c>
      <c r="C25" s="18">
        <f>(2542.0/B25*100)</f>
        <v/>
      </c>
      <c r="D25" s="19" t="n">
        <v>370</v>
      </c>
      <c r="E25" s="18" t="n">
        <v>22.9682493</v>
      </c>
      <c r="F25" s="20" t="n">
        <v>2.62904919</v>
      </c>
      <c r="G25" s="18" t="n">
        <v>76.24247822</v>
      </c>
      <c r="H25" s="20" t="n">
        <v>2.5302035</v>
      </c>
      <c r="I25" s="18" t="s">
        <v>431</v>
      </c>
      <c r="J25" s="20" t="s">
        <v>431</v>
      </c>
      <c r="K25" s="18" t="n">
        <v>0.7892724800000001</v>
      </c>
      <c r="L25" s="20" t="n">
        <v>0.45941842</v>
      </c>
      <c r="M25" s="18" t="n">
        <v>0</v>
      </c>
      <c r="N25" s="20" t="n">
        <v>0</v>
      </c>
      <c r="O25" s="18" t="n">
        <v>0</v>
      </c>
      <c r="P25" s="20" t="n">
        <v>0</v>
      </c>
      <c r="Q25" s="18" t="n">
        <v>0</v>
      </c>
      <c r="R25" s="20" t="n">
        <v>0</v>
      </c>
    </row>
    <row r="26" spans="1:18">
      <c r="A26" s="15" t="s">
        <v>450</v>
      </c>
      <c r="B26" s="17" t="n">
        <v>2450</v>
      </c>
      <c r="C26" s="18">
        <f>(2163.0/B26*100)</f>
        <v/>
      </c>
      <c r="D26" s="19" t="n">
        <v>287</v>
      </c>
      <c r="E26" s="18" t="n">
        <v>17.64687448</v>
      </c>
      <c r="F26" s="20" t="n">
        <v>2.50154403</v>
      </c>
      <c r="G26" s="18" t="n">
        <v>80.54066201000001</v>
      </c>
      <c r="H26" s="20" t="n">
        <v>2.57829908</v>
      </c>
      <c r="I26" s="18" t="s">
        <v>431</v>
      </c>
      <c r="J26" s="20" t="s">
        <v>431</v>
      </c>
      <c r="K26" s="18" t="n">
        <v>1.42818063</v>
      </c>
      <c r="L26" s="20" t="n">
        <v>0.68842552</v>
      </c>
      <c r="M26" s="18" t="n">
        <v>0</v>
      </c>
      <c r="N26" s="20" t="n">
        <v>0</v>
      </c>
      <c r="O26" s="18" t="n">
        <v>0</v>
      </c>
      <c r="P26" s="20" t="n">
        <v>0</v>
      </c>
      <c r="Q26" s="18" t="n">
        <v>0.38428288</v>
      </c>
      <c r="R26" s="20" t="n">
        <v>0.26177769</v>
      </c>
    </row>
    <row r="27" spans="1:18">
      <c r="A27" s="15" t="s">
        <v>451</v>
      </c>
      <c r="B27" s="17" t="n">
        <v>2616</v>
      </c>
      <c r="C27" s="18">
        <f>(2298.0/B27*100)</f>
        <v/>
      </c>
      <c r="D27" s="19" t="n">
        <v>318</v>
      </c>
      <c r="E27" s="18" t="n">
        <v>17.90309456</v>
      </c>
      <c r="F27" s="20" t="n">
        <v>1.98976008</v>
      </c>
      <c r="G27" s="18" t="n">
        <v>76.90055889999999</v>
      </c>
      <c r="H27" s="20" t="n">
        <v>2.27014586</v>
      </c>
      <c r="I27" s="18" t="s">
        <v>431</v>
      </c>
      <c r="J27" s="20" t="s">
        <v>431</v>
      </c>
      <c r="K27" s="18" t="n">
        <v>3.22919925</v>
      </c>
      <c r="L27" s="20" t="n">
        <v>1.06157622</v>
      </c>
      <c r="M27" s="18" t="n">
        <v>0</v>
      </c>
      <c r="N27" s="20" t="n">
        <v>0</v>
      </c>
      <c r="O27" s="18" t="n">
        <v>0</v>
      </c>
      <c r="P27" s="20" t="n">
        <v>0</v>
      </c>
      <c r="Q27" s="18" t="n">
        <v>1.96714729</v>
      </c>
      <c r="R27" s="20" t="n">
        <v>0.78776342</v>
      </c>
    </row>
    <row r="28" spans="1:18">
      <c r="A28" s="15" t="s">
        <v>452</v>
      </c>
      <c r="B28" s="17" t="n">
        <v>3765</v>
      </c>
      <c r="C28" s="18">
        <f>(3370.0/B28*100)</f>
        <v/>
      </c>
      <c r="D28" s="19" t="n">
        <v>395</v>
      </c>
      <c r="E28" s="18" t="n">
        <v>33.85382493</v>
      </c>
      <c r="F28" s="20" t="n">
        <v>2.58883519</v>
      </c>
      <c r="G28" s="18" t="n">
        <v>63.6080675</v>
      </c>
      <c r="H28" s="20" t="n">
        <v>2.45791119</v>
      </c>
      <c r="I28" s="18" t="s">
        <v>431</v>
      </c>
      <c r="J28" s="20" t="s">
        <v>431</v>
      </c>
      <c r="K28" s="18" t="n">
        <v>1.41237298</v>
      </c>
      <c r="L28" s="20" t="n">
        <v>0.55458421</v>
      </c>
      <c r="M28" s="18" t="n">
        <v>0</v>
      </c>
      <c r="N28" s="20" t="n">
        <v>0</v>
      </c>
      <c r="O28" s="18" t="n">
        <v>0</v>
      </c>
      <c r="P28" s="20" t="n">
        <v>0</v>
      </c>
      <c r="Q28" s="18" t="n">
        <v>1.1257346</v>
      </c>
      <c r="R28" s="20" t="n">
        <v>0.63371698</v>
      </c>
    </row>
    <row r="29" spans="1:18">
      <c r="A29" s="15" t="s">
        <v>453</v>
      </c>
      <c r="B29" s="17" t="n">
        <v>2685</v>
      </c>
      <c r="C29" s="18">
        <f>(2369.0/B29*100)</f>
        <v/>
      </c>
      <c r="D29" s="19" t="n">
        <v>316</v>
      </c>
      <c r="E29" s="18" t="n">
        <v>21.7265756</v>
      </c>
      <c r="F29" s="20" t="n">
        <v>2.44952922</v>
      </c>
      <c r="G29" s="18" t="n">
        <v>77.36458557</v>
      </c>
      <c r="H29" s="20" t="n">
        <v>2.49584149</v>
      </c>
      <c r="I29" s="18" t="s">
        <v>431</v>
      </c>
      <c r="J29" s="20" t="s">
        <v>431</v>
      </c>
      <c r="K29" s="18" t="n">
        <v>0.32544617</v>
      </c>
      <c r="L29" s="20" t="n">
        <v>0.34881186</v>
      </c>
      <c r="M29" s="18" t="n">
        <v>0</v>
      </c>
      <c r="N29" s="20" t="n">
        <v>0</v>
      </c>
      <c r="O29" s="18" t="n">
        <v>0</v>
      </c>
      <c r="P29" s="20" t="n">
        <v>0</v>
      </c>
      <c r="Q29" s="18" t="n">
        <v>0.58339266</v>
      </c>
      <c r="R29" s="20" t="n">
        <v>0.38880734</v>
      </c>
    </row>
    <row r="30" spans="1:18">
      <c r="A30" s="15" t="s">
        <v>454</v>
      </c>
      <c r="B30" s="17" t="n">
        <v>2263</v>
      </c>
      <c r="C30" s="18">
        <f>(2002.0/B30*100)</f>
        <v/>
      </c>
      <c r="D30" s="19" t="n">
        <v>261</v>
      </c>
      <c r="E30" s="18" t="n">
        <v>19.66903577</v>
      </c>
      <c r="F30" s="20" t="n">
        <v>2.3876437</v>
      </c>
      <c r="G30" s="18" t="n">
        <v>76.25561451</v>
      </c>
      <c r="H30" s="20" t="n">
        <v>2.59153366</v>
      </c>
      <c r="I30" s="18" t="s">
        <v>431</v>
      </c>
      <c r="J30" s="20" t="s">
        <v>431</v>
      </c>
      <c r="K30" s="18" t="n">
        <v>3.73677097</v>
      </c>
      <c r="L30" s="20" t="n">
        <v>1.25195567</v>
      </c>
      <c r="M30" s="18" t="n">
        <v>0</v>
      </c>
      <c r="N30" s="20" t="n">
        <v>0</v>
      </c>
      <c r="O30" s="18" t="n">
        <v>0</v>
      </c>
      <c r="P30" s="20" t="n">
        <v>0</v>
      </c>
      <c r="Q30" s="18" t="n">
        <v>0.33857875</v>
      </c>
      <c r="R30" s="20" t="n">
        <v>0.34796715</v>
      </c>
    </row>
    <row r="31" spans="1:18">
      <c r="A31" s="15" t="s">
        <v>455</v>
      </c>
      <c r="B31" s="17" t="n">
        <v>2750</v>
      </c>
      <c r="C31" s="18">
        <f>(2400.0/B31*100)</f>
        <v/>
      </c>
      <c r="D31" s="19" t="n">
        <v>350</v>
      </c>
      <c r="E31" s="18" t="n">
        <v>24.24658026</v>
      </c>
      <c r="F31" s="20" t="n">
        <v>2.08832692</v>
      </c>
      <c r="G31" s="18" t="n">
        <v>72.35842715</v>
      </c>
      <c r="H31" s="20" t="n">
        <v>2.29322303</v>
      </c>
      <c r="I31" s="18" t="s">
        <v>431</v>
      </c>
      <c r="J31" s="20" t="s">
        <v>431</v>
      </c>
      <c r="K31" s="18" t="n">
        <v>3.39499259</v>
      </c>
      <c r="L31" s="20" t="n">
        <v>0.94967674</v>
      </c>
      <c r="M31" s="18" t="n">
        <v>0</v>
      </c>
      <c r="N31" s="20" t="n">
        <v>0</v>
      </c>
      <c r="O31" s="18" t="n">
        <v>0</v>
      </c>
      <c r="P31" s="20" t="n">
        <v>0</v>
      </c>
      <c r="Q31" s="18" t="n">
        <v>0</v>
      </c>
      <c r="R31" s="20" t="n">
        <v>0</v>
      </c>
    </row>
    <row r="32" spans="1:18">
      <c r="A32" s="15" t="s">
        <v>456</v>
      </c>
      <c r="B32" s="17" t="n">
        <v>2269</v>
      </c>
      <c r="C32" s="18">
        <f>(1895.0/B32*100)</f>
        <v/>
      </c>
      <c r="D32" s="19" t="n">
        <v>374</v>
      </c>
      <c r="E32" s="18" t="n">
        <v>17.20993406</v>
      </c>
      <c r="F32" s="20" t="n">
        <v>1.6477726</v>
      </c>
      <c r="G32" s="18" t="n">
        <v>81.73603606</v>
      </c>
      <c r="H32" s="20" t="n">
        <v>1.82400508</v>
      </c>
      <c r="I32" s="18" t="s">
        <v>431</v>
      </c>
      <c r="J32" s="20" t="s">
        <v>431</v>
      </c>
      <c r="K32" s="18" t="n">
        <v>1.05402989</v>
      </c>
      <c r="L32" s="20" t="n">
        <v>0.52591864</v>
      </c>
      <c r="M32" s="18" t="n">
        <v>0</v>
      </c>
      <c r="N32" s="20" t="n">
        <v>0</v>
      </c>
      <c r="O32" s="18" t="n">
        <v>0</v>
      </c>
      <c r="P32" s="20" t="n">
        <v>0</v>
      </c>
      <c r="Q32" s="18" t="n">
        <v>0</v>
      </c>
      <c r="R32" s="20" t="n">
        <v>0</v>
      </c>
    </row>
    <row r="33" spans="1:18">
      <c r="A33" s="15" t="s">
        <v>457</v>
      </c>
      <c r="B33" s="17" t="n">
        <v>3674</v>
      </c>
      <c r="C33" s="18">
        <f>(3242.0/B33*100)</f>
        <v/>
      </c>
      <c r="D33" s="19" t="n">
        <v>432</v>
      </c>
      <c r="E33" s="18" t="n">
        <v>19.12826504</v>
      </c>
      <c r="F33" s="20" t="n">
        <v>2.70048192</v>
      </c>
      <c r="G33" s="18" t="n">
        <v>78.87552426000001</v>
      </c>
      <c r="H33" s="20" t="n">
        <v>2.71619819</v>
      </c>
      <c r="I33" s="18" t="s">
        <v>431</v>
      </c>
      <c r="J33" s="20" t="s">
        <v>431</v>
      </c>
      <c r="K33" s="18" t="n">
        <v>1.47081735</v>
      </c>
      <c r="L33" s="20" t="n">
        <v>0.82943709</v>
      </c>
      <c r="M33" s="18" t="n">
        <v>0</v>
      </c>
      <c r="N33" s="20" t="n">
        <v>0</v>
      </c>
      <c r="O33" s="18" t="n">
        <v>0</v>
      </c>
      <c r="P33" s="20" t="n">
        <v>0</v>
      </c>
      <c r="Q33" s="18" t="n">
        <v>0.52539335</v>
      </c>
      <c r="R33" s="20" t="n">
        <v>0.26596514</v>
      </c>
    </row>
    <row r="34" spans="1:18">
      <c r="A34" s="15" t="s">
        <v>458</v>
      </c>
      <c r="B34" s="17" t="n">
        <v>3315</v>
      </c>
      <c r="C34" s="18">
        <f>(2921.0/B34*100)</f>
        <v/>
      </c>
      <c r="D34" s="19" t="n">
        <v>394</v>
      </c>
      <c r="E34" s="18" t="n">
        <v>21.11364121</v>
      </c>
      <c r="F34" s="20" t="n">
        <v>2.11501676</v>
      </c>
      <c r="G34" s="18" t="n">
        <v>77.55507324</v>
      </c>
      <c r="H34" s="20" t="n">
        <v>2.14637697</v>
      </c>
      <c r="I34" s="18" t="s">
        <v>431</v>
      </c>
      <c r="J34" s="20" t="s">
        <v>431</v>
      </c>
      <c r="K34" s="18" t="n">
        <v>1.33128555</v>
      </c>
      <c r="L34" s="20" t="n">
        <v>0.61847461</v>
      </c>
      <c r="M34" s="18" t="n">
        <v>0</v>
      </c>
      <c r="N34" s="20" t="n">
        <v>0</v>
      </c>
      <c r="O34" s="18" t="n">
        <v>0</v>
      </c>
      <c r="P34" s="20" t="n">
        <v>0</v>
      </c>
      <c r="Q34" s="18" t="n">
        <v>0</v>
      </c>
      <c r="R34" s="20" t="n">
        <v>0</v>
      </c>
    </row>
    <row r="35" spans="1:18">
      <c r="A35" s="15" t="s">
        <v>459</v>
      </c>
      <c r="B35" s="17" t="n">
        <v>3505</v>
      </c>
      <c r="C35" s="18">
        <f>(3091.0/B35*100)</f>
        <v/>
      </c>
      <c r="D35" s="19" t="n">
        <v>414</v>
      </c>
      <c r="E35" s="18" t="n">
        <v>17.87557754</v>
      </c>
      <c r="F35" s="20" t="n">
        <v>2.56050712</v>
      </c>
      <c r="G35" s="18" t="n">
        <v>81.1771203</v>
      </c>
      <c r="H35" s="20" t="n">
        <v>2.52603214</v>
      </c>
      <c r="I35" s="18" t="s">
        <v>431</v>
      </c>
      <c r="J35" s="20" t="s">
        <v>431</v>
      </c>
      <c r="K35" s="18" t="n">
        <v>0.7433977899999999</v>
      </c>
      <c r="L35" s="20" t="n">
        <v>0.40018118</v>
      </c>
      <c r="M35" s="18" t="n">
        <v>0</v>
      </c>
      <c r="N35" s="20" t="n">
        <v>0</v>
      </c>
      <c r="O35" s="18" t="n">
        <v>0</v>
      </c>
      <c r="P35" s="20" t="n">
        <v>0</v>
      </c>
      <c r="Q35" s="18" t="n">
        <v>0.20390437</v>
      </c>
      <c r="R35" s="20" t="n">
        <v>0.20330081</v>
      </c>
    </row>
    <row r="36" spans="1:18">
      <c r="A36" s="15" t="s">
        <v>460</v>
      </c>
      <c r="B36" s="17" t="n">
        <v>3332</v>
      </c>
      <c r="C36" s="18">
        <f>(2944.0/B36*100)</f>
        <v/>
      </c>
      <c r="D36" s="19" t="n">
        <v>388</v>
      </c>
      <c r="E36" s="18" t="n">
        <v>16.55661507</v>
      </c>
      <c r="F36" s="20" t="n">
        <v>1.93230366</v>
      </c>
      <c r="G36" s="18" t="n">
        <v>60.51778585</v>
      </c>
      <c r="H36" s="20" t="n">
        <v>2.43932858</v>
      </c>
      <c r="I36" s="18" t="s">
        <v>431</v>
      </c>
      <c r="J36" s="20" t="s">
        <v>431</v>
      </c>
      <c r="K36" s="18" t="n">
        <v>2.42187305</v>
      </c>
      <c r="L36" s="20" t="n">
        <v>0.88339514</v>
      </c>
      <c r="M36" s="18" t="n">
        <v>20.1528844</v>
      </c>
      <c r="N36" s="20" t="n">
        <v>2.02558395</v>
      </c>
      <c r="O36" s="18" t="n">
        <v>0</v>
      </c>
      <c r="P36" s="20" t="n">
        <v>0</v>
      </c>
      <c r="Q36" s="18" t="n">
        <v>0.35084164</v>
      </c>
      <c r="R36" s="20" t="n">
        <v>0.49936152</v>
      </c>
    </row>
    <row r="37" spans="1:18">
      <c r="A37" s="15" t="s">
        <v>461</v>
      </c>
      <c r="B37" s="17" t="n">
        <v>2727</v>
      </c>
      <c r="C37" s="18">
        <f>(2416.0/B37*100)</f>
        <v/>
      </c>
      <c r="D37" s="19" t="n">
        <v>311</v>
      </c>
      <c r="E37" s="18" t="n">
        <v>18.05912755</v>
      </c>
      <c r="F37" s="20" t="n">
        <v>2.23087225</v>
      </c>
      <c r="G37" s="18" t="n">
        <v>77.09924065</v>
      </c>
      <c r="H37" s="20" t="n">
        <v>2.45095427</v>
      </c>
      <c r="I37" s="18" t="s">
        <v>431</v>
      </c>
      <c r="J37" s="20" t="s">
        <v>431</v>
      </c>
      <c r="K37" s="18" t="n">
        <v>3.12097363</v>
      </c>
      <c r="L37" s="20" t="n">
        <v>0.95553891</v>
      </c>
      <c r="M37" s="18" t="n">
        <v>0</v>
      </c>
      <c r="N37" s="20" t="n">
        <v>0</v>
      </c>
      <c r="O37" s="18" t="n">
        <v>0</v>
      </c>
      <c r="P37" s="20" t="n">
        <v>0</v>
      </c>
      <c r="Q37" s="18" t="n">
        <v>1.72065817</v>
      </c>
      <c r="R37" s="20" t="n">
        <v>0.92512497</v>
      </c>
    </row>
    <row r="38" spans="1:18">
      <c r="A38" s="15" t="s">
        <v>462</v>
      </c>
      <c r="B38" s="17" t="n">
        <v>3053</v>
      </c>
      <c r="C38" s="18">
        <f>(2552.0/B38*100)</f>
        <v/>
      </c>
      <c r="D38" s="19" t="n">
        <v>501</v>
      </c>
      <c r="E38" s="18" t="n">
        <v>16.79930833</v>
      </c>
      <c r="F38" s="20" t="n">
        <v>2.24062098</v>
      </c>
      <c r="G38" s="18" t="n">
        <v>80.32002266000001</v>
      </c>
      <c r="H38" s="20" t="n">
        <v>2.38092611</v>
      </c>
      <c r="I38" s="18" t="s">
        <v>431</v>
      </c>
      <c r="J38" s="20" t="s">
        <v>431</v>
      </c>
      <c r="K38" s="18" t="n">
        <v>2.60625279</v>
      </c>
      <c r="L38" s="20" t="n">
        <v>0.74495484</v>
      </c>
      <c r="M38" s="18" t="n">
        <v>0</v>
      </c>
      <c r="N38" s="20" t="n">
        <v>0</v>
      </c>
      <c r="O38" s="18" t="n">
        <v>0</v>
      </c>
      <c r="P38" s="20" t="n">
        <v>0</v>
      </c>
      <c r="Q38" s="18" t="n">
        <v>0.27441621</v>
      </c>
      <c r="R38" s="20" t="n">
        <v>0.23931249</v>
      </c>
    </row>
    <row r="39" spans="1:18">
      <c r="A39" s="15" t="s">
        <v>463</v>
      </c>
      <c r="B39" s="17" t="n">
        <v>2957</v>
      </c>
      <c r="C39" s="18">
        <f>(2594.0/B39*100)</f>
        <v/>
      </c>
      <c r="D39" s="19" t="n">
        <v>363</v>
      </c>
      <c r="E39" s="18" t="n">
        <v>34.44691031</v>
      </c>
      <c r="F39" s="20" t="n">
        <v>2.61482544</v>
      </c>
      <c r="G39" s="18" t="n">
        <v>62.88796072</v>
      </c>
      <c r="H39" s="20" t="n">
        <v>2.76084704</v>
      </c>
      <c r="I39" s="18" t="s">
        <v>431</v>
      </c>
      <c r="J39" s="20" t="s">
        <v>431</v>
      </c>
      <c r="K39" s="18" t="n">
        <v>1.45674971</v>
      </c>
      <c r="L39" s="20" t="n">
        <v>0.60645782</v>
      </c>
      <c r="M39" s="18" t="n">
        <v>0</v>
      </c>
      <c r="N39" s="20" t="n">
        <v>0</v>
      </c>
      <c r="O39" s="18" t="n">
        <v>0</v>
      </c>
      <c r="P39" s="20" t="n">
        <v>0</v>
      </c>
      <c r="Q39" s="18" t="n">
        <v>1.20837926</v>
      </c>
      <c r="R39" s="20" t="n">
        <v>0.51761165</v>
      </c>
    </row>
    <row r="40" spans="1:18">
      <c r="A40" s="15" t="s">
        <v>464</v>
      </c>
      <c r="B40" s="17" t="n">
        <v>7235</v>
      </c>
      <c r="C40" s="18">
        <f>(6361.0/B40*100)</f>
        <v/>
      </c>
      <c r="D40" s="19" t="n">
        <v>874</v>
      </c>
      <c r="E40" s="18" t="n">
        <v>21.89736799</v>
      </c>
      <c r="F40" s="20" t="n">
        <v>2.16161496</v>
      </c>
      <c r="G40" s="18" t="n">
        <v>75.01240163</v>
      </c>
      <c r="H40" s="20" t="n">
        <v>2.14407095</v>
      </c>
      <c r="I40" s="18" t="s">
        <v>431</v>
      </c>
      <c r="J40" s="20" t="s">
        <v>431</v>
      </c>
      <c r="K40" s="18" t="n">
        <v>2.706048</v>
      </c>
      <c r="L40" s="20" t="n">
        <v>0.65820535</v>
      </c>
      <c r="M40" s="18" t="n">
        <v>0</v>
      </c>
      <c r="N40" s="20" t="n">
        <v>0</v>
      </c>
      <c r="O40" s="18" t="n">
        <v>0</v>
      </c>
      <c r="P40" s="20" t="n">
        <v>0</v>
      </c>
      <c r="Q40" s="18" t="n">
        <v>0.38418238</v>
      </c>
      <c r="R40" s="20" t="n">
        <v>0.33093281</v>
      </c>
    </row>
    <row r="41" spans="1:18">
      <c r="A41" s="15" t="s">
        <v>465</v>
      </c>
      <c r="B41" s="17" t="n">
        <v>2858</v>
      </c>
      <c r="C41" s="18">
        <f>(2520.0/B41*100)</f>
        <v/>
      </c>
      <c r="D41" s="19" t="n">
        <v>338</v>
      </c>
      <c r="E41" s="18" t="n">
        <v>24.26002306</v>
      </c>
      <c r="F41" s="20" t="n">
        <v>2.95962066</v>
      </c>
      <c r="G41" s="18" t="n">
        <v>73.96398932</v>
      </c>
      <c r="H41" s="20" t="n">
        <v>3.31185677</v>
      </c>
      <c r="I41" s="18" t="s">
        <v>431</v>
      </c>
      <c r="J41" s="20" t="s">
        <v>431</v>
      </c>
      <c r="K41" s="18" t="n">
        <v>0.8085704500000001</v>
      </c>
      <c r="L41" s="20" t="n">
        <v>0.43942475</v>
      </c>
      <c r="M41" s="18" t="n">
        <v>0</v>
      </c>
      <c r="N41" s="20" t="n">
        <v>0</v>
      </c>
      <c r="O41" s="18" t="n">
        <v>0</v>
      </c>
      <c r="P41" s="20" t="n">
        <v>0</v>
      </c>
      <c r="Q41" s="18" t="n">
        <v>0.96741718</v>
      </c>
      <c r="R41" s="20" t="n">
        <v>0.5255599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(10018.0/B46*100)</f>
        <v/>
      </c>
      <c r="D46" s="19" t="n">
        <v>1050</v>
      </c>
      <c r="E46" s="18" t="n">
        <v>39.81335828</v>
      </c>
      <c r="F46" s="20" t="n">
        <v>1.76724871</v>
      </c>
      <c r="G46" s="18" t="n">
        <v>56.16558395</v>
      </c>
      <c r="H46" s="20" t="n">
        <v>1.79100255</v>
      </c>
      <c r="I46" s="18" t="s">
        <v>431</v>
      </c>
      <c r="J46" s="20" t="s">
        <v>431</v>
      </c>
      <c r="K46" s="18" t="n">
        <v>2.88355621</v>
      </c>
      <c r="L46" s="20" t="n">
        <v>0.61467737</v>
      </c>
      <c r="M46" s="18" t="n">
        <v>0</v>
      </c>
      <c r="N46" s="20" t="n">
        <v>0</v>
      </c>
      <c r="O46" s="18" t="n">
        <v>0</v>
      </c>
      <c r="P46" s="20" t="n">
        <v>0</v>
      </c>
      <c r="Q46" s="18" t="n">
        <v>1.13750155</v>
      </c>
      <c r="R46" s="20" t="n">
        <v>0.45861869</v>
      </c>
    </row>
    <row r="47" spans="1:18">
      <c r="A47" s="15" t="s">
        <v>471</v>
      </c>
      <c r="B47" s="17" t="n">
        <v>3105</v>
      </c>
      <c r="C47" s="18">
        <f>(2741.0/B47*100)</f>
        <v/>
      </c>
      <c r="D47" s="19" t="n">
        <v>364</v>
      </c>
      <c r="E47" s="18" t="n">
        <v>32.89381966</v>
      </c>
      <c r="F47" s="20" t="n">
        <v>2.65610343</v>
      </c>
      <c r="G47" s="18" t="n">
        <v>64.19750743</v>
      </c>
      <c r="H47" s="20" t="n">
        <v>2.77543523</v>
      </c>
      <c r="I47" s="18" t="s">
        <v>431</v>
      </c>
      <c r="J47" s="20" t="s">
        <v>431</v>
      </c>
      <c r="K47" s="18" t="n">
        <v>2.38963186</v>
      </c>
      <c r="L47" s="20" t="n">
        <v>0.71760844</v>
      </c>
      <c r="M47" s="18" t="n">
        <v>0</v>
      </c>
      <c r="N47" s="20" t="n">
        <v>0</v>
      </c>
      <c r="O47" s="18" t="n">
        <v>0</v>
      </c>
      <c r="P47" s="20" t="n">
        <v>0</v>
      </c>
      <c r="Q47" s="18" t="n">
        <v>0.51904105</v>
      </c>
      <c r="R47" s="20" t="n">
        <v>0.37287273</v>
      </c>
    </row>
    <row r="48" spans="1:18">
      <c r="A48" s="15" t="s">
        <v>472</v>
      </c>
      <c r="B48" s="17" t="n">
        <v>5159</v>
      </c>
      <c r="C48" s="18">
        <f>(4511.0/B48*100)</f>
        <v/>
      </c>
      <c r="D48" s="19" t="n">
        <v>648</v>
      </c>
      <c r="E48" s="18" t="n">
        <v>17.66241296</v>
      </c>
      <c r="F48" s="20" t="n">
        <v>1.70552987</v>
      </c>
      <c r="G48" s="18" t="n">
        <v>81.17296087</v>
      </c>
      <c r="H48" s="20" t="n">
        <v>1.80131906</v>
      </c>
      <c r="I48" s="18" t="s">
        <v>431</v>
      </c>
      <c r="J48" s="20" t="s">
        <v>431</v>
      </c>
      <c r="K48" s="18" t="n">
        <v>1.09340434</v>
      </c>
      <c r="L48" s="20" t="n">
        <v>0.55092256</v>
      </c>
      <c r="M48" s="18" t="n">
        <v>0</v>
      </c>
      <c r="N48" s="20" t="n">
        <v>0</v>
      </c>
      <c r="O48" s="18" t="n">
        <v>0</v>
      </c>
      <c r="P48" s="20" t="n">
        <v>0</v>
      </c>
      <c r="Q48" s="18" t="n">
        <v>0.07122183999999999</v>
      </c>
      <c r="R48" s="20" t="n">
        <v>0.07149766</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(5001.0/B50*100)</f>
        <v/>
      </c>
      <c r="D50" s="19" t="n">
        <v>636</v>
      </c>
      <c r="E50" s="18" t="n">
        <v>27.50143852</v>
      </c>
      <c r="F50" s="20" t="n">
        <v>2.03255274</v>
      </c>
      <c r="G50" s="18" t="n">
        <v>66.19532889</v>
      </c>
      <c r="H50" s="20" t="n">
        <v>2.36993922</v>
      </c>
      <c r="I50" s="18" t="s">
        <v>431</v>
      </c>
      <c r="J50" s="20" t="s">
        <v>431</v>
      </c>
      <c r="K50" s="18" t="n">
        <v>5.3232888</v>
      </c>
      <c r="L50" s="20" t="n">
        <v>1.29468438</v>
      </c>
      <c r="M50" s="18" t="n">
        <v>0</v>
      </c>
      <c r="N50" s="20" t="n">
        <v>0</v>
      </c>
      <c r="O50" s="18" t="n">
        <v>0</v>
      </c>
      <c r="P50" s="20" t="n">
        <v>0</v>
      </c>
      <c r="Q50" s="18" t="n">
        <v>0.97994379</v>
      </c>
      <c r="R50" s="20" t="n">
        <v>0.58764344</v>
      </c>
    </row>
    <row r="51" spans="1:18">
      <c r="A51" s="15" t="s">
        <v>475</v>
      </c>
      <c r="B51" s="17" t="n">
        <v>3372</v>
      </c>
      <c r="C51" s="18">
        <f>(3068.0/B51*100)</f>
        <v/>
      </c>
      <c r="D51" s="19" t="n">
        <v>304</v>
      </c>
      <c r="E51" s="18" t="n">
        <v>26.05292645</v>
      </c>
      <c r="F51" s="20" t="n">
        <v>2.83922893</v>
      </c>
      <c r="G51" s="18" t="n">
        <v>70.83724626999999</v>
      </c>
      <c r="H51" s="20" t="n">
        <v>3.09691147</v>
      </c>
      <c r="I51" s="18" t="s">
        <v>431</v>
      </c>
      <c r="J51" s="20" t="s">
        <v>431</v>
      </c>
      <c r="K51" s="18" t="n">
        <v>1.76669455</v>
      </c>
      <c r="L51" s="20" t="n">
        <v>0.77490773</v>
      </c>
      <c r="M51" s="18" t="n">
        <v>0</v>
      </c>
      <c r="N51" s="20" t="n">
        <v>0</v>
      </c>
      <c r="O51" s="18" t="n">
        <v>0</v>
      </c>
      <c r="P51" s="20" t="n">
        <v>0</v>
      </c>
      <c r="Q51" s="18" t="n">
        <v>1.34313273</v>
      </c>
      <c r="R51" s="20" t="n">
        <v>0.680681</v>
      </c>
    </row>
    <row r="52" spans="1:18">
      <c r="A52" s="15" t="s">
        <v>476</v>
      </c>
      <c r="B52" s="17" t="n">
        <v>2796</v>
      </c>
      <c r="C52" s="18">
        <f>(2452.0/B52*100)</f>
        <v/>
      </c>
      <c r="D52" s="19" t="n">
        <v>344</v>
      </c>
      <c r="E52" s="18" t="n">
        <v>20.35114633</v>
      </c>
      <c r="F52" s="20" t="n">
        <v>2.34576846</v>
      </c>
      <c r="G52" s="18" t="n">
        <v>77.93907869</v>
      </c>
      <c r="H52" s="20" t="n">
        <v>2.30985745</v>
      </c>
      <c r="I52" s="18" t="s">
        <v>431</v>
      </c>
      <c r="J52" s="20" t="s">
        <v>431</v>
      </c>
      <c r="K52" s="18" t="n">
        <v>1.70977498</v>
      </c>
      <c r="L52" s="20" t="n">
        <v>0.70189038</v>
      </c>
      <c r="M52" s="18" t="n">
        <v>0</v>
      </c>
      <c r="N52" s="20" t="n">
        <v>0</v>
      </c>
      <c r="O52" s="18" t="n">
        <v>0</v>
      </c>
      <c r="P52" s="20" t="n">
        <v>0</v>
      </c>
      <c r="Q52" s="18" t="n">
        <v>0</v>
      </c>
      <c r="R52" s="20" t="n">
        <v>0</v>
      </c>
    </row>
    <row r="53" spans="1:18">
      <c r="A53" s="15" t="s">
        <v>477</v>
      </c>
      <c r="B53" s="17" t="n">
        <v>2811</v>
      </c>
      <c r="C53" s="18">
        <f>(2473.0/B53*100)</f>
        <v/>
      </c>
      <c r="D53" s="19" t="n">
        <v>338</v>
      </c>
      <c r="E53" s="18" t="n">
        <v>39.66965076</v>
      </c>
      <c r="F53" s="20" t="n">
        <v>2.90483174</v>
      </c>
      <c r="G53" s="18" t="n">
        <v>56.4877755</v>
      </c>
      <c r="H53" s="20" t="n">
        <v>3.00798423</v>
      </c>
      <c r="I53" s="18" t="s">
        <v>431</v>
      </c>
      <c r="J53" s="20" t="s">
        <v>431</v>
      </c>
      <c r="K53" s="18" t="n">
        <v>3.10969721</v>
      </c>
      <c r="L53" s="20" t="n">
        <v>1.05990204</v>
      </c>
      <c r="M53" s="18" t="n">
        <v>0</v>
      </c>
      <c r="N53" s="20" t="n">
        <v>0</v>
      </c>
      <c r="O53" s="18" t="n">
        <v>0</v>
      </c>
      <c r="P53" s="20" t="n">
        <v>0</v>
      </c>
      <c r="Q53" s="18" t="n">
        <v>0.73287653</v>
      </c>
      <c r="R53" s="20" t="n">
        <v>0.53434008</v>
      </c>
    </row>
    <row r="54" spans="1:18">
      <c r="A54" s="15" t="s">
        <v>478</v>
      </c>
      <c r="B54" s="17" t="n">
        <v>2266</v>
      </c>
      <c r="C54" s="18">
        <f>(1857.0/B54*100)</f>
        <v/>
      </c>
      <c r="D54" s="19" t="n">
        <v>409</v>
      </c>
      <c r="E54" s="18" t="n">
        <v>43.46683399</v>
      </c>
      <c r="F54" s="20" t="n">
        <v>2.69111767</v>
      </c>
      <c r="G54" s="18" t="n">
        <v>33.31875411</v>
      </c>
      <c r="H54" s="20" t="n">
        <v>2.68887639</v>
      </c>
      <c r="I54" s="18" t="s">
        <v>431</v>
      </c>
      <c r="J54" s="20" t="s">
        <v>431</v>
      </c>
      <c r="K54" s="18" t="n">
        <v>22.46048678</v>
      </c>
      <c r="L54" s="20" t="n">
        <v>2.45000622</v>
      </c>
      <c r="M54" s="18" t="n">
        <v>0</v>
      </c>
      <c r="N54" s="20" t="n">
        <v>0</v>
      </c>
      <c r="O54" s="18" t="n">
        <v>0</v>
      </c>
      <c r="P54" s="20" t="n">
        <v>0</v>
      </c>
      <c r="Q54" s="18" t="n">
        <v>0.75392511</v>
      </c>
      <c r="R54" s="20" t="n">
        <v>0.41709907</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(2357.0/B56*100)</f>
        <v/>
      </c>
      <c r="D56" s="19" t="n">
        <v>327</v>
      </c>
      <c r="E56" s="18" t="n">
        <v>14.66111053</v>
      </c>
      <c r="F56" s="20" t="n">
        <v>2.189408</v>
      </c>
      <c r="G56" s="18" t="n">
        <v>84.32630976</v>
      </c>
      <c r="H56" s="20" t="n">
        <v>2.15115232</v>
      </c>
      <c r="I56" s="18" t="s">
        <v>431</v>
      </c>
      <c r="J56" s="20" t="s">
        <v>431</v>
      </c>
      <c r="K56" s="18" t="n">
        <v>0.75688296</v>
      </c>
      <c r="L56" s="20" t="n">
        <v>0.52819687</v>
      </c>
      <c r="M56" s="18" t="n">
        <v>0</v>
      </c>
      <c r="N56" s="20" t="n">
        <v>0</v>
      </c>
      <c r="O56" s="18" t="n">
        <v>0</v>
      </c>
      <c r="P56" s="20" t="n">
        <v>0</v>
      </c>
      <c r="Q56" s="18" t="n">
        <v>0.25569675</v>
      </c>
      <c r="R56" s="20" t="n">
        <v>0.26367958</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(2923.0/B61*100)</f>
        <v/>
      </c>
      <c r="D61" s="19" t="n">
        <v>401</v>
      </c>
      <c r="E61" s="18" t="n">
        <v>15.72809329</v>
      </c>
      <c r="F61" s="20" t="n">
        <v>2.19799012</v>
      </c>
      <c r="G61" s="18" t="n">
        <v>82.30048112</v>
      </c>
      <c r="H61" s="20" t="n">
        <v>2.28667034</v>
      </c>
      <c r="I61" s="18" t="s">
        <v>431</v>
      </c>
      <c r="J61" s="20" t="s">
        <v>431</v>
      </c>
      <c r="K61" s="18" t="n">
        <v>0.79886527</v>
      </c>
      <c r="L61" s="20" t="n">
        <v>0.43662793</v>
      </c>
      <c r="M61" s="18" t="n">
        <v>0</v>
      </c>
      <c r="N61" s="20" t="n">
        <v>0</v>
      </c>
      <c r="O61" s="18" t="n">
        <v>0</v>
      </c>
      <c r="P61" s="20" t="n">
        <v>0</v>
      </c>
      <c r="Q61" s="18" t="n">
        <v>1.17256033</v>
      </c>
      <c r="R61" s="20" t="n">
        <v>0.57336949</v>
      </c>
    </row>
    <row r="62" spans="1:18">
      <c r="A62" s="15" t="s">
        <v>486</v>
      </c>
      <c r="B62" s="17" t="n">
        <v>2246</v>
      </c>
      <c r="C62" s="18">
        <f>(1987.0/B62*100)</f>
        <v/>
      </c>
      <c r="D62" s="19" t="n">
        <v>259</v>
      </c>
      <c r="E62" s="18" t="n">
        <v>14.66710097</v>
      </c>
      <c r="F62" s="20" t="n">
        <v>2.28932751</v>
      </c>
      <c r="G62" s="18" t="n">
        <v>85.33289902999999</v>
      </c>
      <c r="H62" s="20" t="n">
        <v>2.28932751</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(2546.0/B66*100)</f>
        <v/>
      </c>
      <c r="D66" s="19" t="n">
        <v>348</v>
      </c>
      <c r="E66" s="18" t="n">
        <v>36.46244171</v>
      </c>
      <c r="F66" s="20" t="n">
        <v>3.09960908</v>
      </c>
      <c r="G66" s="18" t="n">
        <v>58.10359596</v>
      </c>
      <c r="H66" s="20" t="n">
        <v>3.07833015</v>
      </c>
      <c r="I66" s="18" t="s">
        <v>431</v>
      </c>
      <c r="J66" s="20" t="s">
        <v>431</v>
      </c>
      <c r="K66" s="18" t="n">
        <v>4.62463359</v>
      </c>
      <c r="L66" s="20" t="n">
        <v>1.06372489</v>
      </c>
      <c r="M66" s="18" t="n">
        <v>0</v>
      </c>
      <c r="N66" s="20" t="n">
        <v>0</v>
      </c>
      <c r="O66" s="18" t="n">
        <v>0</v>
      </c>
      <c r="P66" s="20" t="n">
        <v>0</v>
      </c>
      <c r="Q66" s="18" t="n">
        <v>0.80932874</v>
      </c>
      <c r="R66" s="20" t="n">
        <v>0.47262956</v>
      </c>
    </row>
    <row r="67" spans="1:18">
      <c r="A67" s="15" t="s">
        <v>491</v>
      </c>
      <c r="B67" s="17" t="n">
        <v>3511</v>
      </c>
      <c r="C67" s="18">
        <f>(3166.0/B67*100)</f>
        <v/>
      </c>
      <c r="D67" s="19" t="n">
        <v>345</v>
      </c>
      <c r="E67" s="18" t="n">
        <v>30.07407781</v>
      </c>
      <c r="F67" s="20" t="n">
        <v>2.58154519</v>
      </c>
      <c r="G67" s="18" t="n">
        <v>67.12760025</v>
      </c>
      <c r="H67" s="20" t="n">
        <v>2.83535189</v>
      </c>
      <c r="I67" s="18" t="s">
        <v>431</v>
      </c>
      <c r="J67" s="20" t="s">
        <v>431</v>
      </c>
      <c r="K67" s="18" t="n">
        <v>1.20207956</v>
      </c>
      <c r="L67" s="20" t="n">
        <v>0.6005745</v>
      </c>
      <c r="M67" s="18" t="n">
        <v>0</v>
      </c>
      <c r="N67" s="20" t="n">
        <v>0</v>
      </c>
      <c r="O67" s="18" t="n">
        <v>0</v>
      </c>
      <c r="P67" s="20" t="n">
        <v>0</v>
      </c>
      <c r="Q67" s="18" t="n">
        <v>1.59624239</v>
      </c>
      <c r="R67" s="20" t="n">
        <v>0.72185205</v>
      </c>
    </row>
    <row r="68" spans="1:18">
      <c r="A68" s="15" t="s">
        <v>492</v>
      </c>
      <c r="B68" s="17" t="n">
        <v>6049</v>
      </c>
      <c r="C68" s="18">
        <f>(5053.0/B68*100)</f>
        <v/>
      </c>
      <c r="D68" s="19" t="n">
        <v>996</v>
      </c>
      <c r="E68" s="18" t="n">
        <v>37.65810707</v>
      </c>
      <c r="F68" s="20" t="n">
        <v>1.72458176</v>
      </c>
      <c r="G68" s="18" t="n">
        <v>52.5436365</v>
      </c>
      <c r="H68" s="20" t="n">
        <v>1.63190527</v>
      </c>
      <c r="I68" s="18" t="s">
        <v>431</v>
      </c>
      <c r="J68" s="20" t="s">
        <v>431</v>
      </c>
      <c r="K68" s="18" t="n">
        <v>8.48886362</v>
      </c>
      <c r="L68" s="20" t="n">
        <v>0.8823374899999999</v>
      </c>
      <c r="M68" s="18" t="n">
        <v>0</v>
      </c>
      <c r="N68" s="20" t="n">
        <v>0</v>
      </c>
      <c r="O68" s="18" t="n">
        <v>0</v>
      </c>
      <c r="P68" s="20" t="n">
        <v>0</v>
      </c>
      <c r="Q68" s="18" t="n">
        <v>1.3093928</v>
      </c>
      <c r="R68" s="20" t="n">
        <v>0.37724088</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(2595.0/B70*100)</f>
        <v/>
      </c>
      <c r="D70" s="19" t="n">
        <v>334</v>
      </c>
      <c r="E70" s="18" t="n">
        <v>16.04499466</v>
      </c>
      <c r="F70" s="20" t="n">
        <v>2.07079493</v>
      </c>
      <c r="G70" s="18" t="n">
        <v>83.0387715</v>
      </c>
      <c r="H70" s="20" t="n">
        <v>2.04019309</v>
      </c>
      <c r="I70" s="18" t="s">
        <v>431</v>
      </c>
      <c r="J70" s="20" t="s">
        <v>431</v>
      </c>
      <c r="K70" s="18" t="n">
        <v>0.91623383</v>
      </c>
      <c r="L70" s="20" t="n">
        <v>0.38703907</v>
      </c>
      <c r="M70" s="18" t="n">
        <v>0</v>
      </c>
      <c r="N70" s="20" t="n">
        <v>0</v>
      </c>
      <c r="O70" s="18" t="n">
        <v>0</v>
      </c>
      <c r="P70" s="20" t="n">
        <v>0</v>
      </c>
      <c r="Q70" s="18" t="n">
        <v>0</v>
      </c>
      <c r="R70" s="20" t="n">
        <v>0</v>
      </c>
    </row>
    <row r="71" spans="1:18">
      <c r="A71" s="15" t="s">
        <v>495</v>
      </c>
      <c r="B71" s="17" t="n">
        <v>3142</v>
      </c>
      <c r="C71" s="18">
        <f>(2757.0/B71*100)</f>
        <v/>
      </c>
      <c r="D71" s="19" t="n">
        <v>385</v>
      </c>
      <c r="E71" s="18" t="n">
        <v>17.9411097</v>
      </c>
      <c r="F71" s="20" t="n">
        <v>1.57448399</v>
      </c>
      <c r="G71" s="18" t="n">
        <v>81.57952948000001</v>
      </c>
      <c r="H71" s="20" t="n">
        <v>1.56944942</v>
      </c>
      <c r="I71" s="18" t="s">
        <v>431</v>
      </c>
      <c r="J71" s="20" t="s">
        <v>431</v>
      </c>
      <c r="K71" s="18" t="n">
        <v>0.47936082</v>
      </c>
      <c r="L71" s="20" t="n">
        <v>0.34201534</v>
      </c>
      <c r="M71" s="18" t="n">
        <v>0</v>
      </c>
      <c r="N71" s="20" t="n">
        <v>0</v>
      </c>
      <c r="O71" s="18" t="n">
        <v>0</v>
      </c>
      <c r="P71" s="20" t="n">
        <v>0</v>
      </c>
      <c r="Q71" s="18" t="n">
        <v>0</v>
      </c>
      <c r="R71" s="20" t="n">
        <v>0</v>
      </c>
    </row>
    <row r="72" spans="1:18">
      <c r="A72" s="15" t="s">
        <v>496</v>
      </c>
      <c r="B72" s="17" t="n">
        <v>3889</v>
      </c>
      <c r="C72" s="18">
        <f>(3426.0/B72*100)</f>
        <v/>
      </c>
      <c r="D72" s="19" t="n">
        <v>463</v>
      </c>
      <c r="E72" s="18" t="n">
        <v>13.75969838</v>
      </c>
      <c r="F72" s="20" t="n">
        <v>1.65432104</v>
      </c>
      <c r="G72" s="18" t="n">
        <v>85.80177088000001</v>
      </c>
      <c r="H72" s="20" t="n">
        <v>1.68988193</v>
      </c>
      <c r="I72" s="18" t="s">
        <v>431</v>
      </c>
      <c r="J72" s="20" t="s">
        <v>431</v>
      </c>
      <c r="K72" s="18" t="n">
        <v>0.43853074</v>
      </c>
      <c r="L72" s="20" t="n">
        <v>0.3178837</v>
      </c>
      <c r="M72" s="18" t="n">
        <v>0</v>
      </c>
      <c r="N72" s="20" t="n">
        <v>0</v>
      </c>
      <c r="O72" s="18" t="n">
        <v>0</v>
      </c>
      <c r="P72" s="20" t="n">
        <v>0</v>
      </c>
      <c r="Q72" s="18" t="n">
        <v>0</v>
      </c>
      <c r="R72" s="20" t="n">
        <v>0</v>
      </c>
    </row>
    <row r="73" spans="1:18">
      <c r="A73" s="15" t="s">
        <v>497</v>
      </c>
      <c r="B73" s="17" t="n">
        <v>3597</v>
      </c>
      <c r="C73" s="18">
        <f>(3179.0/B73*100)</f>
        <v/>
      </c>
      <c r="D73" s="19" t="n">
        <v>418</v>
      </c>
      <c r="E73" s="18" t="n">
        <v>40.14228261</v>
      </c>
      <c r="F73" s="20" t="n">
        <v>3.28671127</v>
      </c>
      <c r="G73" s="18" t="n">
        <v>58.56086091</v>
      </c>
      <c r="H73" s="20" t="n">
        <v>3.38026044</v>
      </c>
      <c r="I73" s="18" t="s">
        <v>431</v>
      </c>
      <c r="J73" s="20" t="s">
        <v>431</v>
      </c>
      <c r="K73" s="18" t="n">
        <v>0.01072998</v>
      </c>
      <c r="L73" s="20" t="n">
        <v>0.01067218</v>
      </c>
      <c r="M73" s="18" t="n">
        <v>0</v>
      </c>
      <c r="N73" s="20" t="n">
        <v>0</v>
      </c>
      <c r="O73" s="18" t="n">
        <v>0</v>
      </c>
      <c r="P73" s="20" t="n">
        <v>0</v>
      </c>
      <c r="Q73" s="18" t="n">
        <v>1.28612649</v>
      </c>
      <c r="R73" s="20" t="n">
        <v>0.74096258</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(2136.0/B75*100)</f>
        <v/>
      </c>
      <c r="D75" s="19" t="n">
        <v>270</v>
      </c>
      <c r="E75" s="18" t="n">
        <v>37.72793453</v>
      </c>
      <c r="F75" s="20" t="n">
        <v>3.13576009</v>
      </c>
      <c r="G75" s="18" t="n">
        <v>51.63836051</v>
      </c>
      <c r="H75" s="20" t="n">
        <v>3.32238792</v>
      </c>
      <c r="I75" s="18" t="s">
        <v>431</v>
      </c>
      <c r="J75" s="20" t="s">
        <v>431</v>
      </c>
      <c r="K75" s="18" t="n">
        <v>7.69600012</v>
      </c>
      <c r="L75" s="20" t="n">
        <v>1.77463718</v>
      </c>
      <c r="M75" s="18" t="n">
        <v>0</v>
      </c>
      <c r="N75" s="20" t="n">
        <v>0</v>
      </c>
      <c r="O75" s="18" t="n">
        <v>0</v>
      </c>
      <c r="P75" s="20" t="n">
        <v>0</v>
      </c>
      <c r="Q75" s="18" t="n">
        <v>2.93770484</v>
      </c>
      <c r="R75" s="20" t="n">
        <v>1.14014734</v>
      </c>
    </row>
    <row r="76" spans="1:18">
      <c r="A76" s="15" t="s">
        <v>500</v>
      </c>
      <c r="B76" s="17" t="n">
        <v>7052</v>
      </c>
      <c r="C76" s="18">
        <f>(6215.0/B76*100)</f>
        <v/>
      </c>
      <c r="D76" s="19" t="n">
        <v>837</v>
      </c>
      <c r="E76" s="18" t="n">
        <v>34.86111333</v>
      </c>
      <c r="F76" s="20" t="n">
        <v>1.88900659</v>
      </c>
      <c r="G76" s="18" t="n">
        <v>60.8350692</v>
      </c>
      <c r="H76" s="20" t="n">
        <v>2.02610746</v>
      </c>
      <c r="I76" s="18" t="s">
        <v>431</v>
      </c>
      <c r="J76" s="20" t="s">
        <v>431</v>
      </c>
      <c r="K76" s="18" t="n">
        <v>3.27606781</v>
      </c>
      <c r="L76" s="20" t="n">
        <v>0.71738093</v>
      </c>
      <c r="M76" s="18" t="n">
        <v>0</v>
      </c>
      <c r="N76" s="20" t="n">
        <v>0</v>
      </c>
      <c r="O76" s="18" t="n">
        <v>0</v>
      </c>
      <c r="P76" s="20" t="n">
        <v>0</v>
      </c>
      <c r="Q76" s="18" t="n">
        <v>1.02774966</v>
      </c>
      <c r="R76" s="20" t="n">
        <v>0.29084961</v>
      </c>
    </row>
    <row r="77" spans="1:18">
      <c r="A77" s="15" t="s">
        <v>501</v>
      </c>
      <c r="B77" s="17" t="n">
        <v>2908</v>
      </c>
      <c r="C77" s="18">
        <f>(2600.0/B77*100)</f>
        <v/>
      </c>
      <c r="D77" s="19" t="n">
        <v>308</v>
      </c>
      <c r="E77" s="18" t="n">
        <v>26.32764135</v>
      </c>
      <c r="F77" s="20" t="n">
        <v>2.63480312</v>
      </c>
      <c r="G77" s="18" t="n">
        <v>64.84349330000001</v>
      </c>
      <c r="H77" s="20" t="n">
        <v>2.94917582</v>
      </c>
      <c r="I77" s="18" t="s">
        <v>431</v>
      </c>
      <c r="J77" s="20" t="s">
        <v>431</v>
      </c>
      <c r="K77" s="18" t="n">
        <v>8.14739069</v>
      </c>
      <c r="L77" s="20" t="n">
        <v>1.6967536</v>
      </c>
      <c r="M77" s="18" t="n">
        <v>0</v>
      </c>
      <c r="N77" s="20" t="n">
        <v>0</v>
      </c>
      <c r="O77" s="18" t="n">
        <v>0</v>
      </c>
      <c r="P77" s="20" t="n">
        <v>0</v>
      </c>
      <c r="Q77" s="18" t="n">
        <v>0.68147466</v>
      </c>
      <c r="R77" s="20" t="n">
        <v>0.47363272</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(3658.0/B81*100)</f>
        <v/>
      </c>
      <c r="D81" s="19" t="n">
        <v>505</v>
      </c>
      <c r="E81" s="18" t="n">
        <v>32.89627608</v>
      </c>
      <c r="F81" s="20" t="n">
        <v>2.74064888</v>
      </c>
      <c r="G81" s="18" t="n">
        <v>65.85726897000001</v>
      </c>
      <c r="H81" s="20" t="n">
        <v>2.76771106</v>
      </c>
      <c r="I81" s="18" t="s">
        <v>431</v>
      </c>
      <c r="J81" s="20" t="s">
        <v>431</v>
      </c>
      <c r="K81" s="18" t="n">
        <v>0.21729514</v>
      </c>
      <c r="L81" s="20" t="n">
        <v>0.15280857</v>
      </c>
      <c r="M81" s="18" t="n">
        <v>0</v>
      </c>
      <c r="N81" s="20" t="n">
        <v>0</v>
      </c>
      <c r="O81" s="18" t="n">
        <v>0</v>
      </c>
      <c r="P81" s="20" t="n">
        <v>0</v>
      </c>
      <c r="Q81" s="18" t="n">
        <v>1.02915981</v>
      </c>
      <c r="R81" s="20" t="n">
        <v>0.5690734200000001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(6484.0/B7*100)</f>
        <v/>
      </c>
      <c r="D7" s="19" t="n">
        <v>883</v>
      </c>
      <c r="E7" s="18" t="n">
        <v>45.09705677</v>
      </c>
      <c r="F7" s="20" t="n">
        <v>1.82177877</v>
      </c>
      <c r="G7" s="18" t="n">
        <v>52.88653792</v>
      </c>
      <c r="H7" s="20" t="n">
        <v>2.01726654</v>
      </c>
      <c r="I7" s="18" t="s">
        <v>431</v>
      </c>
      <c r="J7" s="20" t="s">
        <v>431</v>
      </c>
      <c r="K7" s="18" t="n">
        <v>2.01640531</v>
      </c>
      <c r="L7" s="20" t="n">
        <v>0.59732929</v>
      </c>
      <c r="M7" s="18" t="n">
        <v>0</v>
      </c>
      <c r="N7" s="20" t="n">
        <v>0</v>
      </c>
      <c r="O7" s="18" t="n">
        <v>0</v>
      </c>
      <c r="P7" s="20" t="n">
        <v>0</v>
      </c>
      <c r="Q7" s="18" t="n">
        <v>0</v>
      </c>
      <c r="R7" s="20" t="n">
        <v>0</v>
      </c>
    </row>
    <row r="8" spans="1:18">
      <c r="A8" s="15" t="s">
        <v>432</v>
      </c>
      <c r="B8" s="17" t="n">
        <v>3564</v>
      </c>
      <c r="C8" s="18">
        <f>(3151.0/B8*100)</f>
        <v/>
      </c>
      <c r="D8" s="19" t="n">
        <v>413</v>
      </c>
      <c r="E8" s="18" t="n">
        <v>30.19736048</v>
      </c>
      <c r="F8" s="20" t="n">
        <v>2.54467641</v>
      </c>
      <c r="G8" s="18" t="n">
        <v>67.18739719</v>
      </c>
      <c r="H8" s="20" t="n">
        <v>2.67900193</v>
      </c>
      <c r="I8" s="18" t="s">
        <v>431</v>
      </c>
      <c r="J8" s="20" t="s">
        <v>431</v>
      </c>
      <c r="K8" s="18" t="n">
        <v>2.61524233</v>
      </c>
      <c r="L8" s="20" t="n">
        <v>0.90812511</v>
      </c>
      <c r="M8" s="18" t="n">
        <v>0</v>
      </c>
      <c r="N8" s="20" t="n">
        <v>0</v>
      </c>
      <c r="O8" s="18" t="n">
        <v>0</v>
      </c>
      <c r="P8" s="20" t="n">
        <v>0</v>
      </c>
      <c r="Q8" s="18" t="n">
        <v>0</v>
      </c>
      <c r="R8" s="20" t="n">
        <v>0</v>
      </c>
    </row>
    <row r="9" spans="1:18">
      <c r="A9" s="15" t="s">
        <v>433</v>
      </c>
      <c r="B9" s="17" t="n">
        <v>4899</v>
      </c>
      <c r="C9" s="18">
        <f>(4358.0/B9*100)</f>
        <v/>
      </c>
      <c r="D9" s="19" t="n">
        <v>541</v>
      </c>
      <c r="E9" s="18" t="n">
        <v>32.28064532</v>
      </c>
      <c r="F9" s="20" t="n">
        <v>2.01166368</v>
      </c>
      <c r="G9" s="18" t="n">
        <v>64.13325407000001</v>
      </c>
      <c r="H9" s="20" t="n">
        <v>2.08913009</v>
      </c>
      <c r="I9" s="18" t="s">
        <v>431</v>
      </c>
      <c r="J9" s="20" t="s">
        <v>431</v>
      </c>
      <c r="K9" s="18" t="n">
        <v>3.58610061</v>
      </c>
      <c r="L9" s="20" t="n">
        <v>0.68395298</v>
      </c>
      <c r="M9" s="18" t="n">
        <v>0</v>
      </c>
      <c r="N9" s="20" t="n">
        <v>0</v>
      </c>
      <c r="O9" s="18" t="n">
        <v>0</v>
      </c>
      <c r="P9" s="20" t="n">
        <v>0</v>
      </c>
      <c r="Q9" s="18" t="n">
        <v>0</v>
      </c>
      <c r="R9" s="20" t="n">
        <v>0</v>
      </c>
    </row>
    <row r="10" spans="1:18">
      <c r="A10" s="15" t="s">
        <v>434</v>
      </c>
      <c r="B10" s="17" t="n">
        <v>10036</v>
      </c>
      <c r="C10" s="18">
        <f>(8864.0/B10*100)</f>
        <v/>
      </c>
      <c r="D10" s="19" t="n">
        <v>1172</v>
      </c>
      <c r="E10" s="18" t="n">
        <v>39.59673924</v>
      </c>
      <c r="F10" s="20" t="n">
        <v>1.85538688</v>
      </c>
      <c r="G10" s="18" t="n">
        <v>58.51660521</v>
      </c>
      <c r="H10" s="20" t="n">
        <v>1.85128935</v>
      </c>
      <c r="I10" s="18" t="s">
        <v>431</v>
      </c>
      <c r="J10" s="20" t="s">
        <v>431</v>
      </c>
      <c r="K10" s="18" t="n">
        <v>1.88665555</v>
      </c>
      <c r="L10" s="20" t="n">
        <v>0.55266199</v>
      </c>
      <c r="M10" s="18" t="n">
        <v>0</v>
      </c>
      <c r="N10" s="20" t="n">
        <v>0</v>
      </c>
      <c r="O10" s="18" t="n">
        <v>0</v>
      </c>
      <c r="P10" s="20" t="n">
        <v>0</v>
      </c>
      <c r="Q10" s="18" t="n">
        <v>0</v>
      </c>
      <c r="R10" s="20" t="n">
        <v>0</v>
      </c>
    </row>
    <row r="11" spans="1:18">
      <c r="A11" s="15" t="s">
        <v>435</v>
      </c>
      <c r="B11" s="17" t="n">
        <v>3553</v>
      </c>
      <c r="C11" s="18">
        <f>(3147.0/B11*100)</f>
        <v/>
      </c>
      <c r="D11" s="19" t="n">
        <v>406</v>
      </c>
      <c r="E11" s="18" t="n">
        <v>42.02232255</v>
      </c>
      <c r="F11" s="20" t="n">
        <v>2.93626471</v>
      </c>
      <c r="G11" s="18" t="n">
        <v>54.04893668</v>
      </c>
      <c r="H11" s="20" t="n">
        <v>3.03913721</v>
      </c>
      <c r="I11" s="18" t="s">
        <v>431</v>
      </c>
      <c r="J11" s="20" t="s">
        <v>431</v>
      </c>
      <c r="K11" s="18" t="n">
        <v>3.92874076</v>
      </c>
      <c r="L11" s="20" t="n">
        <v>1.14098833</v>
      </c>
      <c r="M11" s="18" t="n">
        <v>0</v>
      </c>
      <c r="N11" s="20" t="n">
        <v>0</v>
      </c>
      <c r="O11" s="18" t="n">
        <v>0</v>
      </c>
      <c r="P11" s="20" t="n">
        <v>0</v>
      </c>
      <c r="Q11" s="18" t="n">
        <v>0</v>
      </c>
      <c r="R11" s="20" t="n">
        <v>0</v>
      </c>
    </row>
    <row r="12" spans="1:18">
      <c r="A12" s="15" t="s">
        <v>436</v>
      </c>
      <c r="B12" s="17" t="n">
        <v>3472</v>
      </c>
      <c r="C12" s="18">
        <f>(3062.0/B12*100)</f>
        <v/>
      </c>
      <c r="D12" s="19" t="n">
        <v>410</v>
      </c>
      <c r="E12" s="18" t="n">
        <v>27.50814264</v>
      </c>
      <c r="F12" s="20" t="n">
        <v>2.48462339</v>
      </c>
      <c r="G12" s="18" t="n">
        <v>69.81547883</v>
      </c>
      <c r="H12" s="20" t="n">
        <v>2.50836387</v>
      </c>
      <c r="I12" s="18" t="s">
        <v>431</v>
      </c>
      <c r="J12" s="20" t="s">
        <v>431</v>
      </c>
      <c r="K12" s="18" t="n">
        <v>2.67637852</v>
      </c>
      <c r="L12" s="20" t="n">
        <v>0.84608633</v>
      </c>
      <c r="M12" s="18" t="n">
        <v>0</v>
      </c>
      <c r="N12" s="20" t="n">
        <v>0</v>
      </c>
      <c r="O12" s="18" t="n">
        <v>0</v>
      </c>
      <c r="P12" s="20" t="n">
        <v>0</v>
      </c>
      <c r="Q12" s="18" t="n">
        <v>0</v>
      </c>
      <c r="R12" s="20" t="n">
        <v>0</v>
      </c>
    </row>
    <row r="13" spans="1:18">
      <c r="A13" s="15" t="s">
        <v>437</v>
      </c>
      <c r="B13" s="17" t="n">
        <v>3559</v>
      </c>
      <c r="C13" s="18">
        <f>(3169.0/B13*100)</f>
        <v/>
      </c>
      <c r="D13" s="19" t="n">
        <v>390</v>
      </c>
      <c r="E13" s="18" t="n">
        <v>34.81682253</v>
      </c>
      <c r="F13" s="20" t="n">
        <v>3.28573997</v>
      </c>
      <c r="G13" s="18" t="n">
        <v>62.72838862</v>
      </c>
      <c r="H13" s="20" t="n">
        <v>3.34951432</v>
      </c>
      <c r="I13" s="18" t="s">
        <v>431</v>
      </c>
      <c r="J13" s="20" t="s">
        <v>431</v>
      </c>
      <c r="K13" s="18" t="n">
        <v>2.45478885</v>
      </c>
      <c r="L13" s="20" t="n">
        <v>0.72254538</v>
      </c>
      <c r="M13" s="18" t="n">
        <v>0</v>
      </c>
      <c r="N13" s="20" t="n">
        <v>0</v>
      </c>
      <c r="O13" s="18" t="n">
        <v>0</v>
      </c>
      <c r="P13" s="20" t="n">
        <v>0</v>
      </c>
      <c r="Q13" s="18" t="n">
        <v>0</v>
      </c>
      <c r="R13" s="20" t="n">
        <v>0</v>
      </c>
    </row>
    <row r="14" spans="1:18">
      <c r="A14" s="15" t="s">
        <v>438</v>
      </c>
      <c r="B14" s="17" t="n">
        <v>2799</v>
      </c>
      <c r="C14" s="18">
        <f>(2452.0/B14*100)</f>
        <v/>
      </c>
      <c r="D14" s="19" t="n">
        <v>347</v>
      </c>
      <c r="E14" s="18" t="n">
        <v>46.11668991</v>
      </c>
      <c r="F14" s="20" t="n">
        <v>3.38641336</v>
      </c>
      <c r="G14" s="18" t="n">
        <v>52.11123675</v>
      </c>
      <c r="H14" s="20" t="n">
        <v>3.2493611</v>
      </c>
      <c r="I14" s="18" t="s">
        <v>431</v>
      </c>
      <c r="J14" s="20" t="s">
        <v>431</v>
      </c>
      <c r="K14" s="18" t="n">
        <v>1.77207334</v>
      </c>
      <c r="L14" s="20" t="n">
        <v>0.61747675</v>
      </c>
      <c r="M14" s="18" t="n">
        <v>0</v>
      </c>
      <c r="N14" s="20" t="n">
        <v>0</v>
      </c>
      <c r="O14" s="18" t="n">
        <v>0</v>
      </c>
      <c r="P14" s="20" t="n">
        <v>0</v>
      </c>
      <c r="Q14" s="18" t="n">
        <v>0</v>
      </c>
      <c r="R14" s="20" t="n">
        <v>0</v>
      </c>
    </row>
    <row r="15" spans="1:18">
      <c r="A15" s="15" t="s">
        <v>439</v>
      </c>
      <c r="B15" s="17" t="n">
        <v>3019</v>
      </c>
      <c r="C15" s="18">
        <f>(2675.0/B15*100)</f>
        <v/>
      </c>
      <c r="D15" s="19" t="n">
        <v>344</v>
      </c>
      <c r="E15" s="18" t="n">
        <v>30.99619056</v>
      </c>
      <c r="F15" s="20" t="n">
        <v>2.71340609</v>
      </c>
      <c r="G15" s="18" t="n">
        <v>66.41225894</v>
      </c>
      <c r="H15" s="20" t="n">
        <v>2.72324274</v>
      </c>
      <c r="I15" s="18" t="s">
        <v>431</v>
      </c>
      <c r="J15" s="20" t="s">
        <v>431</v>
      </c>
      <c r="K15" s="18" t="n">
        <v>2.5915505</v>
      </c>
      <c r="L15" s="20" t="n">
        <v>0.8580107300000001</v>
      </c>
      <c r="M15" s="18" t="n">
        <v>0</v>
      </c>
      <c r="N15" s="20" t="n">
        <v>0</v>
      </c>
      <c r="O15" s="18" t="n">
        <v>0</v>
      </c>
      <c r="P15" s="20" t="n">
        <v>0</v>
      </c>
      <c r="Q15" s="18" t="n">
        <v>0</v>
      </c>
      <c r="R15" s="20" t="n">
        <v>0</v>
      </c>
    </row>
    <row r="16" spans="1:18">
      <c r="A16" s="15" t="s">
        <v>440</v>
      </c>
      <c r="B16" s="17" t="n">
        <v>2997</v>
      </c>
      <c r="C16" s="18">
        <f>(2632.0/B16*100)</f>
        <v/>
      </c>
      <c r="D16" s="19" t="n">
        <v>365</v>
      </c>
      <c r="E16" s="18" t="n">
        <v>32.53494583</v>
      </c>
      <c r="F16" s="20" t="n">
        <v>2.46667172</v>
      </c>
      <c r="G16" s="18" t="n">
        <v>59.85470552</v>
      </c>
      <c r="H16" s="20" t="n">
        <v>2.63149477</v>
      </c>
      <c r="I16" s="18" t="s">
        <v>431</v>
      </c>
      <c r="J16" s="20" t="s">
        <v>431</v>
      </c>
      <c r="K16" s="18" t="n">
        <v>7.61034866</v>
      </c>
      <c r="L16" s="20" t="n">
        <v>1.55463076</v>
      </c>
      <c r="M16" s="18" t="n">
        <v>0</v>
      </c>
      <c r="N16" s="20" t="n">
        <v>0</v>
      </c>
      <c r="O16" s="18" t="n">
        <v>0</v>
      </c>
      <c r="P16" s="20" t="n">
        <v>0</v>
      </c>
      <c r="Q16" s="18" t="n">
        <v>0</v>
      </c>
      <c r="R16" s="20" t="n">
        <v>0</v>
      </c>
    </row>
    <row r="17" spans="1:18">
      <c r="A17" s="15" t="s">
        <v>441</v>
      </c>
      <c r="B17" s="17" t="n">
        <v>3307</v>
      </c>
      <c r="C17" s="18">
        <f>(2925.0/B17*100)</f>
        <v/>
      </c>
      <c r="D17" s="19" t="n">
        <v>382</v>
      </c>
      <c r="E17" s="18" t="n">
        <v>21.5188834</v>
      </c>
      <c r="F17" s="20" t="n">
        <v>2.20361324</v>
      </c>
      <c r="G17" s="18" t="n">
        <v>73.83453065</v>
      </c>
      <c r="H17" s="20" t="n">
        <v>2.41560722</v>
      </c>
      <c r="I17" s="18" t="s">
        <v>431</v>
      </c>
      <c r="J17" s="20" t="s">
        <v>431</v>
      </c>
      <c r="K17" s="18" t="n">
        <v>4.64658595</v>
      </c>
      <c r="L17" s="20" t="n">
        <v>1.03384797</v>
      </c>
      <c r="M17" s="18" t="n">
        <v>0</v>
      </c>
      <c r="N17" s="20" t="n">
        <v>0</v>
      </c>
      <c r="O17" s="18" t="n">
        <v>0</v>
      </c>
      <c r="P17" s="20" t="n">
        <v>0</v>
      </c>
      <c r="Q17" s="18" t="n">
        <v>0</v>
      </c>
      <c r="R17" s="20" t="n">
        <v>0</v>
      </c>
    </row>
    <row r="18" spans="1:18">
      <c r="A18" s="15" t="s">
        <v>442</v>
      </c>
      <c r="B18" s="17" t="n">
        <v>2826</v>
      </c>
      <c r="C18" s="18">
        <f>(2466.0/B18*100)</f>
        <v/>
      </c>
      <c r="D18" s="19" t="n">
        <v>360</v>
      </c>
      <c r="E18" s="18" t="n">
        <v>39.61586991</v>
      </c>
      <c r="F18" s="20" t="n">
        <v>2.53162799</v>
      </c>
      <c r="G18" s="18" t="n">
        <v>54.88393279</v>
      </c>
      <c r="H18" s="20" t="n">
        <v>2.53700455</v>
      </c>
      <c r="I18" s="18" t="s">
        <v>431</v>
      </c>
      <c r="J18" s="20" t="s">
        <v>431</v>
      </c>
      <c r="K18" s="18" t="n">
        <v>5.5001973</v>
      </c>
      <c r="L18" s="20" t="n">
        <v>1.63265965</v>
      </c>
      <c r="M18" s="18" t="n">
        <v>0</v>
      </c>
      <c r="N18" s="20" t="n">
        <v>0</v>
      </c>
      <c r="O18" s="18" t="n">
        <v>0</v>
      </c>
      <c r="P18" s="20" t="n">
        <v>0</v>
      </c>
      <c r="Q18" s="18" t="n">
        <v>0</v>
      </c>
      <c r="R18" s="20" t="n">
        <v>0</v>
      </c>
    </row>
    <row r="19" spans="1:18">
      <c r="A19" s="15" t="s">
        <v>443</v>
      </c>
      <c r="B19" s="17" t="n">
        <v>2808</v>
      </c>
      <c r="C19" s="18">
        <f>(2474.0/B19*100)</f>
        <v/>
      </c>
      <c r="D19" s="19" t="n">
        <v>334</v>
      </c>
      <c r="E19" s="18" t="n">
        <v>39.22536025</v>
      </c>
      <c r="F19" s="20" t="n">
        <v>2.54347414</v>
      </c>
      <c r="G19" s="18" t="n">
        <v>59.28881901</v>
      </c>
      <c r="H19" s="20" t="n">
        <v>2.32806943</v>
      </c>
      <c r="I19" s="18" t="s">
        <v>431</v>
      </c>
      <c r="J19" s="20" t="s">
        <v>431</v>
      </c>
      <c r="K19" s="18" t="n">
        <v>1.48582074</v>
      </c>
      <c r="L19" s="20" t="n">
        <v>0.82947263</v>
      </c>
      <c r="M19" s="18" t="n">
        <v>0</v>
      </c>
      <c r="N19" s="20" t="n">
        <v>0</v>
      </c>
      <c r="O19" s="18" t="n">
        <v>0</v>
      </c>
      <c r="P19" s="20" t="n">
        <v>0</v>
      </c>
      <c r="Q19" s="18" t="n">
        <v>0</v>
      </c>
      <c r="R19" s="20" t="n">
        <v>0</v>
      </c>
    </row>
    <row r="20" spans="1:18">
      <c r="A20" s="15" t="s">
        <v>444</v>
      </c>
      <c r="B20" s="17" t="n">
        <v>1630</v>
      </c>
      <c r="C20" s="18">
        <f>(1436.0/B20*100)</f>
        <v/>
      </c>
      <c r="D20" s="19" t="n">
        <v>194</v>
      </c>
      <c r="E20" s="18" t="n">
        <v>41.3959576</v>
      </c>
      <c r="F20" s="20" t="n">
        <v>3.5964436</v>
      </c>
      <c r="G20" s="18" t="n">
        <v>55.09309885</v>
      </c>
      <c r="H20" s="20" t="n">
        <v>3.74663555</v>
      </c>
      <c r="I20" s="18" t="s">
        <v>431</v>
      </c>
      <c r="J20" s="20" t="s">
        <v>431</v>
      </c>
      <c r="K20" s="18" t="n">
        <v>3.51094355</v>
      </c>
      <c r="L20" s="20" t="n">
        <v>1.53017338</v>
      </c>
      <c r="M20" s="18" t="n">
        <v>0</v>
      </c>
      <c r="N20" s="20" t="n">
        <v>0</v>
      </c>
      <c r="O20" s="18" t="n">
        <v>0</v>
      </c>
      <c r="P20" s="20" t="n">
        <v>0</v>
      </c>
      <c r="Q20" s="18" t="n">
        <v>0</v>
      </c>
      <c r="R20" s="20" t="n">
        <v>0</v>
      </c>
    </row>
    <row r="21" spans="1:18">
      <c r="A21" s="15" t="s">
        <v>445</v>
      </c>
      <c r="B21" s="17" t="n">
        <v>2908</v>
      </c>
      <c r="C21" s="18">
        <f>(2452.0/B21*100)</f>
        <v/>
      </c>
      <c r="D21" s="19" t="n">
        <v>456</v>
      </c>
      <c r="E21" s="18" t="n">
        <v>39.95062488</v>
      </c>
      <c r="F21" s="20" t="n">
        <v>2.71535818</v>
      </c>
      <c r="G21" s="18" t="n">
        <v>58.68970121</v>
      </c>
      <c r="H21" s="20" t="n">
        <v>2.8183587</v>
      </c>
      <c r="I21" s="18" t="s">
        <v>431</v>
      </c>
      <c r="J21" s="20" t="s">
        <v>431</v>
      </c>
      <c r="K21" s="18" t="n">
        <v>1.35967392</v>
      </c>
      <c r="L21" s="20" t="n">
        <v>0.55309008</v>
      </c>
      <c r="M21" s="18" t="n">
        <v>0</v>
      </c>
      <c r="N21" s="20" t="n">
        <v>0</v>
      </c>
      <c r="O21" s="18" t="n">
        <v>0</v>
      </c>
      <c r="P21" s="20" t="n">
        <v>0</v>
      </c>
      <c r="Q21" s="18" t="n">
        <v>0</v>
      </c>
      <c r="R21" s="20" t="n">
        <v>0</v>
      </c>
    </row>
    <row r="22" spans="1:18">
      <c r="A22" s="15" t="s">
        <v>446</v>
      </c>
      <c r="B22" s="17" t="n">
        <v>2931</v>
      </c>
      <c r="C22" s="18">
        <f>(2582.0/B22*100)</f>
        <v/>
      </c>
      <c r="D22" s="19" t="n">
        <v>349</v>
      </c>
      <c r="E22" s="18" t="n">
        <v>43.14716893</v>
      </c>
      <c r="F22" s="20" t="n">
        <v>3.23681282</v>
      </c>
      <c r="G22" s="18" t="n">
        <v>52.53907429</v>
      </c>
      <c r="H22" s="20" t="n">
        <v>3.05418569</v>
      </c>
      <c r="I22" s="18" t="s">
        <v>431</v>
      </c>
      <c r="J22" s="20" t="s">
        <v>431</v>
      </c>
      <c r="K22" s="18" t="n">
        <v>4.31375678</v>
      </c>
      <c r="L22" s="20" t="n">
        <v>1.30589257</v>
      </c>
      <c r="M22" s="18" t="n">
        <v>0</v>
      </c>
      <c r="N22" s="20" t="n">
        <v>0</v>
      </c>
      <c r="O22" s="18" t="n">
        <v>0</v>
      </c>
      <c r="P22" s="20" t="n">
        <v>0</v>
      </c>
      <c r="Q22" s="18" t="n">
        <v>0</v>
      </c>
      <c r="R22" s="20" t="n">
        <v>0</v>
      </c>
    </row>
    <row r="23" spans="1:18">
      <c r="A23" s="15" t="s">
        <v>447</v>
      </c>
      <c r="B23" s="17" t="n">
        <v>5791</v>
      </c>
      <c r="C23" s="18">
        <f>(5118.0/B23*100)</f>
        <v/>
      </c>
      <c r="D23" s="19" t="n">
        <v>673</v>
      </c>
      <c r="E23" s="18" t="n">
        <v>23.83487126</v>
      </c>
      <c r="F23" s="20" t="n">
        <v>2.0275435</v>
      </c>
      <c r="G23" s="18" t="n">
        <v>71.74181007999999</v>
      </c>
      <c r="H23" s="20" t="n">
        <v>2.24631734</v>
      </c>
      <c r="I23" s="18" t="s">
        <v>431</v>
      </c>
      <c r="J23" s="20" t="s">
        <v>431</v>
      </c>
      <c r="K23" s="18" t="n">
        <v>4.42331866</v>
      </c>
      <c r="L23" s="20" t="n">
        <v>1.25881324</v>
      </c>
      <c r="M23" s="18" t="n">
        <v>0</v>
      </c>
      <c r="N23" s="20" t="n">
        <v>0</v>
      </c>
      <c r="O23" s="18" t="n">
        <v>0</v>
      </c>
      <c r="P23" s="20" t="n">
        <v>0</v>
      </c>
      <c r="Q23" s="18" t="n">
        <v>0</v>
      </c>
      <c r="R23" s="20" t="n">
        <v>0</v>
      </c>
    </row>
    <row r="24" spans="1:18">
      <c r="A24" s="15" t="s">
        <v>448</v>
      </c>
      <c r="B24" s="17" t="n">
        <v>3338</v>
      </c>
      <c r="C24" s="18">
        <f>(2951.0/B24*100)</f>
        <v/>
      </c>
      <c r="D24" s="19" t="n">
        <v>387</v>
      </c>
      <c r="E24" s="18" t="n">
        <v>44.28041476</v>
      </c>
      <c r="F24" s="20" t="n">
        <v>2.25633011</v>
      </c>
      <c r="G24" s="18" t="n">
        <v>53.11748721</v>
      </c>
      <c r="H24" s="20" t="n">
        <v>2.2767187</v>
      </c>
      <c r="I24" s="18" t="s">
        <v>431</v>
      </c>
      <c r="J24" s="20" t="s">
        <v>431</v>
      </c>
      <c r="K24" s="18" t="n">
        <v>2.60209803</v>
      </c>
      <c r="L24" s="20" t="n">
        <v>0.78194348</v>
      </c>
      <c r="M24" s="18" t="n">
        <v>0</v>
      </c>
      <c r="N24" s="20" t="n">
        <v>0</v>
      </c>
      <c r="O24" s="18" t="n">
        <v>0</v>
      </c>
      <c r="P24" s="20" t="n">
        <v>0</v>
      </c>
      <c r="Q24" s="18" t="n">
        <v>0</v>
      </c>
      <c r="R24" s="20" t="n">
        <v>0</v>
      </c>
    </row>
    <row r="25" spans="1:18">
      <c r="A25" s="15" t="s">
        <v>449</v>
      </c>
      <c r="B25" s="17" t="n">
        <v>2912</v>
      </c>
      <c r="C25" s="18">
        <f>(2542.0/B25*100)</f>
        <v/>
      </c>
      <c r="D25" s="19" t="n">
        <v>370</v>
      </c>
      <c r="E25" s="18" t="n">
        <v>38.92598493</v>
      </c>
      <c r="F25" s="20" t="n">
        <v>3.05237075</v>
      </c>
      <c r="G25" s="18" t="n">
        <v>60.28474258</v>
      </c>
      <c r="H25" s="20" t="n">
        <v>3.02469288</v>
      </c>
      <c r="I25" s="18" t="s">
        <v>431</v>
      </c>
      <c r="J25" s="20" t="s">
        <v>431</v>
      </c>
      <c r="K25" s="18" t="n">
        <v>0.7892724800000001</v>
      </c>
      <c r="L25" s="20" t="n">
        <v>0.45941842</v>
      </c>
      <c r="M25" s="18" t="n">
        <v>0</v>
      </c>
      <c r="N25" s="20" t="n">
        <v>0</v>
      </c>
      <c r="O25" s="18" t="n">
        <v>0</v>
      </c>
      <c r="P25" s="20" t="n">
        <v>0</v>
      </c>
      <c r="Q25" s="18" t="n">
        <v>0</v>
      </c>
      <c r="R25" s="20" t="n">
        <v>0</v>
      </c>
    </row>
    <row r="26" spans="1:18">
      <c r="A26" s="15" t="s">
        <v>450</v>
      </c>
      <c r="B26" s="17" t="n">
        <v>2450</v>
      </c>
      <c r="C26" s="18">
        <f>(2163.0/B26*100)</f>
        <v/>
      </c>
      <c r="D26" s="19" t="n">
        <v>287</v>
      </c>
      <c r="E26" s="18" t="n">
        <v>36.09884739</v>
      </c>
      <c r="F26" s="20" t="n">
        <v>3.22318663</v>
      </c>
      <c r="G26" s="18" t="n">
        <v>62.20145521</v>
      </c>
      <c r="H26" s="20" t="n">
        <v>3.2370255</v>
      </c>
      <c r="I26" s="18" t="s">
        <v>431</v>
      </c>
      <c r="J26" s="20" t="s">
        <v>431</v>
      </c>
      <c r="K26" s="18" t="n">
        <v>1.6996974</v>
      </c>
      <c r="L26" s="20" t="n">
        <v>0.73476765</v>
      </c>
      <c r="M26" s="18" t="n">
        <v>0</v>
      </c>
      <c r="N26" s="20" t="n">
        <v>0</v>
      </c>
      <c r="O26" s="18" t="n">
        <v>0</v>
      </c>
      <c r="P26" s="20" t="n">
        <v>0</v>
      </c>
      <c r="Q26" s="18" t="n">
        <v>0</v>
      </c>
      <c r="R26" s="20" t="n">
        <v>0</v>
      </c>
    </row>
    <row r="27" spans="1:18">
      <c r="A27" s="15" t="s">
        <v>451</v>
      </c>
      <c r="B27" s="17" t="n">
        <v>2616</v>
      </c>
      <c r="C27" s="18">
        <f>(2299.0/B27*100)</f>
        <v/>
      </c>
      <c r="D27" s="19" t="n">
        <v>317</v>
      </c>
      <c r="E27" s="18" t="n">
        <v>29.89315645</v>
      </c>
      <c r="F27" s="20" t="n">
        <v>2.54740384</v>
      </c>
      <c r="G27" s="18" t="n">
        <v>66.23611305999999</v>
      </c>
      <c r="H27" s="20" t="n">
        <v>2.69323714</v>
      </c>
      <c r="I27" s="18" t="s">
        <v>431</v>
      </c>
      <c r="J27" s="20" t="s">
        <v>431</v>
      </c>
      <c r="K27" s="18" t="n">
        <v>3.87073049</v>
      </c>
      <c r="L27" s="20" t="n">
        <v>1.14631858</v>
      </c>
      <c r="M27" s="18" t="n">
        <v>0</v>
      </c>
      <c r="N27" s="20" t="n">
        <v>0</v>
      </c>
      <c r="O27" s="18" t="n">
        <v>0</v>
      </c>
      <c r="P27" s="20" t="n">
        <v>0</v>
      </c>
      <c r="Q27" s="18" t="n">
        <v>0</v>
      </c>
      <c r="R27" s="20" t="n">
        <v>0</v>
      </c>
    </row>
    <row r="28" spans="1:18">
      <c r="A28" s="15" t="s">
        <v>452</v>
      </c>
      <c r="B28" s="17" t="n">
        <v>3765</v>
      </c>
      <c r="C28" s="18">
        <f>(3370.0/B28*100)</f>
        <v/>
      </c>
      <c r="D28" s="19" t="n">
        <v>395</v>
      </c>
      <c r="E28" s="18" t="n">
        <v>54.46381222</v>
      </c>
      <c r="F28" s="20" t="n">
        <v>2.61594462</v>
      </c>
      <c r="G28" s="18" t="n">
        <v>43.54383559</v>
      </c>
      <c r="H28" s="20" t="n">
        <v>2.66887452</v>
      </c>
      <c r="I28" s="18" t="s">
        <v>431</v>
      </c>
      <c r="J28" s="20" t="s">
        <v>431</v>
      </c>
      <c r="K28" s="18" t="n">
        <v>1.99235219</v>
      </c>
      <c r="L28" s="20" t="n">
        <v>0.70631021</v>
      </c>
      <c r="M28" s="18" t="n">
        <v>0</v>
      </c>
      <c r="N28" s="20" t="n">
        <v>0</v>
      </c>
      <c r="O28" s="18" t="n">
        <v>0</v>
      </c>
      <c r="P28" s="20" t="n">
        <v>0</v>
      </c>
      <c r="Q28" s="18" t="n">
        <v>0</v>
      </c>
      <c r="R28" s="20" t="n">
        <v>0</v>
      </c>
    </row>
    <row r="29" spans="1:18">
      <c r="A29" s="15" t="s">
        <v>453</v>
      </c>
      <c r="B29" s="17" t="n">
        <v>2685</v>
      </c>
      <c r="C29" s="18">
        <f>(2368.0/B29*100)</f>
        <v/>
      </c>
      <c r="D29" s="19" t="n">
        <v>317</v>
      </c>
      <c r="E29" s="18" t="n">
        <v>36.93584874</v>
      </c>
      <c r="F29" s="20" t="n">
        <v>2.94467566</v>
      </c>
      <c r="G29" s="18" t="n">
        <v>62.05194338</v>
      </c>
      <c r="H29" s="20" t="n">
        <v>2.90282578</v>
      </c>
      <c r="I29" s="18" t="s">
        <v>431</v>
      </c>
      <c r="J29" s="20" t="s">
        <v>431</v>
      </c>
      <c r="K29" s="18" t="n">
        <v>1.01220789</v>
      </c>
      <c r="L29" s="20" t="n">
        <v>0.61317117</v>
      </c>
      <c r="M29" s="18" t="n">
        <v>0</v>
      </c>
      <c r="N29" s="20" t="n">
        <v>0</v>
      </c>
      <c r="O29" s="18" t="n">
        <v>0</v>
      </c>
      <c r="P29" s="20" t="n">
        <v>0</v>
      </c>
      <c r="Q29" s="18" t="n">
        <v>0</v>
      </c>
      <c r="R29" s="20" t="n">
        <v>0</v>
      </c>
    </row>
    <row r="30" spans="1:18">
      <c r="A30" s="15" t="s">
        <v>454</v>
      </c>
      <c r="B30" s="17" t="n">
        <v>2263</v>
      </c>
      <c r="C30" s="18">
        <f>(2001.0/B30*100)</f>
        <v/>
      </c>
      <c r="D30" s="19" t="n">
        <v>262</v>
      </c>
      <c r="E30" s="18" t="n">
        <v>44.16591991</v>
      </c>
      <c r="F30" s="20" t="n">
        <v>3.29115589</v>
      </c>
      <c r="G30" s="18" t="n">
        <v>51.23676411</v>
      </c>
      <c r="H30" s="20" t="n">
        <v>3.27655009</v>
      </c>
      <c r="I30" s="18" t="s">
        <v>431</v>
      </c>
      <c r="J30" s="20" t="s">
        <v>431</v>
      </c>
      <c r="K30" s="18" t="n">
        <v>4.59731597</v>
      </c>
      <c r="L30" s="20" t="n">
        <v>1.4779539</v>
      </c>
      <c r="M30" s="18" t="n">
        <v>0</v>
      </c>
      <c r="N30" s="20" t="n">
        <v>0</v>
      </c>
      <c r="O30" s="18" t="n">
        <v>0</v>
      </c>
      <c r="P30" s="20" t="n">
        <v>0</v>
      </c>
      <c r="Q30" s="18" t="n">
        <v>0</v>
      </c>
      <c r="R30" s="20" t="n">
        <v>0</v>
      </c>
    </row>
    <row r="31" spans="1:18">
      <c r="A31" s="15" t="s">
        <v>455</v>
      </c>
      <c r="B31" s="17" t="n">
        <v>2750</v>
      </c>
      <c r="C31" s="18">
        <f>(2402.0/B31*100)</f>
        <v/>
      </c>
      <c r="D31" s="19" t="n">
        <v>348</v>
      </c>
      <c r="E31" s="18" t="n">
        <v>43.49950179</v>
      </c>
      <c r="F31" s="20" t="n">
        <v>3.1047715</v>
      </c>
      <c r="G31" s="18" t="n">
        <v>52.79799346</v>
      </c>
      <c r="H31" s="20" t="n">
        <v>2.94599743</v>
      </c>
      <c r="I31" s="18" t="s">
        <v>431</v>
      </c>
      <c r="J31" s="20" t="s">
        <v>431</v>
      </c>
      <c r="K31" s="18" t="n">
        <v>3.70250475</v>
      </c>
      <c r="L31" s="20" t="n">
        <v>0.99356251</v>
      </c>
      <c r="M31" s="18" t="n">
        <v>0</v>
      </c>
      <c r="N31" s="20" t="n">
        <v>0</v>
      </c>
      <c r="O31" s="18" t="n">
        <v>0</v>
      </c>
      <c r="P31" s="20" t="n">
        <v>0</v>
      </c>
      <c r="Q31" s="18" t="n">
        <v>0</v>
      </c>
      <c r="R31" s="20" t="n">
        <v>0</v>
      </c>
    </row>
    <row r="32" spans="1:18">
      <c r="A32" s="15" t="s">
        <v>456</v>
      </c>
      <c r="B32" s="17" t="n">
        <v>2269</v>
      </c>
      <c r="C32" s="18">
        <f>(1897.0/B32*100)</f>
        <v/>
      </c>
      <c r="D32" s="19" t="n">
        <v>372</v>
      </c>
      <c r="E32" s="18" t="n">
        <v>36.52416285</v>
      </c>
      <c r="F32" s="20" t="n">
        <v>2.67479086</v>
      </c>
      <c r="G32" s="18" t="n">
        <v>61.87560279</v>
      </c>
      <c r="H32" s="20" t="n">
        <v>2.68353498</v>
      </c>
      <c r="I32" s="18" t="s">
        <v>431</v>
      </c>
      <c r="J32" s="20" t="s">
        <v>431</v>
      </c>
      <c r="K32" s="18" t="n">
        <v>1.60023436</v>
      </c>
      <c r="L32" s="20" t="n">
        <v>0.66286335</v>
      </c>
      <c r="M32" s="18" t="n">
        <v>0</v>
      </c>
      <c r="N32" s="20" t="n">
        <v>0</v>
      </c>
      <c r="O32" s="18" t="n">
        <v>0</v>
      </c>
      <c r="P32" s="20" t="n">
        <v>0</v>
      </c>
      <c r="Q32" s="18" t="n">
        <v>0</v>
      </c>
      <c r="R32" s="20" t="n">
        <v>0</v>
      </c>
    </row>
    <row r="33" spans="1:18">
      <c r="A33" s="15" t="s">
        <v>457</v>
      </c>
      <c r="B33" s="17" t="n">
        <v>3674</v>
      </c>
      <c r="C33" s="18">
        <f>(3244.0/B33*100)</f>
        <v/>
      </c>
      <c r="D33" s="19" t="n">
        <v>430</v>
      </c>
      <c r="E33" s="18" t="n">
        <v>34.89406369</v>
      </c>
      <c r="F33" s="20" t="n">
        <v>2.60984094</v>
      </c>
      <c r="G33" s="18" t="n">
        <v>63.20998994</v>
      </c>
      <c r="H33" s="20" t="n">
        <v>2.63333493</v>
      </c>
      <c r="I33" s="18" t="s">
        <v>431</v>
      </c>
      <c r="J33" s="20" t="s">
        <v>431</v>
      </c>
      <c r="K33" s="18" t="n">
        <v>1.89594637</v>
      </c>
      <c r="L33" s="20" t="n">
        <v>0.9249640099999999</v>
      </c>
      <c r="M33" s="18" t="n">
        <v>0</v>
      </c>
      <c r="N33" s="20" t="n">
        <v>0</v>
      </c>
      <c r="O33" s="18" t="n">
        <v>0</v>
      </c>
      <c r="P33" s="20" t="n">
        <v>0</v>
      </c>
      <c r="Q33" s="18" t="n">
        <v>0</v>
      </c>
      <c r="R33" s="20" t="n">
        <v>0</v>
      </c>
    </row>
    <row r="34" spans="1:18">
      <c r="A34" s="15" t="s">
        <v>458</v>
      </c>
      <c r="B34" s="17" t="n">
        <v>3315</v>
      </c>
      <c r="C34" s="18">
        <f>(2922.0/B34*100)</f>
        <v/>
      </c>
      <c r="D34" s="19" t="n">
        <v>393</v>
      </c>
      <c r="E34" s="18" t="n">
        <v>44.75601851</v>
      </c>
      <c r="F34" s="20" t="n">
        <v>2.59547879</v>
      </c>
      <c r="G34" s="18" t="n">
        <v>53.45738686</v>
      </c>
      <c r="H34" s="20" t="n">
        <v>2.5798706</v>
      </c>
      <c r="I34" s="18" t="s">
        <v>431</v>
      </c>
      <c r="J34" s="20" t="s">
        <v>431</v>
      </c>
      <c r="K34" s="18" t="n">
        <v>1.78659464</v>
      </c>
      <c r="L34" s="20" t="n">
        <v>0.5874795900000001</v>
      </c>
      <c r="M34" s="18" t="n">
        <v>0</v>
      </c>
      <c r="N34" s="20" t="n">
        <v>0</v>
      </c>
      <c r="O34" s="18" t="n">
        <v>0</v>
      </c>
      <c r="P34" s="20" t="n">
        <v>0</v>
      </c>
      <c r="Q34" s="18" t="n">
        <v>0</v>
      </c>
      <c r="R34" s="20" t="n">
        <v>0</v>
      </c>
    </row>
    <row r="35" spans="1:18">
      <c r="A35" s="15" t="s">
        <v>459</v>
      </c>
      <c r="B35" s="17" t="n">
        <v>3505</v>
      </c>
      <c r="C35" s="18">
        <f>(3092.0/B35*100)</f>
        <v/>
      </c>
      <c r="D35" s="19" t="n">
        <v>413</v>
      </c>
      <c r="E35" s="18" t="n">
        <v>32.13955305</v>
      </c>
      <c r="F35" s="20" t="n">
        <v>2.58863027</v>
      </c>
      <c r="G35" s="18" t="n">
        <v>67.01529536</v>
      </c>
      <c r="H35" s="20" t="n">
        <v>2.55319057</v>
      </c>
      <c r="I35" s="18" t="s">
        <v>431</v>
      </c>
      <c r="J35" s="20" t="s">
        <v>431</v>
      </c>
      <c r="K35" s="18" t="n">
        <v>0.84515159</v>
      </c>
      <c r="L35" s="20" t="n">
        <v>0.41393937</v>
      </c>
      <c r="M35" s="18" t="n">
        <v>0</v>
      </c>
      <c r="N35" s="20" t="n">
        <v>0</v>
      </c>
      <c r="O35" s="18" t="n">
        <v>0</v>
      </c>
      <c r="P35" s="20" t="n">
        <v>0</v>
      </c>
      <c r="Q35" s="18" t="n">
        <v>0</v>
      </c>
      <c r="R35" s="20" t="n">
        <v>0</v>
      </c>
    </row>
    <row r="36" spans="1:18">
      <c r="A36" s="15" t="s">
        <v>460</v>
      </c>
      <c r="B36" s="17" t="n">
        <v>3332</v>
      </c>
      <c r="C36" s="18">
        <f>(2945.0/B36*100)</f>
        <v/>
      </c>
      <c r="D36" s="19" t="n">
        <v>387</v>
      </c>
      <c r="E36" s="18" t="n">
        <v>33.58820668</v>
      </c>
      <c r="F36" s="20" t="n">
        <v>2.57664575</v>
      </c>
      <c r="G36" s="18" t="n">
        <v>63.28567455</v>
      </c>
      <c r="H36" s="20" t="n">
        <v>2.64063973</v>
      </c>
      <c r="I36" s="18" t="s">
        <v>431</v>
      </c>
      <c r="J36" s="20" t="s">
        <v>431</v>
      </c>
      <c r="K36" s="18" t="n">
        <v>3.12611877</v>
      </c>
      <c r="L36" s="20" t="n">
        <v>0.95397222</v>
      </c>
      <c r="M36" s="18" t="n">
        <v>0</v>
      </c>
      <c r="N36" s="20" t="n">
        <v>0</v>
      </c>
      <c r="O36" s="18" t="n">
        <v>0</v>
      </c>
      <c r="P36" s="20" t="n">
        <v>0</v>
      </c>
      <c r="Q36" s="18" t="n">
        <v>0</v>
      </c>
      <c r="R36" s="20" t="n">
        <v>0</v>
      </c>
    </row>
    <row r="37" spans="1:18">
      <c r="A37" s="15" t="s">
        <v>461</v>
      </c>
      <c r="B37" s="17" t="n">
        <v>2727</v>
      </c>
      <c r="C37" s="18">
        <f>(2418.0/B37*100)</f>
        <v/>
      </c>
      <c r="D37" s="19" t="n">
        <v>309</v>
      </c>
      <c r="E37" s="18" t="n">
        <v>33.77111904</v>
      </c>
      <c r="F37" s="20" t="n">
        <v>2.7536355</v>
      </c>
      <c r="G37" s="18" t="n">
        <v>61.49124715</v>
      </c>
      <c r="H37" s="20" t="n">
        <v>2.95551968</v>
      </c>
      <c r="I37" s="18" t="s">
        <v>431</v>
      </c>
      <c r="J37" s="20" t="s">
        <v>431</v>
      </c>
      <c r="K37" s="18" t="n">
        <v>4.73763382</v>
      </c>
      <c r="L37" s="20" t="n">
        <v>1.20117547</v>
      </c>
      <c r="M37" s="18" t="n">
        <v>0</v>
      </c>
      <c r="N37" s="20" t="n">
        <v>0</v>
      </c>
      <c r="O37" s="18" t="n">
        <v>0</v>
      </c>
      <c r="P37" s="20" t="n">
        <v>0</v>
      </c>
      <c r="Q37" s="18" t="n">
        <v>0</v>
      </c>
      <c r="R37" s="20" t="n">
        <v>0</v>
      </c>
    </row>
    <row r="38" spans="1:18">
      <c r="A38" s="15" t="s">
        <v>462</v>
      </c>
      <c r="B38" s="17" t="n">
        <v>3053</v>
      </c>
      <c r="C38" s="18">
        <f>(2551.0/B38*100)</f>
        <v/>
      </c>
      <c r="D38" s="19" t="n">
        <v>502</v>
      </c>
      <c r="E38" s="18" t="n">
        <v>25.64269072</v>
      </c>
      <c r="F38" s="20" t="n">
        <v>2.04717679</v>
      </c>
      <c r="G38" s="18" t="n">
        <v>70.981452</v>
      </c>
      <c r="H38" s="20" t="n">
        <v>2.09914654</v>
      </c>
      <c r="I38" s="18" t="s">
        <v>431</v>
      </c>
      <c r="J38" s="20" t="s">
        <v>431</v>
      </c>
      <c r="K38" s="18" t="n">
        <v>3.37585728</v>
      </c>
      <c r="L38" s="20" t="n">
        <v>0.87418127</v>
      </c>
      <c r="M38" s="18" t="n">
        <v>0</v>
      </c>
      <c r="N38" s="20" t="n">
        <v>0</v>
      </c>
      <c r="O38" s="18" t="n">
        <v>0</v>
      </c>
      <c r="P38" s="20" t="n">
        <v>0</v>
      </c>
      <c r="Q38" s="18" t="n">
        <v>0</v>
      </c>
      <c r="R38" s="20" t="n">
        <v>0</v>
      </c>
    </row>
    <row r="39" spans="1:18">
      <c r="A39" s="15" t="s">
        <v>463</v>
      </c>
      <c r="B39" s="17" t="n">
        <v>2957</v>
      </c>
      <c r="C39" s="18">
        <f>(2594.0/B39*100)</f>
        <v/>
      </c>
      <c r="D39" s="19" t="n">
        <v>363</v>
      </c>
      <c r="E39" s="18" t="n">
        <v>51.83277102</v>
      </c>
      <c r="F39" s="20" t="n">
        <v>3.15269556</v>
      </c>
      <c r="G39" s="18" t="n">
        <v>45.02504078</v>
      </c>
      <c r="H39" s="20" t="n">
        <v>3.06919242</v>
      </c>
      <c r="I39" s="18" t="s">
        <v>431</v>
      </c>
      <c r="J39" s="20" t="s">
        <v>431</v>
      </c>
      <c r="K39" s="18" t="n">
        <v>3.1421882</v>
      </c>
      <c r="L39" s="20" t="n">
        <v>0.83198371</v>
      </c>
      <c r="M39" s="18" t="n">
        <v>0</v>
      </c>
      <c r="N39" s="20" t="n">
        <v>0</v>
      </c>
      <c r="O39" s="18" t="n">
        <v>0</v>
      </c>
      <c r="P39" s="20" t="n">
        <v>0</v>
      </c>
      <c r="Q39" s="18" t="n">
        <v>0</v>
      </c>
      <c r="R39" s="20" t="n">
        <v>0</v>
      </c>
    </row>
    <row r="40" spans="1:18">
      <c r="A40" s="15" t="s">
        <v>464</v>
      </c>
      <c r="B40" s="17" t="n">
        <v>7235</v>
      </c>
      <c r="C40" s="18">
        <f>(6361.0/B40*100)</f>
        <v/>
      </c>
      <c r="D40" s="19" t="n">
        <v>874</v>
      </c>
      <c r="E40" s="18" t="n">
        <v>44.31350217</v>
      </c>
      <c r="F40" s="20" t="n">
        <v>2.32339076</v>
      </c>
      <c r="G40" s="18" t="n">
        <v>51.79454233</v>
      </c>
      <c r="H40" s="20" t="n">
        <v>2.31411835</v>
      </c>
      <c r="I40" s="18" t="s">
        <v>431</v>
      </c>
      <c r="J40" s="20" t="s">
        <v>431</v>
      </c>
      <c r="K40" s="18" t="n">
        <v>3.8919555</v>
      </c>
      <c r="L40" s="20" t="n">
        <v>0.89038893</v>
      </c>
      <c r="M40" s="18" t="n">
        <v>0</v>
      </c>
      <c r="N40" s="20" t="n">
        <v>0</v>
      </c>
      <c r="O40" s="18" t="n">
        <v>0</v>
      </c>
      <c r="P40" s="20" t="n">
        <v>0</v>
      </c>
      <c r="Q40" s="18" t="n">
        <v>0</v>
      </c>
      <c r="R40" s="20" t="n">
        <v>0</v>
      </c>
    </row>
    <row r="41" spans="1:18">
      <c r="A41" s="15" t="s">
        <v>465</v>
      </c>
      <c r="B41" s="17" t="n">
        <v>2858</v>
      </c>
      <c r="C41" s="18">
        <f>(2522.0/B41*100)</f>
        <v/>
      </c>
      <c r="D41" s="19" t="n">
        <v>336</v>
      </c>
      <c r="E41" s="18" t="n">
        <v>41.17665021</v>
      </c>
      <c r="F41" s="20" t="n">
        <v>2.94486602</v>
      </c>
      <c r="G41" s="18" t="n">
        <v>56.82221409</v>
      </c>
      <c r="H41" s="20" t="n">
        <v>2.94922809</v>
      </c>
      <c r="I41" s="18" t="s">
        <v>431</v>
      </c>
      <c r="J41" s="20" t="s">
        <v>431</v>
      </c>
      <c r="K41" s="18" t="n">
        <v>2.00113569</v>
      </c>
      <c r="L41" s="20" t="n">
        <v>0.67553937</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(10037.0/B46*100)</f>
        <v/>
      </c>
      <c r="D46" s="19" t="n">
        <v>1031</v>
      </c>
      <c r="E46" s="18" t="n">
        <v>50.48061062</v>
      </c>
      <c r="F46" s="20" t="n">
        <v>2.14516739</v>
      </c>
      <c r="G46" s="18" t="n">
        <v>45.75645867</v>
      </c>
      <c r="H46" s="20" t="n">
        <v>2.11623602</v>
      </c>
      <c r="I46" s="18" t="s">
        <v>431</v>
      </c>
      <c r="J46" s="20" t="s">
        <v>431</v>
      </c>
      <c r="K46" s="18" t="n">
        <v>3.76293071</v>
      </c>
      <c r="L46" s="20" t="n">
        <v>0.70301315</v>
      </c>
      <c r="M46" s="18" t="n">
        <v>0</v>
      </c>
      <c r="N46" s="20" t="n">
        <v>0</v>
      </c>
      <c r="O46" s="18" t="n">
        <v>0</v>
      </c>
      <c r="P46" s="20" t="n">
        <v>0</v>
      </c>
      <c r="Q46" s="18" t="n">
        <v>0</v>
      </c>
      <c r="R46" s="20" t="n">
        <v>0</v>
      </c>
    </row>
    <row r="47" spans="1:18">
      <c r="A47" s="15" t="s">
        <v>471</v>
      </c>
      <c r="B47" s="17" t="n">
        <v>3105</v>
      </c>
      <c r="C47" s="18">
        <f>(2743.0/B47*100)</f>
        <v/>
      </c>
      <c r="D47" s="19" t="n">
        <v>362</v>
      </c>
      <c r="E47" s="18" t="n">
        <v>49.30370405</v>
      </c>
      <c r="F47" s="20" t="n">
        <v>2.76603592</v>
      </c>
      <c r="G47" s="18" t="n">
        <v>47.21143708</v>
      </c>
      <c r="H47" s="20" t="n">
        <v>2.82807521</v>
      </c>
      <c r="I47" s="18" t="s">
        <v>431</v>
      </c>
      <c r="J47" s="20" t="s">
        <v>431</v>
      </c>
      <c r="K47" s="18" t="n">
        <v>3.48485888</v>
      </c>
      <c r="L47" s="20" t="n">
        <v>0.8370367</v>
      </c>
      <c r="M47" s="18" t="n">
        <v>0</v>
      </c>
      <c r="N47" s="20" t="n">
        <v>0</v>
      </c>
      <c r="O47" s="18" t="n">
        <v>0</v>
      </c>
      <c r="P47" s="20" t="n">
        <v>0</v>
      </c>
      <c r="Q47" s="18" t="n">
        <v>0</v>
      </c>
      <c r="R47" s="20" t="n">
        <v>0</v>
      </c>
    </row>
    <row r="48" spans="1:18">
      <c r="A48" s="15" t="s">
        <v>472</v>
      </c>
      <c r="B48" s="17" t="n">
        <v>5159</v>
      </c>
      <c r="C48" s="18">
        <f>(4513.0/B48*100)</f>
        <v/>
      </c>
      <c r="D48" s="19" t="n">
        <v>646</v>
      </c>
      <c r="E48" s="18" t="n">
        <v>39.53852193</v>
      </c>
      <c r="F48" s="20" t="n">
        <v>2.87665427</v>
      </c>
      <c r="G48" s="18" t="n">
        <v>59.09073794</v>
      </c>
      <c r="H48" s="20" t="n">
        <v>2.85673399</v>
      </c>
      <c r="I48" s="18" t="s">
        <v>431</v>
      </c>
      <c r="J48" s="20" t="s">
        <v>431</v>
      </c>
      <c r="K48" s="18" t="n">
        <v>1.37074012</v>
      </c>
      <c r="L48" s="20" t="n">
        <v>0.6193429</v>
      </c>
      <c r="M48" s="18" t="n">
        <v>0</v>
      </c>
      <c r="N48" s="20" t="n">
        <v>0</v>
      </c>
      <c r="O48" s="18" t="n">
        <v>0</v>
      </c>
      <c r="P48" s="20" t="n">
        <v>0</v>
      </c>
      <c r="Q48" s="18" t="n">
        <v>0</v>
      </c>
      <c r="R48" s="20" t="n">
        <v>0</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(5003.0/B50*100)</f>
        <v/>
      </c>
      <c r="D50" s="19" t="n">
        <v>634</v>
      </c>
      <c r="E50" s="18" t="n">
        <v>48.01517064</v>
      </c>
      <c r="F50" s="20" t="n">
        <v>2.68114484</v>
      </c>
      <c r="G50" s="18" t="n">
        <v>45.91626659</v>
      </c>
      <c r="H50" s="20" t="n">
        <v>2.79307024</v>
      </c>
      <c r="I50" s="18" t="s">
        <v>431</v>
      </c>
      <c r="J50" s="20" t="s">
        <v>431</v>
      </c>
      <c r="K50" s="18" t="n">
        <v>6.06856278</v>
      </c>
      <c r="L50" s="20" t="n">
        <v>1.36069833</v>
      </c>
      <c r="M50" s="18" t="n">
        <v>0</v>
      </c>
      <c r="N50" s="20" t="n">
        <v>0</v>
      </c>
      <c r="O50" s="18" t="n">
        <v>0</v>
      </c>
      <c r="P50" s="20" t="n">
        <v>0</v>
      </c>
      <c r="Q50" s="18" t="n">
        <v>0</v>
      </c>
      <c r="R50" s="20" t="n">
        <v>0</v>
      </c>
    </row>
    <row r="51" spans="1:18">
      <c r="A51" s="15" t="s">
        <v>475</v>
      </c>
      <c r="B51" s="17" t="n">
        <v>3372</v>
      </c>
      <c r="C51" s="18">
        <f>(3068.0/B51*100)</f>
        <v/>
      </c>
      <c r="D51" s="19" t="n">
        <v>304</v>
      </c>
      <c r="E51" s="18" t="n">
        <v>41.63795443</v>
      </c>
      <c r="F51" s="20" t="n">
        <v>2.88808151</v>
      </c>
      <c r="G51" s="18" t="n">
        <v>55.05201417</v>
      </c>
      <c r="H51" s="20" t="n">
        <v>3.19170853</v>
      </c>
      <c r="I51" s="18" t="s">
        <v>431</v>
      </c>
      <c r="J51" s="20" t="s">
        <v>431</v>
      </c>
      <c r="K51" s="18" t="n">
        <v>3.3100314</v>
      </c>
      <c r="L51" s="20" t="n">
        <v>1.1148118</v>
      </c>
      <c r="M51" s="18" t="n">
        <v>0</v>
      </c>
      <c r="N51" s="20" t="n">
        <v>0</v>
      </c>
      <c r="O51" s="18" t="n">
        <v>0</v>
      </c>
      <c r="P51" s="20" t="n">
        <v>0</v>
      </c>
      <c r="Q51" s="18" t="n">
        <v>0</v>
      </c>
      <c r="R51" s="20" t="n">
        <v>0</v>
      </c>
    </row>
    <row r="52" spans="1:18">
      <c r="A52" s="15" t="s">
        <v>476</v>
      </c>
      <c r="B52" s="17" t="n">
        <v>2796</v>
      </c>
      <c r="C52" s="18">
        <f>(2454.0/B52*100)</f>
        <v/>
      </c>
      <c r="D52" s="19" t="n">
        <v>342</v>
      </c>
      <c r="E52" s="18" t="n">
        <v>39.73798601</v>
      </c>
      <c r="F52" s="20" t="n">
        <v>2.5919109</v>
      </c>
      <c r="G52" s="18" t="n">
        <v>57.95767443</v>
      </c>
      <c r="H52" s="20" t="n">
        <v>2.61607332</v>
      </c>
      <c r="I52" s="18" t="s">
        <v>431</v>
      </c>
      <c r="J52" s="20" t="s">
        <v>431</v>
      </c>
      <c r="K52" s="18" t="n">
        <v>2.30433957</v>
      </c>
      <c r="L52" s="20" t="n">
        <v>0.68097788</v>
      </c>
      <c r="M52" s="18" t="n">
        <v>0</v>
      </c>
      <c r="N52" s="20" t="n">
        <v>0</v>
      </c>
      <c r="O52" s="18" t="n">
        <v>0</v>
      </c>
      <c r="P52" s="20" t="n">
        <v>0</v>
      </c>
      <c r="Q52" s="18" t="n">
        <v>0</v>
      </c>
      <c r="R52" s="20" t="n">
        <v>0</v>
      </c>
    </row>
    <row r="53" spans="1:18">
      <c r="A53" s="15" t="s">
        <v>477</v>
      </c>
      <c r="B53" s="17" t="n">
        <v>2811</v>
      </c>
      <c r="C53" s="18">
        <f>(2473.0/B53*100)</f>
        <v/>
      </c>
      <c r="D53" s="19" t="n">
        <v>338</v>
      </c>
      <c r="E53" s="18" t="n">
        <v>45.56817829</v>
      </c>
      <c r="F53" s="20" t="n">
        <v>3.02717177</v>
      </c>
      <c r="G53" s="18" t="n">
        <v>49.7020768</v>
      </c>
      <c r="H53" s="20" t="n">
        <v>3.01745597</v>
      </c>
      <c r="I53" s="18" t="s">
        <v>431</v>
      </c>
      <c r="J53" s="20" t="s">
        <v>431</v>
      </c>
      <c r="K53" s="18" t="n">
        <v>4.72974491</v>
      </c>
      <c r="L53" s="20" t="n">
        <v>1.29234549</v>
      </c>
      <c r="M53" s="18" t="n">
        <v>0</v>
      </c>
      <c r="N53" s="20" t="n">
        <v>0</v>
      </c>
      <c r="O53" s="18" t="n">
        <v>0</v>
      </c>
      <c r="P53" s="20" t="n">
        <v>0</v>
      </c>
      <c r="Q53" s="18" t="n">
        <v>0</v>
      </c>
      <c r="R53" s="20" t="n">
        <v>0</v>
      </c>
    </row>
    <row r="54" spans="1:18">
      <c r="A54" s="15" t="s">
        <v>478</v>
      </c>
      <c r="B54" s="17" t="n">
        <v>2266</v>
      </c>
      <c r="C54" s="18">
        <f>(1857.0/B54*100)</f>
        <v/>
      </c>
      <c r="D54" s="19" t="n">
        <v>409</v>
      </c>
      <c r="E54" s="18" t="n">
        <v>47.30976321</v>
      </c>
      <c r="F54" s="20" t="n">
        <v>3.16108869</v>
      </c>
      <c r="G54" s="18" t="n">
        <v>27.67923064</v>
      </c>
      <c r="H54" s="20" t="n">
        <v>2.81342184</v>
      </c>
      <c r="I54" s="18" t="s">
        <v>431</v>
      </c>
      <c r="J54" s="20" t="s">
        <v>431</v>
      </c>
      <c r="K54" s="18" t="n">
        <v>25.01100615</v>
      </c>
      <c r="L54" s="20" t="n">
        <v>2.54736238</v>
      </c>
      <c r="M54" s="18" t="n">
        <v>0</v>
      </c>
      <c r="N54" s="20" t="n">
        <v>0</v>
      </c>
      <c r="O54" s="18" t="n">
        <v>0</v>
      </c>
      <c r="P54" s="20" t="n">
        <v>0</v>
      </c>
      <c r="Q54" s="18" t="n">
        <v>0</v>
      </c>
      <c r="R54" s="20" t="n">
        <v>0</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(2357.0/B56*100)</f>
        <v/>
      </c>
      <c r="D56" s="19" t="n">
        <v>327</v>
      </c>
      <c r="E56" s="18" t="n">
        <v>41.65841999</v>
      </c>
      <c r="F56" s="20" t="n">
        <v>3.03503638</v>
      </c>
      <c r="G56" s="18" t="n">
        <v>57.58469705</v>
      </c>
      <c r="H56" s="20" t="n">
        <v>3.01659641</v>
      </c>
      <c r="I56" s="18" t="s">
        <v>431</v>
      </c>
      <c r="J56" s="20" t="s">
        <v>431</v>
      </c>
      <c r="K56" s="18" t="n">
        <v>0.75688296</v>
      </c>
      <c r="L56" s="20" t="n">
        <v>0.52819687</v>
      </c>
      <c r="M56" s="18" t="n">
        <v>0</v>
      </c>
      <c r="N56" s="20" t="n">
        <v>0</v>
      </c>
      <c r="O56" s="18" t="n">
        <v>0</v>
      </c>
      <c r="P56" s="20" t="n">
        <v>0</v>
      </c>
      <c r="Q56" s="18" t="n">
        <v>0</v>
      </c>
      <c r="R56" s="20" t="n">
        <v>0</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(2923.0/B61*100)</f>
        <v/>
      </c>
      <c r="D61" s="19" t="n">
        <v>401</v>
      </c>
      <c r="E61" s="18" t="n">
        <v>40.8715237</v>
      </c>
      <c r="F61" s="20" t="n">
        <v>2.64788606</v>
      </c>
      <c r="G61" s="18" t="n">
        <v>57.67694943</v>
      </c>
      <c r="H61" s="20" t="n">
        <v>2.67891776</v>
      </c>
      <c r="I61" s="18" t="s">
        <v>431</v>
      </c>
      <c r="J61" s="20" t="s">
        <v>431</v>
      </c>
      <c r="K61" s="18" t="n">
        <v>1.45152687</v>
      </c>
      <c r="L61" s="20" t="n">
        <v>0.64414768</v>
      </c>
      <c r="M61" s="18" t="n">
        <v>0</v>
      </c>
      <c r="N61" s="20" t="n">
        <v>0</v>
      </c>
      <c r="O61" s="18" t="n">
        <v>0</v>
      </c>
      <c r="P61" s="20" t="n">
        <v>0</v>
      </c>
      <c r="Q61" s="18" t="n">
        <v>0</v>
      </c>
      <c r="R61" s="20" t="n">
        <v>0</v>
      </c>
    </row>
    <row r="62" spans="1:18">
      <c r="A62" s="15" t="s">
        <v>486</v>
      </c>
      <c r="B62" s="17" t="n">
        <v>2246</v>
      </c>
      <c r="C62" s="18">
        <f>(1990.0/B62*100)</f>
        <v/>
      </c>
      <c r="D62" s="19" t="n">
        <v>256</v>
      </c>
      <c r="E62" s="18" t="n">
        <v>46.44983007</v>
      </c>
      <c r="F62" s="20" t="n">
        <v>2.99574097</v>
      </c>
      <c r="G62" s="18" t="n">
        <v>53.55016993</v>
      </c>
      <c r="H62" s="20" t="n">
        <v>2.99574097</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(2545.0/B66*100)</f>
        <v/>
      </c>
      <c r="D66" s="19" t="n">
        <v>349</v>
      </c>
      <c r="E66" s="18" t="n">
        <v>43.93571792</v>
      </c>
      <c r="F66" s="20" t="n">
        <v>2.68262544</v>
      </c>
      <c r="G66" s="18" t="n">
        <v>46.5988147</v>
      </c>
      <c r="H66" s="20" t="n">
        <v>2.82687832</v>
      </c>
      <c r="I66" s="18" t="s">
        <v>431</v>
      </c>
      <c r="J66" s="20" t="s">
        <v>431</v>
      </c>
      <c r="K66" s="18" t="n">
        <v>9.46546738</v>
      </c>
      <c r="L66" s="20" t="n">
        <v>1.51691958</v>
      </c>
      <c r="M66" s="18" t="n">
        <v>0</v>
      </c>
      <c r="N66" s="20" t="n">
        <v>0</v>
      </c>
      <c r="O66" s="18" t="n">
        <v>0</v>
      </c>
      <c r="P66" s="20" t="n">
        <v>0</v>
      </c>
      <c r="Q66" s="18" t="n">
        <v>0</v>
      </c>
      <c r="R66" s="20" t="n">
        <v>0</v>
      </c>
    </row>
    <row r="67" spans="1:18">
      <c r="A67" s="15" t="s">
        <v>491</v>
      </c>
      <c r="B67" s="17" t="n">
        <v>3511</v>
      </c>
      <c r="C67" s="18">
        <f>(3170.0/B67*100)</f>
        <v/>
      </c>
      <c r="D67" s="19" t="n">
        <v>341</v>
      </c>
      <c r="E67" s="18" t="n">
        <v>49.28428137</v>
      </c>
      <c r="F67" s="20" t="n">
        <v>2.90566746</v>
      </c>
      <c r="G67" s="18" t="n">
        <v>48.85801538</v>
      </c>
      <c r="H67" s="20" t="n">
        <v>3.01400766</v>
      </c>
      <c r="I67" s="18" t="s">
        <v>431</v>
      </c>
      <c r="J67" s="20" t="s">
        <v>431</v>
      </c>
      <c r="K67" s="18" t="n">
        <v>1.85770324</v>
      </c>
      <c r="L67" s="20" t="n">
        <v>0.75095326</v>
      </c>
      <c r="M67" s="18" t="n">
        <v>0</v>
      </c>
      <c r="N67" s="20" t="n">
        <v>0</v>
      </c>
      <c r="O67" s="18" t="n">
        <v>0</v>
      </c>
      <c r="P67" s="20" t="n">
        <v>0</v>
      </c>
      <c r="Q67" s="18" t="n">
        <v>0</v>
      </c>
      <c r="R67" s="20" t="n">
        <v>0</v>
      </c>
    </row>
    <row r="68" spans="1:18">
      <c r="A68" s="15" t="s">
        <v>492</v>
      </c>
      <c r="B68" s="17" t="n">
        <v>6049</v>
      </c>
      <c r="C68" s="18">
        <f>(5053.0/B68*100)</f>
        <v/>
      </c>
      <c r="D68" s="19" t="n">
        <v>996</v>
      </c>
      <c r="E68" s="18" t="n">
        <v>55.98548509</v>
      </c>
      <c r="F68" s="20" t="n">
        <v>1.50661788</v>
      </c>
      <c r="G68" s="18" t="n">
        <v>33.51890421</v>
      </c>
      <c r="H68" s="20" t="n">
        <v>1.46254016</v>
      </c>
      <c r="I68" s="18" t="s">
        <v>431</v>
      </c>
      <c r="J68" s="20" t="s">
        <v>431</v>
      </c>
      <c r="K68" s="18" t="n">
        <v>10.4956107</v>
      </c>
      <c r="L68" s="20" t="n">
        <v>0.9632019000000001</v>
      </c>
      <c r="M68" s="18" t="n">
        <v>0</v>
      </c>
      <c r="N68" s="20" t="n">
        <v>0</v>
      </c>
      <c r="O68" s="18" t="n">
        <v>0</v>
      </c>
      <c r="P68" s="20" t="n">
        <v>0</v>
      </c>
      <c r="Q68" s="18" t="n">
        <v>0</v>
      </c>
      <c r="R68" s="20" t="n">
        <v>0</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(2597.0/B70*100)</f>
        <v/>
      </c>
      <c r="D70" s="19" t="n">
        <v>332</v>
      </c>
      <c r="E70" s="18" t="n">
        <v>36.09355533</v>
      </c>
      <c r="F70" s="20" t="n">
        <v>2.5638978</v>
      </c>
      <c r="G70" s="18" t="n">
        <v>62.6406496</v>
      </c>
      <c r="H70" s="20" t="n">
        <v>2.56252563</v>
      </c>
      <c r="I70" s="18" t="s">
        <v>431</v>
      </c>
      <c r="J70" s="20" t="s">
        <v>431</v>
      </c>
      <c r="K70" s="18" t="n">
        <v>1.26579508</v>
      </c>
      <c r="L70" s="20" t="n">
        <v>0.45119653</v>
      </c>
      <c r="M70" s="18" t="n">
        <v>0</v>
      </c>
      <c r="N70" s="20" t="n">
        <v>0</v>
      </c>
      <c r="O70" s="18" t="n">
        <v>0</v>
      </c>
      <c r="P70" s="20" t="n">
        <v>0</v>
      </c>
      <c r="Q70" s="18" t="n">
        <v>0</v>
      </c>
      <c r="R70" s="20" t="n">
        <v>0</v>
      </c>
    </row>
    <row r="71" spans="1:18">
      <c r="A71" s="15" t="s">
        <v>495</v>
      </c>
      <c r="B71" s="17" t="n">
        <v>3142</v>
      </c>
      <c r="C71" s="18">
        <f>(2757.0/B71*100)</f>
        <v/>
      </c>
      <c r="D71" s="19" t="n">
        <v>385</v>
      </c>
      <c r="E71" s="18" t="n">
        <v>35.19980005</v>
      </c>
      <c r="F71" s="20" t="n">
        <v>2.28705898</v>
      </c>
      <c r="G71" s="18" t="n">
        <v>63.547983</v>
      </c>
      <c r="H71" s="20" t="n">
        <v>2.31457952</v>
      </c>
      <c r="I71" s="18" t="s">
        <v>431</v>
      </c>
      <c r="J71" s="20" t="s">
        <v>431</v>
      </c>
      <c r="K71" s="18" t="n">
        <v>1.25221696</v>
      </c>
      <c r="L71" s="20" t="n">
        <v>0.67975041</v>
      </c>
      <c r="M71" s="18" t="n">
        <v>0</v>
      </c>
      <c r="N71" s="20" t="n">
        <v>0</v>
      </c>
      <c r="O71" s="18" t="n">
        <v>0</v>
      </c>
      <c r="P71" s="20" t="n">
        <v>0</v>
      </c>
      <c r="Q71" s="18" t="n">
        <v>0</v>
      </c>
      <c r="R71" s="20" t="n">
        <v>0</v>
      </c>
    </row>
    <row r="72" spans="1:18">
      <c r="A72" s="15" t="s">
        <v>496</v>
      </c>
      <c r="B72" s="17" t="n">
        <v>3889</v>
      </c>
      <c r="C72" s="18">
        <f>(3426.0/B72*100)</f>
        <v/>
      </c>
      <c r="D72" s="19" t="n">
        <v>463</v>
      </c>
      <c r="E72" s="18" t="n">
        <v>41.08158708</v>
      </c>
      <c r="F72" s="20" t="n">
        <v>2.28644345</v>
      </c>
      <c r="G72" s="18" t="n">
        <v>58.47988218</v>
      </c>
      <c r="H72" s="20" t="n">
        <v>2.29010588</v>
      </c>
      <c r="I72" s="18" t="s">
        <v>431</v>
      </c>
      <c r="J72" s="20" t="s">
        <v>431</v>
      </c>
      <c r="K72" s="18" t="n">
        <v>0.43853074</v>
      </c>
      <c r="L72" s="20" t="n">
        <v>0.3178837</v>
      </c>
      <c r="M72" s="18" t="n">
        <v>0</v>
      </c>
      <c r="N72" s="20" t="n">
        <v>0</v>
      </c>
      <c r="O72" s="18" t="n">
        <v>0</v>
      </c>
      <c r="P72" s="20" t="n">
        <v>0</v>
      </c>
      <c r="Q72" s="18" t="n">
        <v>0</v>
      </c>
      <c r="R72" s="20" t="n">
        <v>0</v>
      </c>
    </row>
    <row r="73" spans="1:18">
      <c r="A73" s="15" t="s">
        <v>497</v>
      </c>
      <c r="B73" s="17" t="n">
        <v>3597</v>
      </c>
      <c r="C73" s="18">
        <f>(3179.0/B73*100)</f>
        <v/>
      </c>
      <c r="D73" s="19" t="n">
        <v>418</v>
      </c>
      <c r="E73" s="18" t="n">
        <v>53.31629644</v>
      </c>
      <c r="F73" s="20" t="n">
        <v>2.98537245</v>
      </c>
      <c r="G73" s="18" t="n">
        <v>46.6535965</v>
      </c>
      <c r="H73" s="20" t="n">
        <v>2.98449874</v>
      </c>
      <c r="I73" s="18" t="s">
        <v>431</v>
      </c>
      <c r="J73" s="20" t="s">
        <v>431</v>
      </c>
      <c r="K73" s="18" t="n">
        <v>0.03010705</v>
      </c>
      <c r="L73" s="20" t="n">
        <v>0.02213339</v>
      </c>
      <c r="M73" s="18" t="n">
        <v>0</v>
      </c>
      <c r="N73" s="20" t="n">
        <v>0</v>
      </c>
      <c r="O73" s="18" t="n">
        <v>0</v>
      </c>
      <c r="P73" s="20" t="n">
        <v>0</v>
      </c>
      <c r="Q73" s="18" t="n">
        <v>0</v>
      </c>
      <c r="R73" s="20" t="n">
        <v>0</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(2137.0/B75*100)</f>
        <v/>
      </c>
      <c r="D75" s="19" t="n">
        <v>269</v>
      </c>
      <c r="E75" s="18" t="n">
        <v>37.36611863</v>
      </c>
      <c r="F75" s="20" t="n">
        <v>3.2371724</v>
      </c>
      <c r="G75" s="18" t="n">
        <v>52.75474634</v>
      </c>
      <c r="H75" s="20" t="n">
        <v>3.16447612</v>
      </c>
      <c r="I75" s="18" t="s">
        <v>431</v>
      </c>
      <c r="J75" s="20" t="s">
        <v>431</v>
      </c>
      <c r="K75" s="18" t="n">
        <v>9.87913503</v>
      </c>
      <c r="L75" s="20" t="n">
        <v>1.94367393</v>
      </c>
      <c r="M75" s="18" t="n">
        <v>0</v>
      </c>
      <c r="N75" s="20" t="n">
        <v>0</v>
      </c>
      <c r="O75" s="18" t="n">
        <v>0</v>
      </c>
      <c r="P75" s="20" t="n">
        <v>0</v>
      </c>
      <c r="Q75" s="18" t="n">
        <v>0</v>
      </c>
      <c r="R75" s="20" t="n">
        <v>0</v>
      </c>
    </row>
    <row r="76" spans="1:18">
      <c r="A76" s="15" t="s">
        <v>500</v>
      </c>
      <c r="B76" s="17" t="n">
        <v>7052</v>
      </c>
      <c r="C76" s="18">
        <f>(6216.0/B76*100)</f>
        <v/>
      </c>
      <c r="D76" s="19" t="n">
        <v>836</v>
      </c>
      <c r="E76" s="18" t="n">
        <v>55.63412201</v>
      </c>
      <c r="F76" s="20" t="n">
        <v>2.04872706</v>
      </c>
      <c r="G76" s="18" t="n">
        <v>39.56420096</v>
      </c>
      <c r="H76" s="20" t="n">
        <v>2.08281733</v>
      </c>
      <c r="I76" s="18" t="s">
        <v>431</v>
      </c>
      <c r="J76" s="20" t="s">
        <v>431</v>
      </c>
      <c r="K76" s="18" t="n">
        <v>4.80167703</v>
      </c>
      <c r="L76" s="20" t="n">
        <v>0.92782681</v>
      </c>
      <c r="M76" s="18" t="n">
        <v>0</v>
      </c>
      <c r="N76" s="20" t="n">
        <v>0</v>
      </c>
      <c r="O76" s="18" t="n">
        <v>0</v>
      </c>
      <c r="P76" s="20" t="n">
        <v>0</v>
      </c>
      <c r="Q76" s="18" t="n">
        <v>0</v>
      </c>
      <c r="R76" s="20" t="n">
        <v>0</v>
      </c>
    </row>
    <row r="77" spans="1:18">
      <c r="A77" s="15" t="s">
        <v>501</v>
      </c>
      <c r="B77" s="17" t="n">
        <v>2908</v>
      </c>
      <c r="C77" s="18">
        <f>(2602.0/B77*100)</f>
        <v/>
      </c>
      <c r="D77" s="19" t="n">
        <v>306</v>
      </c>
      <c r="E77" s="18" t="n">
        <v>35.21369735</v>
      </c>
      <c r="F77" s="20" t="n">
        <v>3.08300153</v>
      </c>
      <c r="G77" s="18" t="n">
        <v>53.1913563</v>
      </c>
      <c r="H77" s="20" t="n">
        <v>3.01441272</v>
      </c>
      <c r="I77" s="18" t="s">
        <v>431</v>
      </c>
      <c r="J77" s="20" t="s">
        <v>431</v>
      </c>
      <c r="K77" s="18" t="n">
        <v>11.59494635</v>
      </c>
      <c r="L77" s="20" t="n">
        <v>2.06352465</v>
      </c>
      <c r="M77" s="18" t="n">
        <v>0</v>
      </c>
      <c r="N77" s="20" t="n">
        <v>0</v>
      </c>
      <c r="O77" s="18" t="n">
        <v>0</v>
      </c>
      <c r="P77" s="20" t="n">
        <v>0</v>
      </c>
      <c r="Q77" s="18" t="n">
        <v>0</v>
      </c>
      <c r="R77" s="20" t="n">
        <v>0</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(3658.0/B81*100)</f>
        <v/>
      </c>
      <c r="D81" s="19" t="n">
        <v>505</v>
      </c>
      <c r="E81" s="18" t="n">
        <v>49.61867341</v>
      </c>
      <c r="F81" s="20" t="n">
        <v>2.51290308</v>
      </c>
      <c r="G81" s="18" t="n">
        <v>49.64855018</v>
      </c>
      <c r="H81" s="20" t="n">
        <v>2.49228928</v>
      </c>
      <c r="I81" s="18" t="s">
        <v>431</v>
      </c>
      <c r="J81" s="20" t="s">
        <v>431</v>
      </c>
      <c r="K81" s="18" t="n">
        <v>0.73277641</v>
      </c>
      <c r="L81" s="20" t="n">
        <v>0.39939569</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(6491.0/B7*100)</f>
        <v/>
      </c>
      <c r="D7" s="19" t="n">
        <v>876</v>
      </c>
      <c r="E7" s="18" t="n">
        <v>46.76081374</v>
      </c>
      <c r="F7" s="20" t="n">
        <v>1.77024311</v>
      </c>
      <c r="G7" s="18" t="n">
        <v>50.17657055</v>
      </c>
      <c r="H7" s="20" t="n">
        <v>1.8002914</v>
      </c>
      <c r="I7" s="18" t="s">
        <v>431</v>
      </c>
      <c r="J7" s="20" t="s">
        <v>431</v>
      </c>
      <c r="K7" s="18" t="n">
        <v>0.0693638</v>
      </c>
      <c r="L7" s="20" t="n">
        <v>0.048442</v>
      </c>
      <c r="M7" s="18" t="n">
        <v>0</v>
      </c>
      <c r="N7" s="20" t="n">
        <v>0</v>
      </c>
      <c r="O7" s="18" t="n">
        <v>0</v>
      </c>
      <c r="P7" s="20" t="n">
        <v>0</v>
      </c>
      <c r="Q7" s="18" t="n">
        <v>2.99325191</v>
      </c>
      <c r="R7" s="20" t="n">
        <v>0.70765729</v>
      </c>
    </row>
    <row r="8" spans="1:18">
      <c r="A8" s="15" t="s">
        <v>432</v>
      </c>
      <c r="B8" s="17" t="n">
        <v>3564</v>
      </c>
      <c r="C8" s="18">
        <f>(3151.0/B8*100)</f>
        <v/>
      </c>
      <c r="D8" s="19" t="n">
        <v>413</v>
      </c>
      <c r="E8" s="18" t="n">
        <v>38.10662707</v>
      </c>
      <c r="F8" s="20" t="n">
        <v>2.52165702</v>
      </c>
      <c r="G8" s="18" t="n">
        <v>60.01005158</v>
      </c>
      <c r="H8" s="20" t="n">
        <v>2.54951933</v>
      </c>
      <c r="I8" s="18" t="s">
        <v>431</v>
      </c>
      <c r="J8" s="20" t="s">
        <v>431</v>
      </c>
      <c r="K8" s="18" t="n">
        <v>0</v>
      </c>
      <c r="L8" s="20" t="n">
        <v>0</v>
      </c>
      <c r="M8" s="18" t="n">
        <v>0</v>
      </c>
      <c r="N8" s="20" t="n">
        <v>0</v>
      </c>
      <c r="O8" s="18" t="n">
        <v>0</v>
      </c>
      <c r="P8" s="20" t="n">
        <v>0</v>
      </c>
      <c r="Q8" s="18" t="n">
        <v>1.88332135</v>
      </c>
      <c r="R8" s="20" t="n">
        <v>0.69922014</v>
      </c>
    </row>
    <row r="9" spans="1:18">
      <c r="A9" s="15" t="s">
        <v>433</v>
      </c>
      <c r="B9" s="17" t="n">
        <v>4899</v>
      </c>
      <c r="C9" s="18">
        <f>(4311.0/B9*100)</f>
        <v/>
      </c>
      <c r="D9" s="19" t="n">
        <v>588</v>
      </c>
      <c r="E9" s="18" t="n">
        <v>35.06536631</v>
      </c>
      <c r="F9" s="20" t="n">
        <v>2.39235467</v>
      </c>
      <c r="G9" s="18" t="n">
        <v>60.62162698</v>
      </c>
      <c r="H9" s="20" t="n">
        <v>2.29223655</v>
      </c>
      <c r="I9" s="18" t="s">
        <v>431</v>
      </c>
      <c r="J9" s="20" t="s">
        <v>431</v>
      </c>
      <c r="K9" s="18" t="n">
        <v>0.15119399</v>
      </c>
      <c r="L9" s="20" t="n">
        <v>0.14714501</v>
      </c>
      <c r="M9" s="18" t="n">
        <v>0</v>
      </c>
      <c r="N9" s="20" t="n">
        <v>0</v>
      </c>
      <c r="O9" s="18" t="n">
        <v>0</v>
      </c>
      <c r="P9" s="20" t="n">
        <v>0</v>
      </c>
      <c r="Q9" s="18" t="n">
        <v>4.16181273</v>
      </c>
      <c r="R9" s="20" t="n">
        <v>1.19396704</v>
      </c>
    </row>
    <row r="10" spans="1:18">
      <c r="A10" s="15" t="s">
        <v>434</v>
      </c>
      <c r="B10" s="17" t="n">
        <v>10036</v>
      </c>
      <c r="C10" s="18">
        <f>(8806.0/B10*100)</f>
        <v/>
      </c>
      <c r="D10" s="19" t="n">
        <v>1230</v>
      </c>
      <c r="E10" s="18" t="n">
        <v>38.25447259</v>
      </c>
      <c r="F10" s="20" t="n">
        <v>1.74110262</v>
      </c>
      <c r="G10" s="18" t="n">
        <v>58.88799882</v>
      </c>
      <c r="H10" s="20" t="n">
        <v>1.91979771</v>
      </c>
      <c r="I10" s="18" t="s">
        <v>431</v>
      </c>
      <c r="J10" s="20" t="s">
        <v>431</v>
      </c>
      <c r="K10" s="18" t="n">
        <v>0.33038048</v>
      </c>
      <c r="L10" s="20" t="n">
        <v>0.2304634</v>
      </c>
      <c r="M10" s="18" t="n">
        <v>0</v>
      </c>
      <c r="N10" s="20" t="n">
        <v>0</v>
      </c>
      <c r="O10" s="18" t="n">
        <v>0</v>
      </c>
      <c r="P10" s="20" t="n">
        <v>0</v>
      </c>
      <c r="Q10" s="18" t="n">
        <v>2.5271481</v>
      </c>
      <c r="R10" s="20" t="n">
        <v>0.6604602899999999</v>
      </c>
    </row>
    <row r="11" spans="1:18">
      <c r="A11" s="15" t="s">
        <v>435</v>
      </c>
      <c r="B11" s="17" t="n">
        <v>3553</v>
      </c>
      <c r="C11" s="18">
        <f>(3102.0/B11*100)</f>
        <v/>
      </c>
      <c r="D11" s="19" t="n">
        <v>451</v>
      </c>
      <c r="E11" s="18" t="n">
        <v>39.97751339</v>
      </c>
      <c r="F11" s="20" t="n">
        <v>2.78980699</v>
      </c>
      <c r="G11" s="18" t="n">
        <v>58.2587659</v>
      </c>
      <c r="H11" s="20" t="n">
        <v>3.04379668</v>
      </c>
      <c r="I11" s="18" t="s">
        <v>431</v>
      </c>
      <c r="J11" s="20" t="s">
        <v>431</v>
      </c>
      <c r="K11" s="18" t="n">
        <v>0</v>
      </c>
      <c r="L11" s="20" t="n">
        <v>0</v>
      </c>
      <c r="M11" s="18" t="n">
        <v>0</v>
      </c>
      <c r="N11" s="20" t="n">
        <v>0</v>
      </c>
      <c r="O11" s="18" t="n">
        <v>0</v>
      </c>
      <c r="P11" s="20" t="n">
        <v>0</v>
      </c>
      <c r="Q11" s="18" t="n">
        <v>1.76372071</v>
      </c>
      <c r="R11" s="20" t="n">
        <v>0.75263765</v>
      </c>
    </row>
    <row r="12" spans="1:18">
      <c r="A12" s="15" t="s">
        <v>436</v>
      </c>
      <c r="B12" s="17" t="n">
        <v>3472</v>
      </c>
      <c r="C12" s="18">
        <f>(3041.0/B12*100)</f>
        <v/>
      </c>
      <c r="D12" s="19" t="n">
        <v>431</v>
      </c>
      <c r="E12" s="18" t="n">
        <v>35.99214439</v>
      </c>
      <c r="F12" s="20" t="n">
        <v>2.9252037</v>
      </c>
      <c r="G12" s="18" t="n">
        <v>60.47084661</v>
      </c>
      <c r="H12" s="20" t="n">
        <v>2.99465503</v>
      </c>
      <c r="I12" s="18" t="s">
        <v>431</v>
      </c>
      <c r="J12" s="20" t="s">
        <v>431</v>
      </c>
      <c r="K12" s="18" t="n">
        <v>0</v>
      </c>
      <c r="L12" s="20" t="n">
        <v>0</v>
      </c>
      <c r="M12" s="18" t="n">
        <v>0</v>
      </c>
      <c r="N12" s="20" t="n">
        <v>0</v>
      </c>
      <c r="O12" s="18" t="n">
        <v>0</v>
      </c>
      <c r="P12" s="20" t="n">
        <v>0</v>
      </c>
      <c r="Q12" s="18" t="n">
        <v>3.537009</v>
      </c>
      <c r="R12" s="20" t="n">
        <v>0.9644622</v>
      </c>
    </row>
    <row r="13" spans="1:18">
      <c r="A13" s="15" t="s">
        <v>437</v>
      </c>
      <c r="B13" s="17" t="n">
        <v>3559</v>
      </c>
      <c r="C13" s="18">
        <f>(3144.0/B13*100)</f>
        <v/>
      </c>
      <c r="D13" s="19" t="n">
        <v>415</v>
      </c>
      <c r="E13" s="18" t="n">
        <v>32.32755467</v>
      </c>
      <c r="F13" s="20" t="n">
        <v>2.65211987</v>
      </c>
      <c r="G13" s="18" t="n">
        <v>56.15942906</v>
      </c>
      <c r="H13" s="20" t="n">
        <v>3.10648167</v>
      </c>
      <c r="I13" s="18" t="s">
        <v>431</v>
      </c>
      <c r="J13" s="20" t="s">
        <v>431</v>
      </c>
      <c r="K13" s="18" t="n">
        <v>0.9721463</v>
      </c>
      <c r="L13" s="20" t="n">
        <v>0.53462617</v>
      </c>
      <c r="M13" s="18" t="n">
        <v>0</v>
      </c>
      <c r="N13" s="20" t="n">
        <v>0</v>
      </c>
      <c r="O13" s="18" t="n">
        <v>0</v>
      </c>
      <c r="P13" s="20" t="n">
        <v>0</v>
      </c>
      <c r="Q13" s="18" t="n">
        <v>10.54086997</v>
      </c>
      <c r="R13" s="20" t="n">
        <v>2.007999</v>
      </c>
    </row>
    <row r="14" spans="1:18">
      <c r="A14" s="15" t="s">
        <v>438</v>
      </c>
      <c r="B14" s="17" t="n">
        <v>2799</v>
      </c>
      <c r="C14" s="18">
        <f>(2461.0/B14*100)</f>
        <v/>
      </c>
      <c r="D14" s="19" t="n">
        <v>338</v>
      </c>
      <c r="E14" s="18" t="n">
        <v>45.53829499</v>
      </c>
      <c r="F14" s="20" t="n">
        <v>3.49629348</v>
      </c>
      <c r="G14" s="18" t="n">
        <v>48.17291322</v>
      </c>
      <c r="H14" s="20" t="n">
        <v>3.37478651</v>
      </c>
      <c r="I14" s="18" t="s">
        <v>431</v>
      </c>
      <c r="J14" s="20" t="s">
        <v>431</v>
      </c>
      <c r="K14" s="18" t="n">
        <v>0.23275602</v>
      </c>
      <c r="L14" s="20" t="n">
        <v>0.2441537</v>
      </c>
      <c r="M14" s="18" t="n">
        <v>0</v>
      </c>
      <c r="N14" s="20" t="n">
        <v>0</v>
      </c>
      <c r="O14" s="18" t="n">
        <v>0</v>
      </c>
      <c r="P14" s="20" t="n">
        <v>0</v>
      </c>
      <c r="Q14" s="18" t="n">
        <v>6.05603578</v>
      </c>
      <c r="R14" s="20" t="n">
        <v>1.61003098</v>
      </c>
    </row>
    <row r="15" spans="1:18">
      <c r="A15" s="15" t="s">
        <v>439</v>
      </c>
      <c r="B15" s="17" t="n">
        <v>3019</v>
      </c>
      <c r="C15" s="18">
        <f>(2644.0/B15*100)</f>
        <v/>
      </c>
      <c r="D15" s="19" t="n">
        <v>375</v>
      </c>
      <c r="E15" s="18" t="n">
        <v>27.23369092</v>
      </c>
      <c r="F15" s="20" t="n">
        <v>2.16434379</v>
      </c>
      <c r="G15" s="18" t="n">
        <v>69.12683653000001</v>
      </c>
      <c r="H15" s="20" t="n">
        <v>2.37452957</v>
      </c>
      <c r="I15" s="18" t="s">
        <v>431</v>
      </c>
      <c r="J15" s="20" t="s">
        <v>431</v>
      </c>
      <c r="K15" s="18" t="n">
        <v>0.52622968</v>
      </c>
      <c r="L15" s="20" t="n">
        <v>0.367653</v>
      </c>
      <c r="M15" s="18" t="n">
        <v>0</v>
      </c>
      <c r="N15" s="20" t="n">
        <v>0</v>
      </c>
      <c r="O15" s="18" t="n">
        <v>0</v>
      </c>
      <c r="P15" s="20" t="n">
        <v>0</v>
      </c>
      <c r="Q15" s="18" t="n">
        <v>3.11324287</v>
      </c>
      <c r="R15" s="20" t="n">
        <v>0.846939</v>
      </c>
    </row>
    <row r="16" spans="1:18">
      <c r="A16" s="15" t="s">
        <v>440</v>
      </c>
      <c r="B16" s="17" t="n">
        <v>2997</v>
      </c>
      <c r="C16" s="18">
        <f>(2615.0/B16*100)</f>
        <v/>
      </c>
      <c r="D16" s="19" t="n">
        <v>382</v>
      </c>
      <c r="E16" s="18" t="n">
        <v>42.34200195</v>
      </c>
      <c r="F16" s="20" t="n">
        <v>2.46479131</v>
      </c>
      <c r="G16" s="18" t="n">
        <v>52.66592352</v>
      </c>
      <c r="H16" s="20" t="n">
        <v>2.67963785</v>
      </c>
      <c r="I16" s="18" t="s">
        <v>431</v>
      </c>
      <c r="J16" s="20" t="s">
        <v>431</v>
      </c>
      <c r="K16" s="18" t="n">
        <v>1.31539045</v>
      </c>
      <c r="L16" s="20" t="n">
        <v>0.66006955</v>
      </c>
      <c r="M16" s="18" t="n">
        <v>0</v>
      </c>
      <c r="N16" s="20" t="n">
        <v>0</v>
      </c>
      <c r="O16" s="18" t="n">
        <v>0</v>
      </c>
      <c r="P16" s="20" t="n">
        <v>0</v>
      </c>
      <c r="Q16" s="18" t="n">
        <v>3.67668408</v>
      </c>
      <c r="R16" s="20" t="n">
        <v>1.22485228</v>
      </c>
    </row>
    <row r="17" spans="1:18">
      <c r="A17" s="15" t="s">
        <v>441</v>
      </c>
      <c r="B17" s="17" t="n">
        <v>3307</v>
      </c>
      <c r="C17" s="18">
        <f>(2903.0/B17*100)</f>
        <v/>
      </c>
      <c r="D17" s="19" t="n">
        <v>404</v>
      </c>
      <c r="E17" s="18" t="n">
        <v>32.73281833</v>
      </c>
      <c r="F17" s="20" t="n">
        <v>2.86082925</v>
      </c>
      <c r="G17" s="18" t="n">
        <v>65.27882382</v>
      </c>
      <c r="H17" s="20" t="n">
        <v>2.94971178</v>
      </c>
      <c r="I17" s="18" t="s">
        <v>431</v>
      </c>
      <c r="J17" s="20" t="s">
        <v>431</v>
      </c>
      <c r="K17" s="18" t="n">
        <v>0.24904568</v>
      </c>
      <c r="L17" s="20" t="n">
        <v>0.25059862</v>
      </c>
      <c r="M17" s="18" t="n">
        <v>0</v>
      </c>
      <c r="N17" s="20" t="n">
        <v>0</v>
      </c>
      <c r="O17" s="18" t="n">
        <v>0</v>
      </c>
      <c r="P17" s="20" t="n">
        <v>0</v>
      </c>
      <c r="Q17" s="18" t="n">
        <v>1.73931216</v>
      </c>
      <c r="R17" s="20" t="n">
        <v>0.63013429</v>
      </c>
    </row>
    <row r="18" spans="1:18">
      <c r="A18" s="15" t="s">
        <v>442</v>
      </c>
      <c r="B18" s="17" t="n">
        <v>2826</v>
      </c>
      <c r="C18" s="18">
        <f>(2499.0/B18*100)</f>
        <v/>
      </c>
      <c r="D18" s="19" t="n">
        <v>327</v>
      </c>
      <c r="E18" s="18" t="n">
        <v>42.53486757</v>
      </c>
      <c r="F18" s="20" t="n">
        <v>2.68931367</v>
      </c>
      <c r="G18" s="18" t="n">
        <v>54.16349279</v>
      </c>
      <c r="H18" s="20" t="n">
        <v>2.6954258</v>
      </c>
      <c r="I18" s="18" t="s">
        <v>431</v>
      </c>
      <c r="J18" s="20" t="s">
        <v>431</v>
      </c>
      <c r="K18" s="18" t="n">
        <v>0</v>
      </c>
      <c r="L18" s="20" t="n">
        <v>0</v>
      </c>
      <c r="M18" s="18" t="n">
        <v>0</v>
      </c>
      <c r="N18" s="20" t="n">
        <v>0</v>
      </c>
      <c r="O18" s="18" t="n">
        <v>0</v>
      </c>
      <c r="P18" s="20" t="n">
        <v>0</v>
      </c>
      <c r="Q18" s="18" t="n">
        <v>3.30163964</v>
      </c>
      <c r="R18" s="20" t="n">
        <v>1.1027634</v>
      </c>
    </row>
    <row r="19" spans="1:18">
      <c r="A19" s="15" t="s">
        <v>443</v>
      </c>
      <c r="B19" s="17" t="n">
        <v>2808</v>
      </c>
      <c r="C19" s="18">
        <f>(2465.0/B19*100)</f>
        <v/>
      </c>
      <c r="D19" s="19" t="n">
        <v>343</v>
      </c>
      <c r="E19" s="18" t="n">
        <v>44.78564467</v>
      </c>
      <c r="F19" s="20" t="n">
        <v>2.77320563</v>
      </c>
      <c r="G19" s="18" t="n">
        <v>48.226789</v>
      </c>
      <c r="H19" s="20" t="n">
        <v>2.76744936</v>
      </c>
      <c r="I19" s="18" t="s">
        <v>431</v>
      </c>
      <c r="J19" s="20" t="s">
        <v>431</v>
      </c>
      <c r="K19" s="18" t="n">
        <v>0.67423694</v>
      </c>
      <c r="L19" s="20" t="n">
        <v>0.63697525</v>
      </c>
      <c r="M19" s="18" t="n">
        <v>0</v>
      </c>
      <c r="N19" s="20" t="n">
        <v>0</v>
      </c>
      <c r="O19" s="18" t="n">
        <v>0</v>
      </c>
      <c r="P19" s="20" t="n">
        <v>0</v>
      </c>
      <c r="Q19" s="18" t="n">
        <v>6.31332939</v>
      </c>
      <c r="R19" s="20" t="n">
        <v>1.44999029</v>
      </c>
    </row>
    <row r="20" spans="1:18">
      <c r="A20" s="15" t="s">
        <v>444</v>
      </c>
      <c r="B20" s="17" t="n">
        <v>1630</v>
      </c>
      <c r="C20" s="18">
        <f>(1423.0/B20*100)</f>
        <v/>
      </c>
      <c r="D20" s="19" t="n">
        <v>207</v>
      </c>
      <c r="E20" s="18" t="n">
        <v>31.55313452</v>
      </c>
      <c r="F20" s="20" t="n">
        <v>3.16656355</v>
      </c>
      <c r="G20" s="18" t="n">
        <v>51.91755596</v>
      </c>
      <c r="H20" s="20" t="n">
        <v>3.39460027</v>
      </c>
      <c r="I20" s="18" t="s">
        <v>431</v>
      </c>
      <c r="J20" s="20" t="s">
        <v>431</v>
      </c>
      <c r="K20" s="18" t="n">
        <v>0</v>
      </c>
      <c r="L20" s="20" t="n">
        <v>0</v>
      </c>
      <c r="M20" s="18" t="n">
        <v>0</v>
      </c>
      <c r="N20" s="20" t="n">
        <v>0</v>
      </c>
      <c r="O20" s="18" t="n">
        <v>0</v>
      </c>
      <c r="P20" s="20" t="n">
        <v>0</v>
      </c>
      <c r="Q20" s="18" t="n">
        <v>16.52930953</v>
      </c>
      <c r="R20" s="20" t="n">
        <v>2.32850679</v>
      </c>
    </row>
    <row r="21" spans="1:18">
      <c r="A21" s="15" t="s">
        <v>445</v>
      </c>
      <c r="B21" s="17" t="n">
        <v>2908</v>
      </c>
      <c r="C21" s="18">
        <f>(2433.0/B21*100)</f>
        <v/>
      </c>
      <c r="D21" s="19" t="n">
        <v>475</v>
      </c>
      <c r="E21" s="18" t="n">
        <v>55.11204543</v>
      </c>
      <c r="F21" s="20" t="n">
        <v>2.20534959</v>
      </c>
      <c r="G21" s="18" t="n">
        <v>42.51363115</v>
      </c>
      <c r="H21" s="20" t="n">
        <v>2.09542414</v>
      </c>
      <c r="I21" s="18" t="s">
        <v>431</v>
      </c>
      <c r="J21" s="20" t="s">
        <v>431</v>
      </c>
      <c r="K21" s="18" t="n">
        <v>0</v>
      </c>
      <c r="L21" s="20" t="n">
        <v>0</v>
      </c>
      <c r="M21" s="18" t="n">
        <v>0</v>
      </c>
      <c r="N21" s="20" t="n">
        <v>0</v>
      </c>
      <c r="O21" s="18" t="n">
        <v>0</v>
      </c>
      <c r="P21" s="20" t="n">
        <v>0</v>
      </c>
      <c r="Q21" s="18" t="n">
        <v>2.37432341</v>
      </c>
      <c r="R21" s="20" t="n">
        <v>0.68177151</v>
      </c>
    </row>
    <row r="22" spans="1:18">
      <c r="A22" s="15" t="s">
        <v>446</v>
      </c>
      <c r="B22" s="17" t="n">
        <v>2931</v>
      </c>
      <c r="C22" s="18">
        <f>(2559.0/B22*100)</f>
        <v/>
      </c>
      <c r="D22" s="19" t="n">
        <v>372</v>
      </c>
      <c r="E22" s="18" t="n">
        <v>40.56512347</v>
      </c>
      <c r="F22" s="20" t="n">
        <v>2.78959785</v>
      </c>
      <c r="G22" s="18" t="n">
        <v>54.73379182</v>
      </c>
      <c r="H22" s="20" t="n">
        <v>2.71124545</v>
      </c>
      <c r="I22" s="18" t="s">
        <v>431</v>
      </c>
      <c r="J22" s="20" t="s">
        <v>431</v>
      </c>
      <c r="K22" s="18" t="n">
        <v>0</v>
      </c>
      <c r="L22" s="20" t="n">
        <v>0</v>
      </c>
      <c r="M22" s="18" t="n">
        <v>0</v>
      </c>
      <c r="N22" s="20" t="n">
        <v>0</v>
      </c>
      <c r="O22" s="18" t="n">
        <v>0</v>
      </c>
      <c r="P22" s="20" t="n">
        <v>0</v>
      </c>
      <c r="Q22" s="18" t="n">
        <v>4.70108471</v>
      </c>
      <c r="R22" s="20" t="n">
        <v>1.09208941</v>
      </c>
    </row>
    <row r="23" spans="1:18">
      <c r="A23" s="15" t="s">
        <v>447</v>
      </c>
      <c r="B23" s="17" t="n">
        <v>5791</v>
      </c>
      <c r="C23" s="18">
        <f>(5059.0/B23*100)</f>
        <v/>
      </c>
      <c r="D23" s="19" t="n">
        <v>732</v>
      </c>
      <c r="E23" s="18" t="n">
        <v>46.45291658</v>
      </c>
      <c r="F23" s="20" t="n">
        <v>2.94329292</v>
      </c>
      <c r="G23" s="18" t="n">
        <v>50.21082104</v>
      </c>
      <c r="H23" s="20" t="n">
        <v>2.95950781</v>
      </c>
      <c r="I23" s="18" t="s">
        <v>431</v>
      </c>
      <c r="J23" s="20" t="s">
        <v>431</v>
      </c>
      <c r="K23" s="18" t="n">
        <v>0.00716873</v>
      </c>
      <c r="L23" s="20" t="n">
        <v>0.00715676</v>
      </c>
      <c r="M23" s="18" t="n">
        <v>0</v>
      </c>
      <c r="N23" s="20" t="n">
        <v>0</v>
      </c>
      <c r="O23" s="18" t="n">
        <v>0</v>
      </c>
      <c r="P23" s="20" t="n">
        <v>0</v>
      </c>
      <c r="Q23" s="18" t="n">
        <v>3.32909364</v>
      </c>
      <c r="R23" s="20" t="n">
        <v>0.98815556</v>
      </c>
    </row>
    <row r="24" spans="1:18">
      <c r="A24" s="15" t="s">
        <v>448</v>
      </c>
      <c r="B24" s="17" t="n">
        <v>3338</v>
      </c>
      <c r="C24" s="18">
        <f>(2919.0/B24*100)</f>
        <v/>
      </c>
      <c r="D24" s="19" t="n">
        <v>419</v>
      </c>
      <c r="E24" s="18" t="n">
        <v>23.37768491</v>
      </c>
      <c r="F24" s="20" t="n">
        <v>2.17298184</v>
      </c>
      <c r="G24" s="18" t="n">
        <v>75.14785843999999</v>
      </c>
      <c r="H24" s="20" t="n">
        <v>2.22941968</v>
      </c>
      <c r="I24" s="18" t="s">
        <v>431</v>
      </c>
      <c r="J24" s="20" t="s">
        <v>431</v>
      </c>
      <c r="K24" s="18" t="n">
        <v>0</v>
      </c>
      <c r="L24" s="20" t="n">
        <v>0</v>
      </c>
      <c r="M24" s="18" t="n">
        <v>0</v>
      </c>
      <c r="N24" s="20" t="n">
        <v>0</v>
      </c>
      <c r="O24" s="18" t="n">
        <v>0</v>
      </c>
      <c r="P24" s="20" t="n">
        <v>0</v>
      </c>
      <c r="Q24" s="18" t="n">
        <v>1.47445665</v>
      </c>
      <c r="R24" s="20" t="n">
        <v>0.47555241</v>
      </c>
    </row>
    <row r="25" spans="1:18">
      <c r="A25" s="15" t="s">
        <v>449</v>
      </c>
      <c r="B25" s="17" t="n">
        <v>2912</v>
      </c>
      <c r="C25" s="18">
        <f>(2567.0/B25*100)</f>
        <v/>
      </c>
      <c r="D25" s="19" t="n">
        <v>345</v>
      </c>
      <c r="E25" s="18" t="n">
        <v>19.07270631</v>
      </c>
      <c r="F25" s="20" t="n">
        <v>2.54807273</v>
      </c>
      <c r="G25" s="18" t="n">
        <v>80.01543019</v>
      </c>
      <c r="H25" s="20" t="n">
        <v>2.72294976</v>
      </c>
      <c r="I25" s="18" t="s">
        <v>431</v>
      </c>
      <c r="J25" s="20" t="s">
        <v>431</v>
      </c>
      <c r="K25" s="18" t="n">
        <v>0.27989506</v>
      </c>
      <c r="L25" s="20" t="n">
        <v>0.27644211</v>
      </c>
      <c r="M25" s="18" t="n">
        <v>0</v>
      </c>
      <c r="N25" s="20" t="n">
        <v>0</v>
      </c>
      <c r="O25" s="18" t="n">
        <v>0</v>
      </c>
      <c r="P25" s="20" t="n">
        <v>0</v>
      </c>
      <c r="Q25" s="18" t="n">
        <v>0.63196844</v>
      </c>
      <c r="R25" s="20" t="n">
        <v>0.38774796</v>
      </c>
    </row>
    <row r="26" spans="1:18">
      <c r="A26" s="15" t="s">
        <v>450</v>
      </c>
      <c r="B26" s="17" t="n">
        <v>2450</v>
      </c>
      <c r="C26" s="18">
        <f>(2156.0/B26*100)</f>
        <v/>
      </c>
      <c r="D26" s="19" t="n">
        <v>294</v>
      </c>
      <c r="E26" s="18" t="n">
        <v>47.69977119</v>
      </c>
      <c r="F26" s="20" t="n">
        <v>3.34176867</v>
      </c>
      <c r="G26" s="18" t="n">
        <v>47.85503436</v>
      </c>
      <c r="H26" s="20" t="n">
        <v>3.07067453</v>
      </c>
      <c r="I26" s="18" t="s">
        <v>431</v>
      </c>
      <c r="J26" s="20" t="s">
        <v>431</v>
      </c>
      <c r="K26" s="18" t="n">
        <v>0</v>
      </c>
      <c r="L26" s="20" t="n">
        <v>0</v>
      </c>
      <c r="M26" s="18" t="n">
        <v>0</v>
      </c>
      <c r="N26" s="20" t="n">
        <v>0</v>
      </c>
      <c r="O26" s="18" t="n">
        <v>0</v>
      </c>
      <c r="P26" s="20" t="n">
        <v>0</v>
      </c>
      <c r="Q26" s="18" t="n">
        <v>4.44519445</v>
      </c>
      <c r="R26" s="20" t="n">
        <v>1.52499037</v>
      </c>
    </row>
    <row r="27" spans="1:18">
      <c r="A27" s="15" t="s">
        <v>451</v>
      </c>
      <c r="B27" s="17" t="n">
        <v>2616</v>
      </c>
      <c r="C27" s="18">
        <f>(2283.0/B27*100)</f>
        <v/>
      </c>
      <c r="D27" s="19" t="n">
        <v>333</v>
      </c>
      <c r="E27" s="18" t="n">
        <v>38.91316594</v>
      </c>
      <c r="F27" s="20" t="n">
        <v>2.78411043</v>
      </c>
      <c r="G27" s="18" t="n">
        <v>58.12286053</v>
      </c>
      <c r="H27" s="20" t="n">
        <v>2.77014394</v>
      </c>
      <c r="I27" s="18" t="s">
        <v>431</v>
      </c>
      <c r="J27" s="20" t="s">
        <v>431</v>
      </c>
      <c r="K27" s="18" t="n">
        <v>0.29826066</v>
      </c>
      <c r="L27" s="20" t="n">
        <v>0.29680748</v>
      </c>
      <c r="M27" s="18" t="n">
        <v>0</v>
      </c>
      <c r="N27" s="20" t="n">
        <v>0</v>
      </c>
      <c r="O27" s="18" t="n">
        <v>0</v>
      </c>
      <c r="P27" s="20" t="n">
        <v>0</v>
      </c>
      <c r="Q27" s="18" t="n">
        <v>2.66571286</v>
      </c>
      <c r="R27" s="20" t="n">
        <v>0.88262149</v>
      </c>
    </row>
    <row r="28" spans="1:18">
      <c r="A28" s="15" t="s">
        <v>452</v>
      </c>
      <c r="B28" s="17" t="n">
        <v>3765</v>
      </c>
      <c r="C28" s="18">
        <f>(3337.0/B28*100)</f>
        <v/>
      </c>
      <c r="D28" s="19" t="n">
        <v>428</v>
      </c>
      <c r="E28" s="18" t="n">
        <v>50.54147102</v>
      </c>
      <c r="F28" s="20" t="n">
        <v>2.64460759</v>
      </c>
      <c r="G28" s="18" t="n">
        <v>46.94147663</v>
      </c>
      <c r="H28" s="20" t="n">
        <v>2.69416084</v>
      </c>
      <c r="I28" s="18" t="s">
        <v>431</v>
      </c>
      <c r="J28" s="20" t="s">
        <v>431</v>
      </c>
      <c r="K28" s="18" t="n">
        <v>0</v>
      </c>
      <c r="L28" s="20" t="n">
        <v>0</v>
      </c>
      <c r="M28" s="18" t="n">
        <v>0</v>
      </c>
      <c r="N28" s="20" t="n">
        <v>0</v>
      </c>
      <c r="O28" s="18" t="n">
        <v>0</v>
      </c>
      <c r="P28" s="20" t="n">
        <v>0</v>
      </c>
      <c r="Q28" s="18" t="n">
        <v>2.51705234</v>
      </c>
      <c r="R28" s="20" t="n">
        <v>1.01706492</v>
      </c>
    </row>
    <row r="29" spans="1:18">
      <c r="A29" s="15" t="s">
        <v>453</v>
      </c>
      <c r="B29" s="17" t="n">
        <v>2685</v>
      </c>
      <c r="C29" s="18">
        <f>(2357.0/B29*100)</f>
        <v/>
      </c>
      <c r="D29" s="19" t="n">
        <v>328</v>
      </c>
      <c r="E29" s="18" t="n">
        <v>27.47790683</v>
      </c>
      <c r="F29" s="20" t="n">
        <v>2.83582805</v>
      </c>
      <c r="G29" s="18" t="n">
        <v>70.38141188</v>
      </c>
      <c r="H29" s="20" t="n">
        <v>2.74446348</v>
      </c>
      <c r="I29" s="18" t="s">
        <v>431</v>
      </c>
      <c r="J29" s="20" t="s">
        <v>431</v>
      </c>
      <c r="K29" s="18" t="n">
        <v>0</v>
      </c>
      <c r="L29" s="20" t="n">
        <v>0</v>
      </c>
      <c r="M29" s="18" t="n">
        <v>0</v>
      </c>
      <c r="N29" s="20" t="n">
        <v>0</v>
      </c>
      <c r="O29" s="18" t="n">
        <v>0</v>
      </c>
      <c r="P29" s="20" t="n">
        <v>0</v>
      </c>
      <c r="Q29" s="18" t="n">
        <v>2.14068129</v>
      </c>
      <c r="R29" s="20" t="n">
        <v>0.78766897</v>
      </c>
    </row>
    <row r="30" spans="1:18">
      <c r="A30" s="15" t="s">
        <v>454</v>
      </c>
      <c r="B30" s="17" t="n">
        <v>2263</v>
      </c>
      <c r="C30" s="18">
        <f>(1974.0/B30*100)</f>
        <v/>
      </c>
      <c r="D30" s="19" t="n">
        <v>289</v>
      </c>
      <c r="E30" s="18" t="n">
        <v>46.02607508</v>
      </c>
      <c r="F30" s="20" t="n">
        <v>3.40841572</v>
      </c>
      <c r="G30" s="18" t="n">
        <v>51.40117503</v>
      </c>
      <c r="H30" s="20" t="n">
        <v>3.16752157</v>
      </c>
      <c r="I30" s="18" t="s">
        <v>431</v>
      </c>
      <c r="J30" s="20" t="s">
        <v>431</v>
      </c>
      <c r="K30" s="18" t="n">
        <v>0</v>
      </c>
      <c r="L30" s="20" t="n">
        <v>0</v>
      </c>
      <c r="M30" s="18" t="n">
        <v>0</v>
      </c>
      <c r="N30" s="20" t="n">
        <v>0</v>
      </c>
      <c r="O30" s="18" t="n">
        <v>0</v>
      </c>
      <c r="P30" s="20" t="n">
        <v>0</v>
      </c>
      <c r="Q30" s="18" t="n">
        <v>2.57274989</v>
      </c>
      <c r="R30" s="20" t="n">
        <v>1.07731461</v>
      </c>
    </row>
    <row r="31" spans="1:18">
      <c r="A31" s="15" t="s">
        <v>455</v>
      </c>
      <c r="B31" s="17" t="n">
        <v>2750</v>
      </c>
      <c r="C31" s="18">
        <f>(2421.0/B31*100)</f>
        <v/>
      </c>
      <c r="D31" s="19" t="n">
        <v>329</v>
      </c>
      <c r="E31" s="18" t="n">
        <v>35.24093562</v>
      </c>
      <c r="F31" s="20" t="n">
        <v>2.89658117</v>
      </c>
      <c r="G31" s="18" t="n">
        <v>63.57582612</v>
      </c>
      <c r="H31" s="20" t="n">
        <v>2.94217886</v>
      </c>
      <c r="I31" s="18" t="s">
        <v>431</v>
      </c>
      <c r="J31" s="20" t="s">
        <v>431</v>
      </c>
      <c r="K31" s="18" t="n">
        <v>0</v>
      </c>
      <c r="L31" s="20" t="n">
        <v>0</v>
      </c>
      <c r="M31" s="18" t="n">
        <v>0</v>
      </c>
      <c r="N31" s="20" t="n">
        <v>0</v>
      </c>
      <c r="O31" s="18" t="n">
        <v>0</v>
      </c>
      <c r="P31" s="20" t="n">
        <v>0</v>
      </c>
      <c r="Q31" s="18" t="n">
        <v>1.18323826</v>
      </c>
      <c r="R31" s="20" t="n">
        <v>0.58119774</v>
      </c>
    </row>
    <row r="32" spans="1:18">
      <c r="A32" s="15" t="s">
        <v>456</v>
      </c>
      <c r="B32" s="17" t="n">
        <v>2269</v>
      </c>
      <c r="C32" s="18">
        <f>(1907.0/B32*100)</f>
        <v/>
      </c>
      <c r="D32" s="19" t="n">
        <v>362</v>
      </c>
      <c r="E32" s="18" t="n">
        <v>42.63669425</v>
      </c>
      <c r="F32" s="20" t="n">
        <v>2.52042335</v>
      </c>
      <c r="G32" s="18" t="n">
        <v>40.90414669</v>
      </c>
      <c r="H32" s="20" t="n">
        <v>2.67553588</v>
      </c>
      <c r="I32" s="18" t="s">
        <v>431</v>
      </c>
      <c r="J32" s="20" t="s">
        <v>431</v>
      </c>
      <c r="K32" s="18" t="n">
        <v>0.26757948</v>
      </c>
      <c r="L32" s="20" t="n">
        <v>0.25070816</v>
      </c>
      <c r="M32" s="18" t="n">
        <v>0</v>
      </c>
      <c r="N32" s="20" t="n">
        <v>0</v>
      </c>
      <c r="O32" s="18" t="n">
        <v>0</v>
      </c>
      <c r="P32" s="20" t="n">
        <v>0</v>
      </c>
      <c r="Q32" s="18" t="n">
        <v>16.19157958</v>
      </c>
      <c r="R32" s="20" t="n">
        <v>2.17127759</v>
      </c>
    </row>
    <row r="33" spans="1:18">
      <c r="A33" s="15" t="s">
        <v>457</v>
      </c>
      <c r="B33" s="17" t="n">
        <v>3674</v>
      </c>
      <c r="C33" s="18">
        <f>(3200.0/B33*100)</f>
        <v/>
      </c>
      <c r="D33" s="19" t="n">
        <v>474</v>
      </c>
      <c r="E33" s="18" t="n">
        <v>48.0292574</v>
      </c>
      <c r="F33" s="20" t="n">
        <v>2.78280957</v>
      </c>
      <c r="G33" s="18" t="n">
        <v>43.94630008</v>
      </c>
      <c r="H33" s="20" t="n">
        <v>2.83760482</v>
      </c>
      <c r="I33" s="18" t="s">
        <v>431</v>
      </c>
      <c r="J33" s="20" t="s">
        <v>431</v>
      </c>
      <c r="K33" s="18" t="n">
        <v>0.07870195000000001</v>
      </c>
      <c r="L33" s="20" t="n">
        <v>0.09865691</v>
      </c>
      <c r="M33" s="18" t="n">
        <v>0</v>
      </c>
      <c r="N33" s="20" t="n">
        <v>0</v>
      </c>
      <c r="O33" s="18" t="n">
        <v>0</v>
      </c>
      <c r="P33" s="20" t="n">
        <v>0</v>
      </c>
      <c r="Q33" s="18" t="n">
        <v>7.94574056</v>
      </c>
      <c r="R33" s="20" t="n">
        <v>1.52815107</v>
      </c>
    </row>
    <row r="34" spans="1:18">
      <c r="A34" s="15" t="s">
        <v>458</v>
      </c>
      <c r="B34" s="17" t="n">
        <v>3315</v>
      </c>
      <c r="C34" s="18">
        <f>(2921.0/B34*100)</f>
        <v/>
      </c>
      <c r="D34" s="19" t="n">
        <v>394</v>
      </c>
      <c r="E34" s="18" t="n">
        <v>34.45425937</v>
      </c>
      <c r="F34" s="20" t="n">
        <v>2.75598532</v>
      </c>
      <c r="G34" s="18" t="n">
        <v>63.42827973</v>
      </c>
      <c r="H34" s="20" t="n">
        <v>2.82441459</v>
      </c>
      <c r="I34" s="18" t="s">
        <v>431</v>
      </c>
      <c r="J34" s="20" t="s">
        <v>431</v>
      </c>
      <c r="K34" s="18" t="n">
        <v>0.19660557</v>
      </c>
      <c r="L34" s="20" t="n">
        <v>0.19677975</v>
      </c>
      <c r="M34" s="18" t="n">
        <v>0</v>
      </c>
      <c r="N34" s="20" t="n">
        <v>0</v>
      </c>
      <c r="O34" s="18" t="n">
        <v>0</v>
      </c>
      <c r="P34" s="20" t="n">
        <v>0</v>
      </c>
      <c r="Q34" s="18" t="n">
        <v>1.92085533</v>
      </c>
      <c r="R34" s="20" t="n">
        <v>0.69127843</v>
      </c>
    </row>
    <row r="35" spans="1:18">
      <c r="A35" s="15" t="s">
        <v>459</v>
      </c>
      <c r="B35" s="17" t="n">
        <v>3505</v>
      </c>
      <c r="C35" s="18">
        <f>(3070.0/B35*100)</f>
        <v/>
      </c>
      <c r="D35" s="19" t="n">
        <v>435</v>
      </c>
      <c r="E35" s="18" t="n">
        <v>24.54001502</v>
      </c>
      <c r="F35" s="20" t="n">
        <v>2.13132976</v>
      </c>
      <c r="G35" s="18" t="n">
        <v>65.34353708</v>
      </c>
      <c r="H35" s="20" t="n">
        <v>2.72826489</v>
      </c>
      <c r="I35" s="18" t="s">
        <v>431</v>
      </c>
      <c r="J35" s="20" t="s">
        <v>431</v>
      </c>
      <c r="K35" s="18" t="n">
        <v>0</v>
      </c>
      <c r="L35" s="20" t="n">
        <v>0</v>
      </c>
      <c r="M35" s="18" t="n">
        <v>0</v>
      </c>
      <c r="N35" s="20" t="n">
        <v>0</v>
      </c>
      <c r="O35" s="18" t="n">
        <v>0</v>
      </c>
      <c r="P35" s="20" t="n">
        <v>0</v>
      </c>
      <c r="Q35" s="18" t="n">
        <v>10.1164479</v>
      </c>
      <c r="R35" s="20" t="n">
        <v>1.71052907</v>
      </c>
    </row>
    <row r="36" spans="1:18">
      <c r="A36" s="15" t="s">
        <v>460</v>
      </c>
      <c r="B36" s="17" t="n">
        <v>3332</v>
      </c>
      <c r="C36" s="18">
        <f>(2912.0/B36*100)</f>
        <v/>
      </c>
      <c r="D36" s="19" t="n">
        <v>420</v>
      </c>
      <c r="E36" s="18" t="n">
        <v>15.39638685</v>
      </c>
      <c r="F36" s="20" t="n">
        <v>2.07305097</v>
      </c>
      <c r="G36" s="18" t="n">
        <v>8.959895360000001</v>
      </c>
      <c r="H36" s="20" t="n">
        <v>1.55605702</v>
      </c>
      <c r="I36" s="18" t="s">
        <v>431</v>
      </c>
      <c r="J36" s="20" t="s">
        <v>431</v>
      </c>
      <c r="K36" s="18" t="n">
        <v>0</v>
      </c>
      <c r="L36" s="20" t="n">
        <v>0</v>
      </c>
      <c r="M36" s="18" t="n">
        <v>75.12303826</v>
      </c>
      <c r="N36" s="20" t="n">
        <v>2.18962625</v>
      </c>
      <c r="O36" s="18" t="n">
        <v>0</v>
      </c>
      <c r="P36" s="20" t="n">
        <v>0</v>
      </c>
      <c r="Q36" s="18" t="n">
        <v>0.52067953</v>
      </c>
      <c r="R36" s="20" t="n">
        <v>0.37735689</v>
      </c>
    </row>
    <row r="37" spans="1:18">
      <c r="A37" s="15" t="s">
        <v>461</v>
      </c>
      <c r="B37" s="17" t="n">
        <v>2727</v>
      </c>
      <c r="C37" s="18">
        <f>(2376.0/B37*100)</f>
        <v/>
      </c>
      <c r="D37" s="19" t="n">
        <v>351</v>
      </c>
      <c r="E37" s="18" t="n">
        <v>46.30930191</v>
      </c>
      <c r="F37" s="20" t="n">
        <v>2.79338644</v>
      </c>
      <c r="G37" s="18" t="n">
        <v>50.78041197</v>
      </c>
      <c r="H37" s="20" t="n">
        <v>2.73946563</v>
      </c>
      <c r="I37" s="18" t="s">
        <v>431</v>
      </c>
      <c r="J37" s="20" t="s">
        <v>431</v>
      </c>
      <c r="K37" s="18" t="n">
        <v>1.09591906</v>
      </c>
      <c r="L37" s="20" t="n">
        <v>0.54765454</v>
      </c>
      <c r="M37" s="18" t="n">
        <v>0</v>
      </c>
      <c r="N37" s="20" t="n">
        <v>0</v>
      </c>
      <c r="O37" s="18" t="n">
        <v>0</v>
      </c>
      <c r="P37" s="20" t="n">
        <v>0</v>
      </c>
      <c r="Q37" s="18" t="n">
        <v>1.81436705</v>
      </c>
      <c r="R37" s="20" t="n">
        <v>0.68989747</v>
      </c>
    </row>
    <row r="38" spans="1:18">
      <c r="A38" s="15" t="s">
        <v>462</v>
      </c>
      <c r="B38" s="17" t="n">
        <v>3053</v>
      </c>
      <c r="C38" s="18">
        <f>(2583.0/B38*100)</f>
        <v/>
      </c>
      <c r="D38" s="19" t="n">
        <v>470</v>
      </c>
      <c r="E38" s="18" t="n">
        <v>35.60127422</v>
      </c>
      <c r="F38" s="20" t="n">
        <v>2.27850051</v>
      </c>
      <c r="G38" s="18" t="n">
        <v>59.10738285</v>
      </c>
      <c r="H38" s="20" t="n">
        <v>2.45576466</v>
      </c>
      <c r="I38" s="18" t="s">
        <v>431</v>
      </c>
      <c r="J38" s="20" t="s">
        <v>431</v>
      </c>
      <c r="K38" s="18" t="n">
        <v>0.37878394</v>
      </c>
      <c r="L38" s="20" t="n">
        <v>0.20594233</v>
      </c>
      <c r="M38" s="18" t="n">
        <v>0</v>
      </c>
      <c r="N38" s="20" t="n">
        <v>0</v>
      </c>
      <c r="O38" s="18" t="n">
        <v>0</v>
      </c>
      <c r="P38" s="20" t="n">
        <v>0</v>
      </c>
      <c r="Q38" s="18" t="n">
        <v>4.91255899</v>
      </c>
      <c r="R38" s="20" t="n">
        <v>1.36471719</v>
      </c>
    </row>
    <row r="39" spans="1:18">
      <c r="A39" s="15" t="s">
        <v>463</v>
      </c>
      <c r="B39" s="17" t="n">
        <v>2957</v>
      </c>
      <c r="C39" s="18">
        <f>(2590.0/B39*100)</f>
        <v/>
      </c>
      <c r="D39" s="19" t="n">
        <v>367</v>
      </c>
      <c r="E39" s="18" t="n">
        <v>44.83509241</v>
      </c>
      <c r="F39" s="20" t="n">
        <v>3.46183251</v>
      </c>
      <c r="G39" s="18" t="n">
        <v>47.72191986</v>
      </c>
      <c r="H39" s="20" t="n">
        <v>3.6644963</v>
      </c>
      <c r="I39" s="18" t="s">
        <v>431</v>
      </c>
      <c r="J39" s="20" t="s">
        <v>431</v>
      </c>
      <c r="K39" s="18" t="n">
        <v>0.34303425</v>
      </c>
      <c r="L39" s="20" t="n">
        <v>0.34244493</v>
      </c>
      <c r="M39" s="18" t="n">
        <v>0</v>
      </c>
      <c r="N39" s="20" t="n">
        <v>0</v>
      </c>
      <c r="O39" s="18" t="n">
        <v>0</v>
      </c>
      <c r="P39" s="20" t="n">
        <v>0</v>
      </c>
      <c r="Q39" s="18" t="n">
        <v>7.09995348</v>
      </c>
      <c r="R39" s="20" t="n">
        <v>1.26085996</v>
      </c>
    </row>
    <row r="40" spans="1:18">
      <c r="A40" s="15" t="s">
        <v>464</v>
      </c>
      <c r="B40" s="17" t="n">
        <v>7235</v>
      </c>
      <c r="C40" s="18">
        <f>(6331.0/B40*100)</f>
        <v/>
      </c>
      <c r="D40" s="19" t="n">
        <v>904</v>
      </c>
      <c r="E40" s="18" t="n">
        <v>50.05231347</v>
      </c>
      <c r="F40" s="20" t="n">
        <v>2.52259541</v>
      </c>
      <c r="G40" s="18" t="n">
        <v>46.51377886</v>
      </c>
      <c r="H40" s="20" t="n">
        <v>2.50432146</v>
      </c>
      <c r="I40" s="18" t="s">
        <v>431</v>
      </c>
      <c r="J40" s="20" t="s">
        <v>431</v>
      </c>
      <c r="K40" s="18" t="n">
        <v>0.139083</v>
      </c>
      <c r="L40" s="20" t="n">
        <v>0.08617244</v>
      </c>
      <c r="M40" s="18" t="n">
        <v>0</v>
      </c>
      <c r="N40" s="20" t="n">
        <v>0</v>
      </c>
      <c r="O40" s="18" t="n">
        <v>0</v>
      </c>
      <c r="P40" s="20" t="n">
        <v>0</v>
      </c>
      <c r="Q40" s="18" t="n">
        <v>3.29482467</v>
      </c>
      <c r="R40" s="20" t="n">
        <v>0.81210563</v>
      </c>
    </row>
    <row r="41" spans="1:18">
      <c r="A41" s="15" t="s">
        <v>465</v>
      </c>
      <c r="B41" s="17" t="n">
        <v>2858</v>
      </c>
      <c r="C41" s="18">
        <f>(2523.0/B41*100)</f>
        <v/>
      </c>
      <c r="D41" s="19" t="n">
        <v>335</v>
      </c>
      <c r="E41" s="18" t="n">
        <v>30.61144814</v>
      </c>
      <c r="F41" s="20" t="n">
        <v>2.55469471</v>
      </c>
      <c r="G41" s="18" t="n">
        <v>67.62914515999999</v>
      </c>
      <c r="H41" s="20" t="n">
        <v>2.66187752</v>
      </c>
      <c r="I41" s="18" t="s">
        <v>431</v>
      </c>
      <c r="J41" s="20" t="s">
        <v>431</v>
      </c>
      <c r="K41" s="18" t="n">
        <v>0</v>
      </c>
      <c r="L41" s="20" t="n">
        <v>0</v>
      </c>
      <c r="M41" s="18" t="n">
        <v>0</v>
      </c>
      <c r="N41" s="20" t="n">
        <v>0</v>
      </c>
      <c r="O41" s="18" t="n">
        <v>0</v>
      </c>
      <c r="P41" s="20" t="n">
        <v>0</v>
      </c>
      <c r="Q41" s="18" t="n">
        <v>1.7594067</v>
      </c>
      <c r="R41" s="20" t="n">
        <v>0.67074346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(9763.0/B46*100)</f>
        <v/>
      </c>
      <c r="D46" s="19" t="n">
        <v>1305</v>
      </c>
      <c r="E46" s="18" t="n">
        <v>63.27456662</v>
      </c>
      <c r="F46" s="20" t="n">
        <v>1.83078819</v>
      </c>
      <c r="G46" s="18" t="n">
        <v>32.12571664</v>
      </c>
      <c r="H46" s="20" t="n">
        <v>1.80417435</v>
      </c>
      <c r="I46" s="18" t="s">
        <v>431</v>
      </c>
      <c r="J46" s="20" t="s">
        <v>431</v>
      </c>
      <c r="K46" s="18" t="n">
        <v>0.53026842</v>
      </c>
      <c r="L46" s="20" t="n">
        <v>0.23631814</v>
      </c>
      <c r="M46" s="18" t="n">
        <v>0</v>
      </c>
      <c r="N46" s="20" t="n">
        <v>0</v>
      </c>
      <c r="O46" s="18" t="n">
        <v>0</v>
      </c>
      <c r="P46" s="20" t="n">
        <v>0</v>
      </c>
      <c r="Q46" s="18" t="n">
        <v>4.06944832</v>
      </c>
      <c r="R46" s="20" t="n">
        <v>0.75673773</v>
      </c>
    </row>
    <row r="47" spans="1:18">
      <c r="A47" s="15" t="s">
        <v>471</v>
      </c>
      <c r="B47" s="17" t="n">
        <v>3105</v>
      </c>
      <c r="C47" s="18">
        <f>(2718.0/B47*100)</f>
        <v/>
      </c>
      <c r="D47" s="19" t="n">
        <v>387</v>
      </c>
      <c r="E47" s="18" t="n">
        <v>54.44173356</v>
      </c>
      <c r="F47" s="20" t="n">
        <v>2.53224851</v>
      </c>
      <c r="G47" s="18" t="n">
        <v>31.41154614</v>
      </c>
      <c r="H47" s="20" t="n">
        <v>2.37730474</v>
      </c>
      <c r="I47" s="18" t="s">
        <v>431</v>
      </c>
      <c r="J47" s="20" t="s">
        <v>431</v>
      </c>
      <c r="K47" s="18" t="n">
        <v>0.80084689</v>
      </c>
      <c r="L47" s="20" t="n">
        <v>0.60284164</v>
      </c>
      <c r="M47" s="18" t="n">
        <v>0</v>
      </c>
      <c r="N47" s="20" t="n">
        <v>0</v>
      </c>
      <c r="O47" s="18" t="n">
        <v>0</v>
      </c>
      <c r="P47" s="20" t="n">
        <v>0</v>
      </c>
      <c r="Q47" s="18" t="n">
        <v>13.3458734</v>
      </c>
      <c r="R47" s="20" t="n">
        <v>1.56825883</v>
      </c>
    </row>
    <row r="48" spans="1:18">
      <c r="A48" s="15" t="s">
        <v>472</v>
      </c>
      <c r="B48" s="17" t="n">
        <v>5159</v>
      </c>
      <c r="C48" s="18">
        <f>(4527.0/B48*100)</f>
        <v/>
      </c>
      <c r="D48" s="19" t="n">
        <v>632</v>
      </c>
      <c r="E48" s="18" t="n">
        <v>16.96563876</v>
      </c>
      <c r="F48" s="20" t="n">
        <v>1.88061429</v>
      </c>
      <c r="G48" s="18" t="n">
        <v>81.63000008</v>
      </c>
      <c r="H48" s="20" t="n">
        <v>1.90104233</v>
      </c>
      <c r="I48" s="18" t="s">
        <v>431</v>
      </c>
      <c r="J48" s="20" t="s">
        <v>431</v>
      </c>
      <c r="K48" s="18" t="n">
        <v>0</v>
      </c>
      <c r="L48" s="20" t="n">
        <v>0</v>
      </c>
      <c r="M48" s="18" t="n">
        <v>0</v>
      </c>
      <c r="N48" s="20" t="n">
        <v>0</v>
      </c>
      <c r="O48" s="18" t="n">
        <v>0</v>
      </c>
      <c r="P48" s="20" t="n">
        <v>0</v>
      </c>
      <c r="Q48" s="18" t="n">
        <v>1.40436116</v>
      </c>
      <c r="R48" s="20" t="n">
        <v>0.66885186</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(4957.0/B50*100)</f>
        <v/>
      </c>
      <c r="D50" s="19" t="n">
        <v>680</v>
      </c>
      <c r="E50" s="18" t="n">
        <v>45.93244441</v>
      </c>
      <c r="F50" s="20" t="n">
        <v>2.70243067</v>
      </c>
      <c r="G50" s="18" t="n">
        <v>49.72218584</v>
      </c>
      <c r="H50" s="20" t="n">
        <v>2.79664574</v>
      </c>
      <c r="I50" s="18" t="s">
        <v>431</v>
      </c>
      <c r="J50" s="20" t="s">
        <v>431</v>
      </c>
      <c r="K50" s="18" t="n">
        <v>0.2560194</v>
      </c>
      <c r="L50" s="20" t="n">
        <v>0.27248391</v>
      </c>
      <c r="M50" s="18" t="n">
        <v>0</v>
      </c>
      <c r="N50" s="20" t="n">
        <v>0</v>
      </c>
      <c r="O50" s="18" t="n">
        <v>0</v>
      </c>
      <c r="P50" s="20" t="n">
        <v>0</v>
      </c>
      <c r="Q50" s="18" t="n">
        <v>4.08935034</v>
      </c>
      <c r="R50" s="20" t="n">
        <v>1.22636409</v>
      </c>
    </row>
    <row r="51" spans="1:18">
      <c r="A51" s="15" t="s">
        <v>475</v>
      </c>
      <c r="B51" s="17" t="n">
        <v>3372</v>
      </c>
      <c r="C51" s="18">
        <f>(3001.0/B51*100)</f>
        <v/>
      </c>
      <c r="D51" s="19" t="n">
        <v>371</v>
      </c>
      <c r="E51" s="18" t="n">
        <v>47.76857945</v>
      </c>
      <c r="F51" s="20" t="n">
        <v>2.78408395</v>
      </c>
      <c r="G51" s="18" t="n">
        <v>48.54248527</v>
      </c>
      <c r="H51" s="20" t="n">
        <v>2.82779811</v>
      </c>
      <c r="I51" s="18" t="s">
        <v>431</v>
      </c>
      <c r="J51" s="20" t="s">
        <v>431</v>
      </c>
      <c r="K51" s="18" t="n">
        <v>0</v>
      </c>
      <c r="L51" s="20" t="n">
        <v>0</v>
      </c>
      <c r="M51" s="18" t="n">
        <v>0</v>
      </c>
      <c r="N51" s="20" t="n">
        <v>0</v>
      </c>
      <c r="O51" s="18" t="n">
        <v>0</v>
      </c>
      <c r="P51" s="20" t="n">
        <v>0</v>
      </c>
      <c r="Q51" s="18" t="n">
        <v>3.68893529</v>
      </c>
      <c r="R51" s="20" t="n">
        <v>1.02422718</v>
      </c>
    </row>
    <row r="52" spans="1:18">
      <c r="A52" s="15" t="s">
        <v>476</v>
      </c>
      <c r="B52" s="17" t="n">
        <v>2796</v>
      </c>
      <c r="C52" s="18">
        <f>(2442.0/B52*100)</f>
        <v/>
      </c>
      <c r="D52" s="19" t="n">
        <v>354</v>
      </c>
      <c r="E52" s="18" t="n">
        <v>49.08710072</v>
      </c>
      <c r="F52" s="20" t="n">
        <v>2.11942889</v>
      </c>
      <c r="G52" s="18" t="n">
        <v>48.73208725</v>
      </c>
      <c r="H52" s="20" t="n">
        <v>2.13604698</v>
      </c>
      <c r="I52" s="18" t="s">
        <v>431</v>
      </c>
      <c r="J52" s="20" t="s">
        <v>431</v>
      </c>
      <c r="K52" s="18" t="n">
        <v>0.35679738</v>
      </c>
      <c r="L52" s="20" t="n">
        <v>0.36127451</v>
      </c>
      <c r="M52" s="18" t="n">
        <v>0</v>
      </c>
      <c r="N52" s="20" t="n">
        <v>0</v>
      </c>
      <c r="O52" s="18" t="n">
        <v>0</v>
      </c>
      <c r="P52" s="20" t="n">
        <v>0</v>
      </c>
      <c r="Q52" s="18" t="n">
        <v>1.82401465</v>
      </c>
      <c r="R52" s="20" t="n">
        <v>0.75313393</v>
      </c>
    </row>
    <row r="53" spans="1:18">
      <c r="A53" s="15" t="s">
        <v>477</v>
      </c>
      <c r="B53" s="17" t="n">
        <v>2811</v>
      </c>
      <c r="C53" s="18">
        <f>(2483.0/B53*100)</f>
        <v/>
      </c>
      <c r="D53" s="19" t="n">
        <v>328</v>
      </c>
      <c r="E53" s="18" t="n">
        <v>46.4975094</v>
      </c>
      <c r="F53" s="20" t="n">
        <v>2.79177219</v>
      </c>
      <c r="G53" s="18" t="n">
        <v>41.80993846</v>
      </c>
      <c r="H53" s="20" t="n">
        <v>2.78216894</v>
      </c>
      <c r="I53" s="18" t="s">
        <v>431</v>
      </c>
      <c r="J53" s="20" t="s">
        <v>431</v>
      </c>
      <c r="K53" s="18" t="n">
        <v>0.41129037</v>
      </c>
      <c r="L53" s="20" t="n">
        <v>0.41208272</v>
      </c>
      <c r="M53" s="18" t="n">
        <v>0</v>
      </c>
      <c r="N53" s="20" t="n">
        <v>0</v>
      </c>
      <c r="O53" s="18" t="n">
        <v>0</v>
      </c>
      <c r="P53" s="20" t="n">
        <v>0</v>
      </c>
      <c r="Q53" s="18" t="n">
        <v>11.28126177</v>
      </c>
      <c r="R53" s="20" t="n">
        <v>1.91207315</v>
      </c>
    </row>
    <row r="54" spans="1:18">
      <c r="A54" s="15" t="s">
        <v>478</v>
      </c>
      <c r="B54" s="17" t="n">
        <v>2266</v>
      </c>
      <c r="C54" s="18">
        <f>(1879.0/B54*100)</f>
        <v/>
      </c>
      <c r="D54" s="19" t="n">
        <v>387</v>
      </c>
      <c r="E54" s="18" t="n">
        <v>55.45346374</v>
      </c>
      <c r="F54" s="20" t="n">
        <v>2.95629464</v>
      </c>
      <c r="G54" s="18" t="n">
        <v>20.90167699</v>
      </c>
      <c r="H54" s="20" t="n">
        <v>2.20617104</v>
      </c>
      <c r="I54" s="18" t="s">
        <v>431</v>
      </c>
      <c r="J54" s="20" t="s">
        <v>431</v>
      </c>
      <c r="K54" s="18" t="n">
        <v>1.61119338</v>
      </c>
      <c r="L54" s="20" t="n">
        <v>0.89371799</v>
      </c>
      <c r="M54" s="18" t="n">
        <v>0</v>
      </c>
      <c r="N54" s="20" t="n">
        <v>0</v>
      </c>
      <c r="O54" s="18" t="n">
        <v>0</v>
      </c>
      <c r="P54" s="20" t="n">
        <v>0</v>
      </c>
      <c r="Q54" s="18" t="n">
        <v>22.03366589</v>
      </c>
      <c r="R54" s="20" t="n">
        <v>2.6731588</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(2357.0/B56*100)</f>
        <v/>
      </c>
      <c r="D56" s="19" t="n">
        <v>327</v>
      </c>
      <c r="E56" s="18" t="n">
        <v>14.08661174</v>
      </c>
      <c r="F56" s="20" t="n">
        <v>1.94005326</v>
      </c>
      <c r="G56" s="18" t="n">
        <v>82.40189949000001</v>
      </c>
      <c r="H56" s="20" t="n">
        <v>2.4480921</v>
      </c>
      <c r="I56" s="18" t="s">
        <v>431</v>
      </c>
      <c r="J56" s="20" t="s">
        <v>431</v>
      </c>
      <c r="K56" s="18" t="n">
        <v>0</v>
      </c>
      <c r="L56" s="20" t="n">
        <v>0</v>
      </c>
      <c r="M56" s="18" t="n">
        <v>0</v>
      </c>
      <c r="N56" s="20" t="n">
        <v>0</v>
      </c>
      <c r="O56" s="18" t="n">
        <v>0</v>
      </c>
      <c r="P56" s="20" t="n">
        <v>0</v>
      </c>
      <c r="Q56" s="18" t="n">
        <v>3.51148878</v>
      </c>
      <c r="R56" s="20" t="n">
        <v>1.21664316</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(2900.0/B61*100)</f>
        <v/>
      </c>
      <c r="D61" s="19" t="n">
        <v>424</v>
      </c>
      <c r="E61" s="18" t="n">
        <v>35.62898013</v>
      </c>
      <c r="F61" s="20" t="n">
        <v>2.84342606</v>
      </c>
      <c r="G61" s="18" t="n">
        <v>59.25262237</v>
      </c>
      <c r="H61" s="20" t="n">
        <v>2.77854621</v>
      </c>
      <c r="I61" s="18" t="s">
        <v>431</v>
      </c>
      <c r="J61" s="20" t="s">
        <v>431</v>
      </c>
      <c r="K61" s="18" t="n">
        <v>0.28344479</v>
      </c>
      <c r="L61" s="20" t="n">
        <v>0.27433506</v>
      </c>
      <c r="M61" s="18" t="n">
        <v>0</v>
      </c>
      <c r="N61" s="20" t="n">
        <v>0</v>
      </c>
      <c r="O61" s="18" t="n">
        <v>0</v>
      </c>
      <c r="P61" s="20" t="n">
        <v>0</v>
      </c>
      <c r="Q61" s="18" t="n">
        <v>4.83495272</v>
      </c>
      <c r="R61" s="20" t="n">
        <v>1.14241499</v>
      </c>
    </row>
    <row r="62" spans="1:18">
      <c r="A62" s="15" t="s">
        <v>486</v>
      </c>
      <c r="B62" s="17" t="n">
        <v>2246</v>
      </c>
      <c r="C62" s="18">
        <f>(1992.0/B62*100)</f>
        <v/>
      </c>
      <c r="D62" s="19" t="n">
        <v>254</v>
      </c>
      <c r="E62" s="18" t="n">
        <v>26.73796014</v>
      </c>
      <c r="F62" s="20" t="n">
        <v>3.05158669</v>
      </c>
      <c r="G62" s="18" t="n">
        <v>72.87130790000001</v>
      </c>
      <c r="H62" s="20" t="n">
        <v>3.07601808</v>
      </c>
      <c r="I62" s="18" t="s">
        <v>431</v>
      </c>
      <c r="J62" s="20" t="s">
        <v>431</v>
      </c>
      <c r="K62" s="18" t="n">
        <v>0</v>
      </c>
      <c r="L62" s="20" t="n">
        <v>0</v>
      </c>
      <c r="M62" s="18" t="n">
        <v>0</v>
      </c>
      <c r="N62" s="20" t="n">
        <v>0</v>
      </c>
      <c r="O62" s="18" t="n">
        <v>0</v>
      </c>
      <c r="P62" s="20" t="n">
        <v>0</v>
      </c>
      <c r="Q62" s="18" t="n">
        <v>0.39073196</v>
      </c>
      <c r="R62" s="20" t="n">
        <v>0.39238149</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(2556.0/B66*100)</f>
        <v/>
      </c>
      <c r="D66" s="19" t="n">
        <v>338</v>
      </c>
      <c r="E66" s="18" t="n">
        <v>53.48172182</v>
      </c>
      <c r="F66" s="20" t="n">
        <v>2.81527124</v>
      </c>
      <c r="G66" s="18" t="n">
        <v>37.08493959</v>
      </c>
      <c r="H66" s="20" t="n">
        <v>2.77384065</v>
      </c>
      <c r="I66" s="18" t="s">
        <v>431</v>
      </c>
      <c r="J66" s="20" t="s">
        <v>431</v>
      </c>
      <c r="K66" s="18" t="n">
        <v>0</v>
      </c>
      <c r="L66" s="20" t="n">
        <v>0</v>
      </c>
      <c r="M66" s="18" t="n">
        <v>0</v>
      </c>
      <c r="N66" s="20" t="n">
        <v>0</v>
      </c>
      <c r="O66" s="18" t="n">
        <v>0</v>
      </c>
      <c r="P66" s="20" t="n">
        <v>0</v>
      </c>
      <c r="Q66" s="18" t="n">
        <v>9.43333859</v>
      </c>
      <c r="R66" s="20" t="n">
        <v>1.59958543</v>
      </c>
    </row>
    <row r="67" spans="1:18">
      <c r="A67" s="15" t="s">
        <v>491</v>
      </c>
      <c r="B67" s="17" t="n">
        <v>3511</v>
      </c>
      <c r="C67" s="18">
        <f>(3078.0/B67*100)</f>
        <v/>
      </c>
      <c r="D67" s="19" t="n">
        <v>433</v>
      </c>
      <c r="E67" s="18" t="n">
        <v>58.24018722</v>
      </c>
      <c r="F67" s="20" t="n">
        <v>2.77508681</v>
      </c>
      <c r="G67" s="18" t="n">
        <v>39.12639197</v>
      </c>
      <c r="H67" s="20" t="n">
        <v>2.59149427</v>
      </c>
      <c r="I67" s="18" t="s">
        <v>431</v>
      </c>
      <c r="J67" s="20" t="s">
        <v>431</v>
      </c>
      <c r="K67" s="18" t="n">
        <v>0</v>
      </c>
      <c r="L67" s="20" t="n">
        <v>0</v>
      </c>
      <c r="M67" s="18" t="n">
        <v>0</v>
      </c>
      <c r="N67" s="20" t="n">
        <v>0</v>
      </c>
      <c r="O67" s="18" t="n">
        <v>0</v>
      </c>
      <c r="P67" s="20" t="n">
        <v>0</v>
      </c>
      <c r="Q67" s="18" t="n">
        <v>2.63342081</v>
      </c>
      <c r="R67" s="20" t="n">
        <v>0.67763989</v>
      </c>
    </row>
    <row r="68" spans="1:18">
      <c r="A68" s="15" t="s">
        <v>492</v>
      </c>
      <c r="B68" s="17" t="n">
        <v>6049</v>
      </c>
      <c r="C68" s="18">
        <f>(5052.0/B68*100)</f>
        <v/>
      </c>
      <c r="D68" s="19" t="n">
        <v>997</v>
      </c>
      <c r="E68" s="18" t="n">
        <v>53.65040899</v>
      </c>
      <c r="F68" s="20" t="n">
        <v>1.57794429</v>
      </c>
      <c r="G68" s="18" t="n">
        <v>34.99188583</v>
      </c>
      <c r="H68" s="20" t="n">
        <v>1.36394784</v>
      </c>
      <c r="I68" s="18" t="s">
        <v>431</v>
      </c>
      <c r="J68" s="20" t="s">
        <v>431</v>
      </c>
      <c r="K68" s="18" t="n">
        <v>1.38079799</v>
      </c>
      <c r="L68" s="20" t="n">
        <v>0.37314595</v>
      </c>
      <c r="M68" s="18" t="n">
        <v>0</v>
      </c>
      <c r="N68" s="20" t="n">
        <v>0</v>
      </c>
      <c r="O68" s="18" t="n">
        <v>0</v>
      </c>
      <c r="P68" s="20" t="n">
        <v>0</v>
      </c>
      <c r="Q68" s="18" t="n">
        <v>9.97690719</v>
      </c>
      <c r="R68" s="20" t="n">
        <v>1.03636672</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(2597.0/B70*100)</f>
        <v/>
      </c>
      <c r="D70" s="19" t="n">
        <v>332</v>
      </c>
      <c r="E70" s="18" t="n">
        <v>38.69623973</v>
      </c>
      <c r="F70" s="20" t="n">
        <v>2.91052983</v>
      </c>
      <c r="G70" s="18" t="n">
        <v>61.10984689</v>
      </c>
      <c r="H70" s="20" t="n">
        <v>2.9191069</v>
      </c>
      <c r="I70" s="18" t="s">
        <v>431</v>
      </c>
      <c r="J70" s="20" t="s">
        <v>431</v>
      </c>
      <c r="K70" s="18" t="n">
        <v>0</v>
      </c>
      <c r="L70" s="20" t="n">
        <v>0</v>
      </c>
      <c r="M70" s="18" t="n">
        <v>0</v>
      </c>
      <c r="N70" s="20" t="n">
        <v>0</v>
      </c>
      <c r="O70" s="18" t="n">
        <v>0</v>
      </c>
      <c r="P70" s="20" t="n">
        <v>0</v>
      </c>
      <c r="Q70" s="18" t="n">
        <v>0.19391338</v>
      </c>
      <c r="R70" s="20" t="n">
        <v>0.22757558</v>
      </c>
    </row>
    <row r="71" spans="1:18">
      <c r="A71" s="15" t="s">
        <v>495</v>
      </c>
      <c r="B71" s="17" t="n">
        <v>3142</v>
      </c>
      <c r="C71" s="18">
        <f>(2757.0/B71*100)</f>
        <v/>
      </c>
      <c r="D71" s="19" t="n">
        <v>385</v>
      </c>
      <c r="E71" s="18" t="n">
        <v>28.97120455</v>
      </c>
      <c r="F71" s="20" t="n">
        <v>2.14930557</v>
      </c>
      <c r="G71" s="18" t="n">
        <v>68.76524408</v>
      </c>
      <c r="H71" s="20" t="n">
        <v>2.08922361</v>
      </c>
      <c r="I71" s="18" t="s">
        <v>431</v>
      </c>
      <c r="J71" s="20" t="s">
        <v>431</v>
      </c>
      <c r="K71" s="18" t="n">
        <v>0.27585198</v>
      </c>
      <c r="L71" s="20" t="n">
        <v>0.27620877</v>
      </c>
      <c r="M71" s="18" t="n">
        <v>0</v>
      </c>
      <c r="N71" s="20" t="n">
        <v>0</v>
      </c>
      <c r="O71" s="18" t="n">
        <v>0</v>
      </c>
      <c r="P71" s="20" t="n">
        <v>0</v>
      </c>
      <c r="Q71" s="18" t="n">
        <v>1.98769939</v>
      </c>
      <c r="R71" s="20" t="n">
        <v>0.6269160499999999</v>
      </c>
    </row>
    <row r="72" spans="1:18">
      <c r="A72" s="15" t="s">
        <v>496</v>
      </c>
      <c r="B72" s="17" t="n">
        <v>3889</v>
      </c>
      <c r="C72" s="18">
        <f>(3393.0/B72*100)</f>
        <v/>
      </c>
      <c r="D72" s="19" t="n">
        <v>496</v>
      </c>
      <c r="E72" s="18" t="n">
        <v>28.69670293</v>
      </c>
      <c r="F72" s="20" t="n">
        <v>2.10630882</v>
      </c>
      <c r="G72" s="18" t="n">
        <v>69.1969332</v>
      </c>
      <c r="H72" s="20" t="n">
        <v>2.15420512</v>
      </c>
      <c r="I72" s="18" t="s">
        <v>431</v>
      </c>
      <c r="J72" s="20" t="s">
        <v>431</v>
      </c>
      <c r="K72" s="18" t="n">
        <v>0</v>
      </c>
      <c r="L72" s="20" t="n">
        <v>0</v>
      </c>
      <c r="M72" s="18" t="n">
        <v>0</v>
      </c>
      <c r="N72" s="20" t="n">
        <v>0</v>
      </c>
      <c r="O72" s="18" t="n">
        <v>0</v>
      </c>
      <c r="P72" s="20" t="n">
        <v>0</v>
      </c>
      <c r="Q72" s="18" t="n">
        <v>2.10636387</v>
      </c>
      <c r="R72" s="20" t="n">
        <v>0.74930544</v>
      </c>
    </row>
    <row r="73" spans="1:18">
      <c r="A73" s="15" t="s">
        <v>497</v>
      </c>
      <c r="B73" s="17" t="n">
        <v>3597</v>
      </c>
      <c r="C73" s="18">
        <f>(3154.0/B73*100)</f>
        <v/>
      </c>
      <c r="D73" s="19" t="n">
        <v>443</v>
      </c>
      <c r="E73" s="18" t="n">
        <v>53.89658973</v>
      </c>
      <c r="F73" s="20" t="n">
        <v>2.77659541</v>
      </c>
      <c r="G73" s="18" t="n">
        <v>45.00620365</v>
      </c>
      <c r="H73" s="20" t="n">
        <v>2.7510167</v>
      </c>
      <c r="I73" s="18" t="s">
        <v>431</v>
      </c>
      <c r="J73" s="20" t="s">
        <v>431</v>
      </c>
      <c r="K73" s="18" t="n">
        <v>0</v>
      </c>
      <c r="L73" s="20" t="n">
        <v>0</v>
      </c>
      <c r="M73" s="18" t="n">
        <v>0</v>
      </c>
      <c r="N73" s="20" t="n">
        <v>0</v>
      </c>
      <c r="O73" s="18" t="n">
        <v>0</v>
      </c>
      <c r="P73" s="20" t="n">
        <v>0</v>
      </c>
      <c r="Q73" s="18" t="n">
        <v>1.09720662</v>
      </c>
      <c r="R73" s="20" t="n">
        <v>0.580636</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(2140.0/B75*100)</f>
        <v/>
      </c>
      <c r="D75" s="19" t="n">
        <v>266</v>
      </c>
      <c r="E75" s="18" t="n">
        <v>62.97688401</v>
      </c>
      <c r="F75" s="20" t="n">
        <v>3.02990353</v>
      </c>
      <c r="G75" s="18" t="n">
        <v>29.17484985</v>
      </c>
      <c r="H75" s="20" t="n">
        <v>2.64602579</v>
      </c>
      <c r="I75" s="18" t="s">
        <v>431</v>
      </c>
      <c r="J75" s="20" t="s">
        <v>431</v>
      </c>
      <c r="K75" s="18" t="n">
        <v>0</v>
      </c>
      <c r="L75" s="20" t="n">
        <v>0</v>
      </c>
      <c r="M75" s="18" t="n">
        <v>0</v>
      </c>
      <c r="N75" s="20" t="n">
        <v>0</v>
      </c>
      <c r="O75" s="18" t="n">
        <v>0</v>
      </c>
      <c r="P75" s="20" t="n">
        <v>0</v>
      </c>
      <c r="Q75" s="18" t="n">
        <v>7.84826614</v>
      </c>
      <c r="R75" s="20" t="n">
        <v>1.8407501</v>
      </c>
    </row>
    <row r="76" spans="1:18">
      <c r="A76" s="15" t="s">
        <v>500</v>
      </c>
      <c r="B76" s="17" t="n">
        <v>7052</v>
      </c>
      <c r="C76" s="18">
        <f>(6219.0/B76*100)</f>
        <v/>
      </c>
      <c r="D76" s="19" t="n">
        <v>833</v>
      </c>
      <c r="E76" s="18" t="n">
        <v>61.49009082</v>
      </c>
      <c r="F76" s="20" t="n">
        <v>2.15753032</v>
      </c>
      <c r="G76" s="18" t="n">
        <v>28.48954965</v>
      </c>
      <c r="H76" s="20" t="n">
        <v>1.90168026</v>
      </c>
      <c r="I76" s="18" t="s">
        <v>431</v>
      </c>
      <c r="J76" s="20" t="s">
        <v>431</v>
      </c>
      <c r="K76" s="18" t="n">
        <v>0.82110581</v>
      </c>
      <c r="L76" s="20" t="n">
        <v>0.357076</v>
      </c>
      <c r="M76" s="18" t="n">
        <v>0</v>
      </c>
      <c r="N76" s="20" t="n">
        <v>0</v>
      </c>
      <c r="O76" s="18" t="n">
        <v>0</v>
      </c>
      <c r="P76" s="20" t="n">
        <v>0</v>
      </c>
      <c r="Q76" s="18" t="n">
        <v>9.19925372</v>
      </c>
      <c r="R76" s="20" t="n">
        <v>1.45226834</v>
      </c>
    </row>
    <row r="77" spans="1:18">
      <c r="A77" s="15" t="s">
        <v>501</v>
      </c>
      <c r="B77" s="17" t="n">
        <v>2908</v>
      </c>
      <c r="C77" s="18">
        <f>(2542.0/B77*100)</f>
        <v/>
      </c>
      <c r="D77" s="19" t="n">
        <v>366</v>
      </c>
      <c r="E77" s="18" t="n">
        <v>57.41213717</v>
      </c>
      <c r="F77" s="20" t="n">
        <v>2.75678843</v>
      </c>
      <c r="G77" s="18" t="n">
        <v>39.70003709</v>
      </c>
      <c r="H77" s="20" t="n">
        <v>2.7343548</v>
      </c>
      <c r="I77" s="18" t="s">
        <v>431</v>
      </c>
      <c r="J77" s="20" t="s">
        <v>431</v>
      </c>
      <c r="K77" s="18" t="n">
        <v>0.30215102</v>
      </c>
      <c r="L77" s="20" t="n">
        <v>0.30384321</v>
      </c>
      <c r="M77" s="18" t="n">
        <v>0</v>
      </c>
      <c r="N77" s="20" t="n">
        <v>0</v>
      </c>
      <c r="O77" s="18" t="n">
        <v>0</v>
      </c>
      <c r="P77" s="20" t="n">
        <v>0</v>
      </c>
      <c r="Q77" s="18" t="n">
        <v>2.58567472</v>
      </c>
      <c r="R77" s="20" t="n">
        <v>0.76278248</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(3661.0/B81*100)</f>
        <v/>
      </c>
      <c r="D81" s="19" t="n">
        <v>502</v>
      </c>
      <c r="E81" s="18" t="n">
        <v>55.47735808</v>
      </c>
      <c r="F81" s="20" t="n">
        <v>2.56026768</v>
      </c>
      <c r="G81" s="18" t="n">
        <v>38.60983831</v>
      </c>
      <c r="H81" s="20" t="n">
        <v>2.53743718</v>
      </c>
      <c r="I81" s="18" t="s">
        <v>431</v>
      </c>
      <c r="J81" s="20" t="s">
        <v>431</v>
      </c>
      <c r="K81" s="18" t="n">
        <v>0.4438975</v>
      </c>
      <c r="L81" s="20" t="n">
        <v>0.43783924</v>
      </c>
      <c r="M81" s="18" t="n">
        <v>0</v>
      </c>
      <c r="N81" s="20" t="n">
        <v>0</v>
      </c>
      <c r="O81" s="18" t="n">
        <v>0</v>
      </c>
      <c r="P81" s="20" t="n">
        <v>0</v>
      </c>
      <c r="Q81" s="18" t="n">
        <v>5.4689061</v>
      </c>
      <c r="R81" s="20" t="n">
        <v>1.27697058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538</v>
      </c>
    </row>
    <row customHeight="1" ht="30" r="4" spans="1:20">
      <c r="A4" s="6" t="n"/>
      <c r="B4" s="7" t="s">
        <v>415</v>
      </c>
      <c r="C4" s="7" t="s">
        <v>416</v>
      </c>
      <c r="D4" s="8" t="s">
        <v>415</v>
      </c>
      <c r="E4" s="9" t="s">
        <v>523</v>
      </c>
      <c r="F4" s="10" t="n"/>
      <c r="G4" s="9" t="s">
        <v>539</v>
      </c>
      <c r="H4" s="10" t="n"/>
      <c r="I4" s="9" t="s">
        <v>524</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(6491.0/B7*100)</f>
        <v/>
      </c>
      <c r="D7" s="19" t="n">
        <v>876</v>
      </c>
      <c r="E7" s="18" t="n">
        <v>34.56915008</v>
      </c>
      <c r="F7" s="20" t="n">
        <v>1.67988712</v>
      </c>
      <c r="G7" s="18" t="n">
        <v>46.89893588</v>
      </c>
      <c r="H7" s="20" t="n">
        <v>1.72970784</v>
      </c>
      <c r="I7" s="18" t="n">
        <v>16.1294728</v>
      </c>
      <c r="J7" s="20" t="n">
        <v>1.2127964</v>
      </c>
      <c r="K7" s="18" t="s">
        <v>431</v>
      </c>
      <c r="L7" s="20" t="s">
        <v>431</v>
      </c>
      <c r="M7" s="18" t="n">
        <v>0.15766813</v>
      </c>
      <c r="N7" s="20" t="n">
        <v>0.09423199</v>
      </c>
      <c r="O7" s="18" t="n">
        <v>0</v>
      </c>
      <c r="P7" s="20" t="n">
        <v>0</v>
      </c>
      <c r="Q7" s="18" t="n">
        <v>0</v>
      </c>
      <c r="R7" s="20" t="n">
        <v>0</v>
      </c>
      <c r="S7" s="18" t="n">
        <v>2.24477311</v>
      </c>
      <c r="T7" s="20" t="n">
        <v>0.48184547</v>
      </c>
    </row>
    <row r="8" spans="1:20">
      <c r="A8" s="15" t="s">
        <v>432</v>
      </c>
      <c r="B8" s="17" t="n">
        <v>3564</v>
      </c>
      <c r="C8" s="18">
        <f>(3151.0/B8*100)</f>
        <v/>
      </c>
      <c r="D8" s="19" t="n">
        <v>413</v>
      </c>
      <c r="E8" s="18" t="n">
        <v>20.5779999</v>
      </c>
      <c r="F8" s="20" t="n">
        <v>2.61921328</v>
      </c>
      <c r="G8" s="18" t="n">
        <v>46.07867727</v>
      </c>
      <c r="H8" s="20" t="n">
        <v>2.70977245</v>
      </c>
      <c r="I8" s="18" t="n">
        <v>30.49518122</v>
      </c>
      <c r="J8" s="20" t="n">
        <v>2.52398423</v>
      </c>
      <c r="K8" s="18" t="s">
        <v>431</v>
      </c>
      <c r="L8" s="20" t="s">
        <v>431</v>
      </c>
      <c r="M8" s="18" t="n">
        <v>0</v>
      </c>
      <c r="N8" s="20" t="n">
        <v>0</v>
      </c>
      <c r="O8" s="18" t="n">
        <v>0</v>
      </c>
      <c r="P8" s="20" t="n">
        <v>0</v>
      </c>
      <c r="Q8" s="18" t="n">
        <v>0</v>
      </c>
      <c r="R8" s="20" t="n">
        <v>0</v>
      </c>
      <c r="S8" s="18" t="n">
        <v>2.8481416</v>
      </c>
      <c r="T8" s="20" t="n">
        <v>1.02891088</v>
      </c>
    </row>
    <row r="9" spans="1:20">
      <c r="A9" s="15" t="s">
        <v>433</v>
      </c>
      <c r="B9" s="17" t="n">
        <v>4899</v>
      </c>
      <c r="C9" s="18">
        <f>(4311.0/B9*100)</f>
        <v/>
      </c>
      <c r="D9" s="19" t="n">
        <v>588</v>
      </c>
      <c r="E9" s="18" t="n">
        <v>21.53291612</v>
      </c>
      <c r="F9" s="20" t="n">
        <v>2.185044</v>
      </c>
      <c r="G9" s="18" t="n">
        <v>43.45775898</v>
      </c>
      <c r="H9" s="20" t="n">
        <v>2.2427917</v>
      </c>
      <c r="I9" s="18" t="n">
        <v>31.18248169</v>
      </c>
      <c r="J9" s="20" t="n">
        <v>1.99956516</v>
      </c>
      <c r="K9" s="18" t="s">
        <v>431</v>
      </c>
      <c r="L9" s="20" t="s">
        <v>431</v>
      </c>
      <c r="M9" s="18" t="n">
        <v>0.15119399</v>
      </c>
      <c r="N9" s="20" t="n">
        <v>0.14714501</v>
      </c>
      <c r="O9" s="18" t="n">
        <v>0</v>
      </c>
      <c r="P9" s="20" t="n">
        <v>0</v>
      </c>
      <c r="Q9" s="18" t="n">
        <v>0</v>
      </c>
      <c r="R9" s="20" t="n">
        <v>0</v>
      </c>
      <c r="S9" s="18" t="n">
        <v>3.67564922</v>
      </c>
      <c r="T9" s="20" t="n">
        <v>1.1949402</v>
      </c>
    </row>
    <row r="10" spans="1:20">
      <c r="A10" s="15" t="s">
        <v>434</v>
      </c>
      <c r="B10" s="17" t="n">
        <v>10036</v>
      </c>
      <c r="C10" s="18">
        <f>(8805.0/B10*100)</f>
        <v/>
      </c>
      <c r="D10" s="19" t="n">
        <v>1231</v>
      </c>
      <c r="E10" s="18" t="n">
        <v>29.95411199</v>
      </c>
      <c r="F10" s="20" t="n">
        <v>1.63118393</v>
      </c>
      <c r="G10" s="18" t="n">
        <v>46.24756234</v>
      </c>
      <c r="H10" s="20" t="n">
        <v>2.10676168</v>
      </c>
      <c r="I10" s="18" t="n">
        <v>21.54127332</v>
      </c>
      <c r="J10" s="20" t="n">
        <v>1.88473585</v>
      </c>
      <c r="K10" s="18" t="s">
        <v>431</v>
      </c>
      <c r="L10" s="20" t="s">
        <v>431</v>
      </c>
      <c r="M10" s="18" t="n">
        <v>0.55736259</v>
      </c>
      <c r="N10" s="20" t="n">
        <v>0.32509675</v>
      </c>
      <c r="O10" s="18" t="n">
        <v>0</v>
      </c>
      <c r="P10" s="20" t="n">
        <v>0</v>
      </c>
      <c r="Q10" s="18" t="n">
        <v>0</v>
      </c>
      <c r="R10" s="20" t="n">
        <v>0</v>
      </c>
      <c r="S10" s="18" t="n">
        <v>1.69968976</v>
      </c>
      <c r="T10" s="20" t="n">
        <v>0.52410329</v>
      </c>
    </row>
    <row r="11" spans="1:20">
      <c r="A11" s="15" t="s">
        <v>435</v>
      </c>
      <c r="B11" s="17" t="n">
        <v>3553</v>
      </c>
      <c r="C11" s="18">
        <f>(3102.0/B11*100)</f>
        <v/>
      </c>
      <c r="D11" s="19" t="n">
        <v>451</v>
      </c>
      <c r="E11" s="18" t="n">
        <v>43.40387457</v>
      </c>
      <c r="F11" s="20" t="n">
        <v>2.96070513</v>
      </c>
      <c r="G11" s="18" t="n">
        <v>45.4523636</v>
      </c>
      <c r="H11" s="20" t="n">
        <v>2.92758022</v>
      </c>
      <c r="I11" s="18" t="n">
        <v>10.07408314</v>
      </c>
      <c r="J11" s="20" t="n">
        <v>1.63862859</v>
      </c>
      <c r="K11" s="18" t="s">
        <v>431</v>
      </c>
      <c r="L11" s="20" t="s">
        <v>431</v>
      </c>
      <c r="M11" s="18" t="n">
        <v>0</v>
      </c>
      <c r="N11" s="20" t="n">
        <v>0</v>
      </c>
      <c r="O11" s="18" t="n">
        <v>0</v>
      </c>
      <c r="P11" s="20" t="n">
        <v>0</v>
      </c>
      <c r="Q11" s="18" t="n">
        <v>0</v>
      </c>
      <c r="R11" s="20" t="n">
        <v>0</v>
      </c>
      <c r="S11" s="18" t="n">
        <v>1.06967869</v>
      </c>
      <c r="T11" s="20" t="n">
        <v>0.5359119</v>
      </c>
    </row>
    <row r="12" spans="1:20">
      <c r="A12" s="15" t="s">
        <v>436</v>
      </c>
      <c r="B12" s="17" t="n">
        <v>3472</v>
      </c>
      <c r="C12" s="18">
        <f>(3041.0/B12*100)</f>
        <v/>
      </c>
      <c r="D12" s="19" t="n">
        <v>431</v>
      </c>
      <c r="E12" s="18" t="n">
        <v>29.37896795</v>
      </c>
      <c r="F12" s="20" t="n">
        <v>2.23187433</v>
      </c>
      <c r="G12" s="18" t="n">
        <v>51.14458112</v>
      </c>
      <c r="H12" s="20" t="n">
        <v>2.58860167</v>
      </c>
      <c r="I12" s="18" t="n">
        <v>16.6613586</v>
      </c>
      <c r="J12" s="20" t="n">
        <v>2.10317595</v>
      </c>
      <c r="K12" s="18" t="s">
        <v>431</v>
      </c>
      <c r="L12" s="20" t="s">
        <v>431</v>
      </c>
      <c r="M12" s="18" t="n">
        <v>0</v>
      </c>
      <c r="N12" s="20" t="n">
        <v>0</v>
      </c>
      <c r="O12" s="18" t="n">
        <v>0</v>
      </c>
      <c r="P12" s="20" t="n">
        <v>0</v>
      </c>
      <c r="Q12" s="18" t="n">
        <v>0</v>
      </c>
      <c r="R12" s="20" t="n">
        <v>0</v>
      </c>
      <c r="S12" s="18" t="n">
        <v>2.81509233</v>
      </c>
      <c r="T12" s="20" t="n">
        <v>0.87283412</v>
      </c>
    </row>
    <row r="13" spans="1:20">
      <c r="A13" s="15" t="s">
        <v>437</v>
      </c>
      <c r="B13" s="17" t="n">
        <v>3559</v>
      </c>
      <c r="C13" s="18">
        <f>(3143.0/B13*100)</f>
        <v/>
      </c>
      <c r="D13" s="19" t="n">
        <v>416</v>
      </c>
      <c r="E13" s="18" t="n">
        <v>9.212391459999999</v>
      </c>
      <c r="F13" s="20" t="n">
        <v>1.53741417</v>
      </c>
      <c r="G13" s="18" t="n">
        <v>39.23085173</v>
      </c>
      <c r="H13" s="20" t="n">
        <v>2.80473776</v>
      </c>
      <c r="I13" s="18" t="n">
        <v>36.41527831</v>
      </c>
      <c r="J13" s="20" t="n">
        <v>2.83446138</v>
      </c>
      <c r="K13" s="18" t="s">
        <v>431</v>
      </c>
      <c r="L13" s="20" t="s">
        <v>431</v>
      </c>
      <c r="M13" s="18" t="n">
        <v>0.96839457</v>
      </c>
      <c r="N13" s="20" t="n">
        <v>0.53251695</v>
      </c>
      <c r="O13" s="18" t="n">
        <v>0</v>
      </c>
      <c r="P13" s="20" t="n">
        <v>0</v>
      </c>
      <c r="Q13" s="18" t="n">
        <v>0</v>
      </c>
      <c r="R13" s="20" t="n">
        <v>0</v>
      </c>
      <c r="S13" s="18" t="n">
        <v>14.17308394</v>
      </c>
      <c r="T13" s="20" t="n">
        <v>2.37550146</v>
      </c>
    </row>
    <row r="14" spans="1:20">
      <c r="A14" s="15" t="s">
        <v>438</v>
      </c>
      <c r="B14" s="17" t="n">
        <v>2799</v>
      </c>
      <c r="C14" s="18">
        <f>(2458.0/B14*100)</f>
        <v/>
      </c>
      <c r="D14" s="19" t="n">
        <v>341</v>
      </c>
      <c r="E14" s="18" t="n">
        <v>25.40003064</v>
      </c>
      <c r="F14" s="20" t="n">
        <v>2.56186198</v>
      </c>
      <c r="G14" s="18" t="n">
        <v>40.64675957</v>
      </c>
      <c r="H14" s="20" t="n">
        <v>2.85964335</v>
      </c>
      <c r="I14" s="18" t="n">
        <v>26.31091919</v>
      </c>
      <c r="J14" s="20" t="n">
        <v>2.84022427</v>
      </c>
      <c r="K14" s="18" t="s">
        <v>431</v>
      </c>
      <c r="L14" s="20" t="s">
        <v>431</v>
      </c>
      <c r="M14" s="18" t="n">
        <v>0.23112808</v>
      </c>
      <c r="N14" s="20" t="n">
        <v>0.24191164</v>
      </c>
      <c r="O14" s="18" t="n">
        <v>0</v>
      </c>
      <c r="P14" s="20" t="n">
        <v>0</v>
      </c>
      <c r="Q14" s="18" t="n">
        <v>0</v>
      </c>
      <c r="R14" s="20" t="n">
        <v>0</v>
      </c>
      <c r="S14" s="18" t="n">
        <v>7.41116252</v>
      </c>
      <c r="T14" s="20" t="n">
        <v>1.67503118</v>
      </c>
    </row>
    <row r="15" spans="1:20">
      <c r="A15" s="15" t="s">
        <v>439</v>
      </c>
      <c r="B15" s="17" t="n">
        <v>3019</v>
      </c>
      <c r="C15" s="18">
        <f>(2644.0/B15*100)</f>
        <v/>
      </c>
      <c r="D15" s="19" t="n">
        <v>375</v>
      </c>
      <c r="E15" s="18" t="n">
        <v>29.41454083</v>
      </c>
      <c r="F15" s="20" t="n">
        <v>2.44104376</v>
      </c>
      <c r="G15" s="18" t="n">
        <v>54.49601984</v>
      </c>
      <c r="H15" s="20" t="n">
        <v>2.80649362</v>
      </c>
      <c r="I15" s="18" t="n">
        <v>14.00883107</v>
      </c>
      <c r="J15" s="20" t="n">
        <v>1.93933306</v>
      </c>
      <c r="K15" s="18" t="s">
        <v>431</v>
      </c>
      <c r="L15" s="20" t="s">
        <v>431</v>
      </c>
      <c r="M15" s="18" t="n">
        <v>0.52622968</v>
      </c>
      <c r="N15" s="20" t="n">
        <v>0.367653</v>
      </c>
      <c r="O15" s="18" t="n">
        <v>0</v>
      </c>
      <c r="P15" s="20" t="n">
        <v>0</v>
      </c>
      <c r="Q15" s="18" t="n">
        <v>0</v>
      </c>
      <c r="R15" s="20" t="n">
        <v>0</v>
      </c>
      <c r="S15" s="18" t="n">
        <v>1.55437858</v>
      </c>
      <c r="T15" s="20" t="n">
        <v>0.69243383</v>
      </c>
    </row>
    <row r="16" spans="1:20">
      <c r="A16" s="15" t="s">
        <v>440</v>
      </c>
      <c r="B16" s="17" t="n">
        <v>2997</v>
      </c>
      <c r="C16" s="18">
        <f>(2615.0/B16*100)</f>
        <v/>
      </c>
      <c r="D16" s="19" t="n">
        <v>382</v>
      </c>
      <c r="E16" s="18" t="n">
        <v>27.42484065</v>
      </c>
      <c r="F16" s="20" t="n">
        <v>2.10493859</v>
      </c>
      <c r="G16" s="18" t="n">
        <v>49.23676999</v>
      </c>
      <c r="H16" s="20" t="n">
        <v>2.63278242</v>
      </c>
      <c r="I16" s="18" t="n">
        <v>20.12107579</v>
      </c>
      <c r="J16" s="20" t="n">
        <v>1.99114725</v>
      </c>
      <c r="K16" s="18" t="s">
        <v>431</v>
      </c>
      <c r="L16" s="20" t="s">
        <v>431</v>
      </c>
      <c r="M16" s="18" t="n">
        <v>1.31539045</v>
      </c>
      <c r="N16" s="20" t="n">
        <v>0.66006955</v>
      </c>
      <c r="O16" s="18" t="n">
        <v>0</v>
      </c>
      <c r="P16" s="20" t="n">
        <v>0</v>
      </c>
      <c r="Q16" s="18" t="n">
        <v>0</v>
      </c>
      <c r="R16" s="20" t="n">
        <v>0</v>
      </c>
      <c r="S16" s="18" t="n">
        <v>1.90192313</v>
      </c>
      <c r="T16" s="20" t="n">
        <v>0.7338144</v>
      </c>
    </row>
    <row r="17" spans="1:20">
      <c r="A17" s="15" t="s">
        <v>441</v>
      </c>
      <c r="B17" s="17" t="n">
        <v>3307</v>
      </c>
      <c r="C17" s="18">
        <f>(2903.0/B17*100)</f>
        <v/>
      </c>
      <c r="D17" s="19" t="n">
        <v>404</v>
      </c>
      <c r="E17" s="18" t="n">
        <v>19.26591112</v>
      </c>
      <c r="F17" s="20" t="n">
        <v>2.31778708</v>
      </c>
      <c r="G17" s="18" t="n">
        <v>45.49361871</v>
      </c>
      <c r="H17" s="20" t="n">
        <v>2.46931959</v>
      </c>
      <c r="I17" s="18" t="n">
        <v>34.05421882</v>
      </c>
      <c r="J17" s="20" t="n">
        <v>2.5117421</v>
      </c>
      <c r="K17" s="18" t="s">
        <v>431</v>
      </c>
      <c r="L17" s="20" t="s">
        <v>431</v>
      </c>
      <c r="M17" s="18" t="n">
        <v>0.24904568</v>
      </c>
      <c r="N17" s="20" t="n">
        <v>0.25059862</v>
      </c>
      <c r="O17" s="18" t="n">
        <v>0</v>
      </c>
      <c r="P17" s="20" t="n">
        <v>0</v>
      </c>
      <c r="Q17" s="18" t="n">
        <v>0</v>
      </c>
      <c r="R17" s="20" t="n">
        <v>0</v>
      </c>
      <c r="S17" s="18" t="n">
        <v>0.93720567</v>
      </c>
      <c r="T17" s="20" t="n">
        <v>0.46521355</v>
      </c>
    </row>
    <row r="18" spans="1:20">
      <c r="A18" s="15" t="s">
        <v>442</v>
      </c>
      <c r="B18" s="17" t="n">
        <v>2826</v>
      </c>
      <c r="C18" s="18">
        <f>(2499.0/B18*100)</f>
        <v/>
      </c>
      <c r="D18" s="19" t="n">
        <v>327</v>
      </c>
      <c r="E18" s="18" t="n">
        <v>33.75096879</v>
      </c>
      <c r="F18" s="20" t="n">
        <v>2.66232734</v>
      </c>
      <c r="G18" s="18" t="n">
        <v>45.85064445</v>
      </c>
      <c r="H18" s="20" t="n">
        <v>2.67344698</v>
      </c>
      <c r="I18" s="18" t="n">
        <v>18.04011131</v>
      </c>
      <c r="J18" s="20" t="n">
        <v>2.02407438</v>
      </c>
      <c r="K18" s="18" t="s">
        <v>431</v>
      </c>
      <c r="L18" s="20" t="s">
        <v>431</v>
      </c>
      <c r="M18" s="18" t="n">
        <v>0</v>
      </c>
      <c r="N18" s="20" t="n">
        <v>0</v>
      </c>
      <c r="O18" s="18" t="n">
        <v>0</v>
      </c>
      <c r="P18" s="20" t="n">
        <v>0</v>
      </c>
      <c r="Q18" s="18" t="n">
        <v>0</v>
      </c>
      <c r="R18" s="20" t="n">
        <v>0</v>
      </c>
      <c r="S18" s="18" t="n">
        <v>2.35827545</v>
      </c>
      <c r="T18" s="20" t="n">
        <v>0.99886569</v>
      </c>
    </row>
    <row r="19" spans="1:20">
      <c r="A19" s="15" t="s">
        <v>443</v>
      </c>
      <c r="B19" s="17" t="n">
        <v>2808</v>
      </c>
      <c r="C19" s="18">
        <f>(2464.0/B19*100)</f>
        <v/>
      </c>
      <c r="D19" s="19" t="n">
        <v>344</v>
      </c>
      <c r="E19" s="18" t="n">
        <v>30.72747408</v>
      </c>
      <c r="F19" s="20" t="n">
        <v>2.68525422</v>
      </c>
      <c r="G19" s="18" t="n">
        <v>41.58934403</v>
      </c>
      <c r="H19" s="20" t="n">
        <v>2.34951022</v>
      </c>
      <c r="I19" s="18" t="n">
        <v>19.93102535</v>
      </c>
      <c r="J19" s="20" t="n">
        <v>2.27830884</v>
      </c>
      <c r="K19" s="18" t="s">
        <v>431</v>
      </c>
      <c r="L19" s="20" t="s">
        <v>431</v>
      </c>
      <c r="M19" s="18" t="n">
        <v>0.67252788</v>
      </c>
      <c r="N19" s="20" t="n">
        <v>0.63530542</v>
      </c>
      <c r="O19" s="18" t="n">
        <v>0</v>
      </c>
      <c r="P19" s="20" t="n">
        <v>0</v>
      </c>
      <c r="Q19" s="18" t="n">
        <v>0</v>
      </c>
      <c r="R19" s="20" t="n">
        <v>0</v>
      </c>
      <c r="S19" s="18" t="n">
        <v>7.07962867</v>
      </c>
      <c r="T19" s="20" t="n">
        <v>1.57505549</v>
      </c>
    </row>
    <row r="20" spans="1:20">
      <c r="A20" s="15" t="s">
        <v>444</v>
      </c>
      <c r="B20" s="17" t="n">
        <v>1630</v>
      </c>
      <c r="C20" s="18">
        <f>(1423.0/B20*100)</f>
        <v/>
      </c>
      <c r="D20" s="19" t="n">
        <v>207</v>
      </c>
      <c r="E20" s="18" t="n">
        <v>39.49565383</v>
      </c>
      <c r="F20" s="20" t="n">
        <v>3.15618026</v>
      </c>
      <c r="G20" s="18" t="n">
        <v>36.3469733</v>
      </c>
      <c r="H20" s="20" t="n">
        <v>3.01645221</v>
      </c>
      <c r="I20" s="18" t="n">
        <v>6.54470692</v>
      </c>
      <c r="J20" s="20" t="n">
        <v>1.6624112</v>
      </c>
      <c r="K20" s="18" t="s">
        <v>431</v>
      </c>
      <c r="L20" s="20" t="s">
        <v>431</v>
      </c>
      <c r="M20" s="18" t="n">
        <v>0</v>
      </c>
      <c r="N20" s="20" t="n">
        <v>0</v>
      </c>
      <c r="O20" s="18" t="n">
        <v>0</v>
      </c>
      <c r="P20" s="20" t="n">
        <v>0</v>
      </c>
      <c r="Q20" s="18" t="n">
        <v>0</v>
      </c>
      <c r="R20" s="20" t="n">
        <v>0</v>
      </c>
      <c r="S20" s="18" t="n">
        <v>17.61266595</v>
      </c>
      <c r="T20" s="20" t="n">
        <v>2.54558435</v>
      </c>
    </row>
    <row r="21" spans="1:20">
      <c r="A21" s="15" t="s">
        <v>445</v>
      </c>
      <c r="B21" s="17" t="n">
        <v>2908</v>
      </c>
      <c r="C21" s="18">
        <f>(2433.0/B21*100)</f>
        <v/>
      </c>
      <c r="D21" s="19" t="n">
        <v>475</v>
      </c>
      <c r="E21" s="18" t="n">
        <v>30.16773168</v>
      </c>
      <c r="F21" s="20" t="n">
        <v>2.0541376</v>
      </c>
      <c r="G21" s="18" t="n">
        <v>41.7687018</v>
      </c>
      <c r="H21" s="20" t="n">
        <v>2.21534345</v>
      </c>
      <c r="I21" s="18" t="n">
        <v>26.704733</v>
      </c>
      <c r="J21" s="20" t="n">
        <v>2.58546338</v>
      </c>
      <c r="K21" s="18" t="s">
        <v>431</v>
      </c>
      <c r="L21" s="20" t="s">
        <v>431</v>
      </c>
      <c r="M21" s="18" t="n">
        <v>0</v>
      </c>
      <c r="N21" s="20" t="n">
        <v>0</v>
      </c>
      <c r="O21" s="18" t="n">
        <v>0</v>
      </c>
      <c r="P21" s="20" t="n">
        <v>0</v>
      </c>
      <c r="Q21" s="18" t="n">
        <v>0</v>
      </c>
      <c r="R21" s="20" t="n">
        <v>0</v>
      </c>
      <c r="S21" s="18" t="n">
        <v>1.35883351</v>
      </c>
      <c r="T21" s="20" t="n">
        <v>0.48619124</v>
      </c>
    </row>
    <row r="22" spans="1:20">
      <c r="A22" s="15" t="s">
        <v>446</v>
      </c>
      <c r="B22" s="17" t="n">
        <v>2931</v>
      </c>
      <c r="C22" s="18">
        <f>(2559.0/B22*100)</f>
        <v/>
      </c>
      <c r="D22" s="19" t="n">
        <v>372</v>
      </c>
      <c r="E22" s="18" t="n">
        <v>32.19541653</v>
      </c>
      <c r="F22" s="20" t="n">
        <v>2.66057582</v>
      </c>
      <c r="G22" s="18" t="n">
        <v>48.10263193</v>
      </c>
      <c r="H22" s="20" t="n">
        <v>2.62322538</v>
      </c>
      <c r="I22" s="18" t="n">
        <v>16.90648984</v>
      </c>
      <c r="J22" s="20" t="n">
        <v>2.04212459</v>
      </c>
      <c r="K22" s="18" t="s">
        <v>431</v>
      </c>
      <c r="L22" s="20" t="s">
        <v>431</v>
      </c>
      <c r="M22" s="18" t="n">
        <v>0</v>
      </c>
      <c r="N22" s="20" t="n">
        <v>0</v>
      </c>
      <c r="O22" s="18" t="n">
        <v>0</v>
      </c>
      <c r="P22" s="20" t="n">
        <v>0</v>
      </c>
      <c r="Q22" s="18" t="n">
        <v>0</v>
      </c>
      <c r="R22" s="20" t="n">
        <v>0</v>
      </c>
      <c r="S22" s="18" t="n">
        <v>2.7954617</v>
      </c>
      <c r="T22" s="20" t="n">
        <v>1.21792518</v>
      </c>
    </row>
    <row r="23" spans="1:20">
      <c r="A23" s="15" t="s">
        <v>447</v>
      </c>
      <c r="B23" s="17" t="n">
        <v>5791</v>
      </c>
      <c r="C23" s="18">
        <f>(5059.0/B23*100)</f>
        <v/>
      </c>
      <c r="D23" s="19" t="n">
        <v>732</v>
      </c>
      <c r="E23" s="18" t="n">
        <v>18.58033353</v>
      </c>
      <c r="F23" s="20" t="n">
        <v>2.16193398</v>
      </c>
      <c r="G23" s="18" t="n">
        <v>43.68424868</v>
      </c>
      <c r="H23" s="20" t="n">
        <v>2.64718554</v>
      </c>
      <c r="I23" s="18" t="n">
        <v>34.95822526</v>
      </c>
      <c r="J23" s="20" t="n">
        <v>2.36286174</v>
      </c>
      <c r="K23" s="18" t="s">
        <v>431</v>
      </c>
      <c r="L23" s="20" t="s">
        <v>431</v>
      </c>
      <c r="M23" s="18" t="n">
        <v>0.00719964</v>
      </c>
      <c r="N23" s="20" t="n">
        <v>0.00718876</v>
      </c>
      <c r="O23" s="18" t="n">
        <v>0</v>
      </c>
      <c r="P23" s="20" t="n">
        <v>0</v>
      </c>
      <c r="Q23" s="18" t="n">
        <v>0</v>
      </c>
      <c r="R23" s="20" t="n">
        <v>0</v>
      </c>
      <c r="S23" s="18" t="n">
        <v>2.76999288</v>
      </c>
      <c r="T23" s="20" t="n">
        <v>1.01917954</v>
      </c>
    </row>
    <row r="24" spans="1:20">
      <c r="A24" s="15" t="s">
        <v>448</v>
      </c>
      <c r="B24" s="17" t="n">
        <v>3338</v>
      </c>
      <c r="C24" s="18">
        <f>(2919.0/B24*100)</f>
        <v/>
      </c>
      <c r="D24" s="19" t="n">
        <v>419</v>
      </c>
      <c r="E24" s="18" t="n">
        <v>15.48252489</v>
      </c>
      <c r="F24" s="20" t="n">
        <v>1.67174109</v>
      </c>
      <c r="G24" s="18" t="n">
        <v>53.01298894</v>
      </c>
      <c r="H24" s="20" t="n">
        <v>2.67665829</v>
      </c>
      <c r="I24" s="18" t="n">
        <v>30.9886043</v>
      </c>
      <c r="J24" s="20" t="n">
        <v>2.52780648</v>
      </c>
      <c r="K24" s="18" t="s">
        <v>431</v>
      </c>
      <c r="L24" s="20" t="s">
        <v>431</v>
      </c>
      <c r="M24" s="18" t="n">
        <v>0</v>
      </c>
      <c r="N24" s="20" t="n">
        <v>0</v>
      </c>
      <c r="O24" s="18" t="n">
        <v>0</v>
      </c>
      <c r="P24" s="20" t="n">
        <v>0</v>
      </c>
      <c r="Q24" s="18" t="n">
        <v>0</v>
      </c>
      <c r="R24" s="20" t="n">
        <v>0</v>
      </c>
      <c r="S24" s="18" t="n">
        <v>0.51588187</v>
      </c>
      <c r="T24" s="20" t="n">
        <v>0.35636005</v>
      </c>
    </row>
    <row r="25" spans="1:20">
      <c r="A25" s="15" t="s">
        <v>449</v>
      </c>
      <c r="B25" s="17" t="n">
        <v>2912</v>
      </c>
      <c r="C25" s="18">
        <f>(2567.0/B25*100)</f>
        <v/>
      </c>
      <c r="D25" s="19" t="n">
        <v>345</v>
      </c>
      <c r="E25" s="18" t="n">
        <v>16.26371011</v>
      </c>
      <c r="F25" s="20" t="n">
        <v>2.07119764</v>
      </c>
      <c r="G25" s="18" t="n">
        <v>51.06044878</v>
      </c>
      <c r="H25" s="20" t="n">
        <v>2.98341347</v>
      </c>
      <c r="I25" s="18" t="n">
        <v>31.76432129</v>
      </c>
      <c r="J25" s="20" t="n">
        <v>2.93696577</v>
      </c>
      <c r="K25" s="18" t="s">
        <v>431</v>
      </c>
      <c r="L25" s="20" t="s">
        <v>431</v>
      </c>
      <c r="M25" s="18" t="n">
        <v>0.27989506</v>
      </c>
      <c r="N25" s="20" t="n">
        <v>0.27644211</v>
      </c>
      <c r="O25" s="18" t="n">
        <v>0</v>
      </c>
      <c r="P25" s="20" t="n">
        <v>0</v>
      </c>
      <c r="Q25" s="18" t="n">
        <v>0</v>
      </c>
      <c r="R25" s="20" t="n">
        <v>0</v>
      </c>
      <c r="S25" s="18" t="n">
        <v>0.63162476</v>
      </c>
      <c r="T25" s="20" t="n">
        <v>0.44744371</v>
      </c>
    </row>
    <row r="26" spans="1:20">
      <c r="A26" s="15" t="s">
        <v>450</v>
      </c>
      <c r="B26" s="17" t="n">
        <v>2450</v>
      </c>
      <c r="C26" s="18">
        <f>(2156.0/B26*100)</f>
        <v/>
      </c>
      <c r="D26" s="19" t="n">
        <v>294</v>
      </c>
      <c r="E26" s="18" t="n">
        <v>25.07282846</v>
      </c>
      <c r="F26" s="20" t="n">
        <v>2.45441983</v>
      </c>
      <c r="G26" s="18" t="n">
        <v>58.16627223</v>
      </c>
      <c r="H26" s="20" t="n">
        <v>2.71918835</v>
      </c>
      <c r="I26" s="18" t="n">
        <v>13.95314853</v>
      </c>
      <c r="J26" s="20" t="n">
        <v>2.32473398</v>
      </c>
      <c r="K26" s="18" t="s">
        <v>431</v>
      </c>
      <c r="L26" s="20" t="s">
        <v>431</v>
      </c>
      <c r="M26" s="18" t="n">
        <v>0</v>
      </c>
      <c r="N26" s="20" t="n">
        <v>0</v>
      </c>
      <c r="O26" s="18" t="n">
        <v>0</v>
      </c>
      <c r="P26" s="20" t="n">
        <v>0</v>
      </c>
      <c r="Q26" s="18" t="n">
        <v>0</v>
      </c>
      <c r="R26" s="20" t="n">
        <v>0</v>
      </c>
      <c r="S26" s="18" t="n">
        <v>2.80775078</v>
      </c>
      <c r="T26" s="20" t="n">
        <v>1.34435537</v>
      </c>
    </row>
    <row r="27" spans="1:20">
      <c r="A27" s="15" t="s">
        <v>451</v>
      </c>
      <c r="B27" s="17" t="n">
        <v>2616</v>
      </c>
      <c r="C27" s="18">
        <f>(2283.0/B27*100)</f>
        <v/>
      </c>
      <c r="D27" s="19" t="n">
        <v>333</v>
      </c>
      <c r="E27" s="18" t="n">
        <v>25.62604083</v>
      </c>
      <c r="F27" s="20" t="n">
        <v>2.41479079</v>
      </c>
      <c r="G27" s="18" t="n">
        <v>49.79482484</v>
      </c>
      <c r="H27" s="20" t="n">
        <v>2.56341655</v>
      </c>
      <c r="I27" s="18" t="n">
        <v>23.67131375</v>
      </c>
      <c r="J27" s="20" t="n">
        <v>2.31823703</v>
      </c>
      <c r="K27" s="18" t="s">
        <v>431</v>
      </c>
      <c r="L27" s="20" t="s">
        <v>431</v>
      </c>
      <c r="M27" s="18" t="n">
        <v>0.29826066</v>
      </c>
      <c r="N27" s="20" t="n">
        <v>0.29680748</v>
      </c>
      <c r="O27" s="18" t="n">
        <v>0</v>
      </c>
      <c r="P27" s="20" t="n">
        <v>0</v>
      </c>
      <c r="Q27" s="18" t="n">
        <v>0</v>
      </c>
      <c r="R27" s="20" t="n">
        <v>0</v>
      </c>
      <c r="S27" s="18" t="n">
        <v>0.60955991</v>
      </c>
      <c r="T27" s="20" t="n">
        <v>0.43896408</v>
      </c>
    </row>
    <row r="28" spans="1:20">
      <c r="A28" s="15" t="s">
        <v>452</v>
      </c>
      <c r="B28" s="17" t="n">
        <v>3765</v>
      </c>
      <c r="C28" s="18">
        <f>(3337.0/B28*100)</f>
        <v/>
      </c>
      <c r="D28" s="19" t="n">
        <v>428</v>
      </c>
      <c r="E28" s="18" t="n">
        <v>56.85024158</v>
      </c>
      <c r="F28" s="20" t="n">
        <v>2.63113837</v>
      </c>
      <c r="G28" s="18" t="n">
        <v>36.2533076</v>
      </c>
      <c r="H28" s="20" t="n">
        <v>2.55090862</v>
      </c>
      <c r="I28" s="18" t="n">
        <v>5.86908098</v>
      </c>
      <c r="J28" s="20" t="n">
        <v>1.17041373</v>
      </c>
      <c r="K28" s="18" t="s">
        <v>431</v>
      </c>
      <c r="L28" s="20" t="s">
        <v>431</v>
      </c>
      <c r="M28" s="18" t="n">
        <v>0.22802894</v>
      </c>
      <c r="N28" s="20" t="n">
        <v>0.24831646</v>
      </c>
      <c r="O28" s="18" t="n">
        <v>0</v>
      </c>
      <c r="P28" s="20" t="n">
        <v>0</v>
      </c>
      <c r="Q28" s="18" t="n">
        <v>0</v>
      </c>
      <c r="R28" s="20" t="n">
        <v>0</v>
      </c>
      <c r="S28" s="18" t="n">
        <v>0.7993409</v>
      </c>
      <c r="T28" s="20" t="n">
        <v>0.40214935</v>
      </c>
    </row>
    <row r="29" spans="1:20">
      <c r="A29" s="15" t="s">
        <v>453</v>
      </c>
      <c r="B29" s="17" t="n">
        <v>2685</v>
      </c>
      <c r="C29" s="18">
        <f>(2357.0/B29*100)</f>
        <v/>
      </c>
      <c r="D29" s="19" t="n">
        <v>328</v>
      </c>
      <c r="E29" s="18" t="n">
        <v>13.80830567</v>
      </c>
      <c r="F29" s="20" t="n">
        <v>2.23952469</v>
      </c>
      <c r="G29" s="18" t="n">
        <v>40.70777785</v>
      </c>
      <c r="H29" s="20" t="n">
        <v>3.04986789</v>
      </c>
      <c r="I29" s="18" t="n">
        <v>44.02120975</v>
      </c>
      <c r="J29" s="20" t="n">
        <v>2.82848087</v>
      </c>
      <c r="K29" s="18" t="s">
        <v>431</v>
      </c>
      <c r="L29" s="20" t="s">
        <v>431</v>
      </c>
      <c r="M29" s="18" t="n">
        <v>0</v>
      </c>
      <c r="N29" s="20" t="n">
        <v>0</v>
      </c>
      <c r="O29" s="18" t="n">
        <v>0</v>
      </c>
      <c r="P29" s="20" t="n">
        <v>0</v>
      </c>
      <c r="Q29" s="18" t="n">
        <v>0</v>
      </c>
      <c r="R29" s="20" t="n">
        <v>0</v>
      </c>
      <c r="S29" s="18" t="n">
        <v>1.46270673</v>
      </c>
      <c r="T29" s="20" t="n">
        <v>0.51164058</v>
      </c>
    </row>
    <row r="30" spans="1:20">
      <c r="A30" s="15" t="s">
        <v>454</v>
      </c>
      <c r="B30" s="17" t="n">
        <v>2263</v>
      </c>
      <c r="C30" s="18">
        <f>(1974.0/B30*100)</f>
        <v/>
      </c>
      <c r="D30" s="19" t="n">
        <v>289</v>
      </c>
      <c r="E30" s="18" t="n">
        <v>36.43220977</v>
      </c>
      <c r="F30" s="20" t="n">
        <v>2.8471155</v>
      </c>
      <c r="G30" s="18" t="n">
        <v>43.67025878</v>
      </c>
      <c r="H30" s="20" t="n">
        <v>2.86210269</v>
      </c>
      <c r="I30" s="18" t="n">
        <v>18.47938314</v>
      </c>
      <c r="J30" s="20" t="n">
        <v>1.87975373</v>
      </c>
      <c r="K30" s="18" t="s">
        <v>431</v>
      </c>
      <c r="L30" s="20" t="s">
        <v>431</v>
      </c>
      <c r="M30" s="18" t="n">
        <v>0.43552005</v>
      </c>
      <c r="N30" s="20" t="n">
        <v>0.44166138</v>
      </c>
      <c r="O30" s="18" t="n">
        <v>0</v>
      </c>
      <c r="P30" s="20" t="n">
        <v>0</v>
      </c>
      <c r="Q30" s="18" t="n">
        <v>0</v>
      </c>
      <c r="R30" s="20" t="n">
        <v>0</v>
      </c>
      <c r="S30" s="18" t="n">
        <v>0.98262825</v>
      </c>
      <c r="T30" s="20" t="n">
        <v>0.59668476</v>
      </c>
    </row>
    <row r="31" spans="1:20">
      <c r="A31" s="15" t="s">
        <v>455</v>
      </c>
      <c r="B31" s="17" t="n">
        <v>2750</v>
      </c>
      <c r="C31" s="18">
        <f>(2421.0/B31*100)</f>
        <v/>
      </c>
      <c r="D31" s="19" t="n">
        <v>329</v>
      </c>
      <c r="E31" s="18" t="n">
        <v>18.33345174</v>
      </c>
      <c r="F31" s="20" t="n">
        <v>2.30064264</v>
      </c>
      <c r="G31" s="18" t="n">
        <v>39.22866754</v>
      </c>
      <c r="H31" s="20" t="n">
        <v>2.86459773</v>
      </c>
      <c r="I31" s="18" t="n">
        <v>40.70855159</v>
      </c>
      <c r="J31" s="20" t="n">
        <v>2.79513329</v>
      </c>
      <c r="K31" s="18" t="s">
        <v>431</v>
      </c>
      <c r="L31" s="20" t="s">
        <v>431</v>
      </c>
      <c r="M31" s="18" t="n">
        <v>0</v>
      </c>
      <c r="N31" s="20" t="n">
        <v>0</v>
      </c>
      <c r="O31" s="18" t="n">
        <v>0</v>
      </c>
      <c r="P31" s="20" t="n">
        <v>0</v>
      </c>
      <c r="Q31" s="18" t="n">
        <v>0</v>
      </c>
      <c r="R31" s="20" t="n">
        <v>0</v>
      </c>
      <c r="S31" s="18" t="n">
        <v>1.72932913</v>
      </c>
      <c r="T31" s="20" t="n">
        <v>0.6863395799999999</v>
      </c>
    </row>
    <row r="32" spans="1:20">
      <c r="A32" s="15" t="s">
        <v>456</v>
      </c>
      <c r="B32" s="17" t="n">
        <v>2269</v>
      </c>
      <c r="C32" s="18">
        <f>(1906.0/B32*100)</f>
        <v/>
      </c>
      <c r="D32" s="19" t="n">
        <v>363</v>
      </c>
      <c r="E32" s="18" t="n">
        <v>29.890032</v>
      </c>
      <c r="F32" s="20" t="n">
        <v>2.51517814</v>
      </c>
      <c r="G32" s="18" t="n">
        <v>37.2575444</v>
      </c>
      <c r="H32" s="20" t="n">
        <v>2.67854975</v>
      </c>
      <c r="I32" s="18" t="n">
        <v>16.41072042</v>
      </c>
      <c r="J32" s="20" t="n">
        <v>2.2385304</v>
      </c>
      <c r="K32" s="18" t="s">
        <v>431</v>
      </c>
      <c r="L32" s="20" t="s">
        <v>431</v>
      </c>
      <c r="M32" s="18" t="n">
        <v>0.26675997</v>
      </c>
      <c r="N32" s="20" t="n">
        <v>0.24994983</v>
      </c>
      <c r="O32" s="18" t="n">
        <v>0</v>
      </c>
      <c r="P32" s="20" t="n">
        <v>0</v>
      </c>
      <c r="Q32" s="18" t="n">
        <v>0</v>
      </c>
      <c r="R32" s="20" t="n">
        <v>0</v>
      </c>
      <c r="S32" s="18" t="n">
        <v>16.17494321</v>
      </c>
      <c r="T32" s="20" t="n">
        <v>2.17166686</v>
      </c>
    </row>
    <row r="33" spans="1:20">
      <c r="A33" s="15" t="s">
        <v>457</v>
      </c>
      <c r="B33" s="17" t="n">
        <v>3674</v>
      </c>
      <c r="C33" s="18">
        <f>(3201.0/B33*100)</f>
        <v/>
      </c>
      <c r="D33" s="19" t="n">
        <v>473</v>
      </c>
      <c r="E33" s="18" t="n">
        <v>31.21048252</v>
      </c>
      <c r="F33" s="20" t="n">
        <v>2.71673598</v>
      </c>
      <c r="G33" s="18" t="n">
        <v>45.67891229</v>
      </c>
      <c r="H33" s="20" t="n">
        <v>2.85141062</v>
      </c>
      <c r="I33" s="18" t="n">
        <v>14.91917803</v>
      </c>
      <c r="J33" s="20" t="n">
        <v>1.60529463</v>
      </c>
      <c r="K33" s="18" t="s">
        <v>431</v>
      </c>
      <c r="L33" s="20" t="s">
        <v>431</v>
      </c>
      <c r="M33" s="18" t="n">
        <v>0.07900707</v>
      </c>
      <c r="N33" s="20" t="n">
        <v>0.09903165</v>
      </c>
      <c r="O33" s="18" t="n">
        <v>0</v>
      </c>
      <c r="P33" s="20" t="n">
        <v>0</v>
      </c>
      <c r="Q33" s="18" t="n">
        <v>0</v>
      </c>
      <c r="R33" s="20" t="n">
        <v>0</v>
      </c>
      <c r="S33" s="18" t="n">
        <v>8.112420090000001</v>
      </c>
      <c r="T33" s="20" t="n">
        <v>1.57290155</v>
      </c>
    </row>
    <row r="34" spans="1:20">
      <c r="A34" s="15" t="s">
        <v>458</v>
      </c>
      <c r="B34" s="17" t="n">
        <v>3315</v>
      </c>
      <c r="C34" s="18">
        <f>(2921.0/B34*100)</f>
        <v/>
      </c>
      <c r="D34" s="19" t="n">
        <v>394</v>
      </c>
      <c r="E34" s="18" t="n">
        <v>44.69139183</v>
      </c>
      <c r="F34" s="20" t="n">
        <v>3.40327453</v>
      </c>
      <c r="G34" s="18" t="n">
        <v>38.81296833</v>
      </c>
      <c r="H34" s="20" t="n">
        <v>2.98166609</v>
      </c>
      <c r="I34" s="18" t="n">
        <v>14.61975562</v>
      </c>
      <c r="J34" s="20" t="n">
        <v>1.9126477</v>
      </c>
      <c r="K34" s="18" t="s">
        <v>431</v>
      </c>
      <c r="L34" s="20" t="s">
        <v>431</v>
      </c>
      <c r="M34" s="18" t="n">
        <v>0.19660557</v>
      </c>
      <c r="N34" s="20" t="n">
        <v>0.19677975</v>
      </c>
      <c r="O34" s="18" t="n">
        <v>0</v>
      </c>
      <c r="P34" s="20" t="n">
        <v>0</v>
      </c>
      <c r="Q34" s="18" t="n">
        <v>0</v>
      </c>
      <c r="R34" s="20" t="n">
        <v>0</v>
      </c>
      <c r="S34" s="18" t="n">
        <v>1.67927865</v>
      </c>
      <c r="T34" s="20" t="n">
        <v>0.68362771</v>
      </c>
    </row>
    <row r="35" spans="1:20">
      <c r="A35" s="15" t="s">
        <v>459</v>
      </c>
      <c r="B35" s="17" t="n">
        <v>3505</v>
      </c>
      <c r="C35" s="18">
        <f>(3070.0/B35*100)</f>
        <v/>
      </c>
      <c r="D35" s="19" t="n">
        <v>435</v>
      </c>
      <c r="E35" s="18" t="n">
        <v>19.64234898</v>
      </c>
      <c r="F35" s="20" t="n">
        <v>2.17813227</v>
      </c>
      <c r="G35" s="18" t="n">
        <v>50.77905492</v>
      </c>
      <c r="H35" s="20" t="n">
        <v>2.63555654</v>
      </c>
      <c r="I35" s="18" t="n">
        <v>19.98063243</v>
      </c>
      <c r="J35" s="20" t="n">
        <v>2.44640717</v>
      </c>
      <c r="K35" s="18" t="s">
        <v>431</v>
      </c>
      <c r="L35" s="20" t="s">
        <v>431</v>
      </c>
      <c r="M35" s="18" t="n">
        <v>0</v>
      </c>
      <c r="N35" s="20" t="n">
        <v>0</v>
      </c>
      <c r="O35" s="18" t="n">
        <v>0</v>
      </c>
      <c r="P35" s="20" t="n">
        <v>0</v>
      </c>
      <c r="Q35" s="18" t="n">
        <v>0</v>
      </c>
      <c r="R35" s="20" t="n">
        <v>0</v>
      </c>
      <c r="S35" s="18" t="n">
        <v>9.59796366</v>
      </c>
      <c r="T35" s="20" t="n">
        <v>1.75658828</v>
      </c>
    </row>
    <row r="36" spans="1:20">
      <c r="A36" s="15" t="s">
        <v>460</v>
      </c>
      <c r="B36" s="17" t="n">
        <v>3332</v>
      </c>
      <c r="C36" s="18">
        <f>(2911.0/B36*100)</f>
        <v/>
      </c>
      <c r="D36" s="19" t="n">
        <v>421</v>
      </c>
      <c r="E36" s="18" t="n">
        <v>40.98033031</v>
      </c>
      <c r="F36" s="20" t="n">
        <v>2.72270295</v>
      </c>
      <c r="G36" s="18" t="n">
        <v>40.47579401</v>
      </c>
      <c r="H36" s="20" t="n">
        <v>2.92808569</v>
      </c>
      <c r="I36" s="18" t="n">
        <v>17.02592137</v>
      </c>
      <c r="J36" s="20" t="n">
        <v>2.26520267</v>
      </c>
      <c r="K36" s="18" t="s">
        <v>431</v>
      </c>
      <c r="L36" s="20" t="s">
        <v>431</v>
      </c>
      <c r="M36" s="18" t="n">
        <v>0</v>
      </c>
      <c r="N36" s="20" t="n">
        <v>0</v>
      </c>
      <c r="O36" s="18" t="n">
        <v>0</v>
      </c>
      <c r="P36" s="20" t="n">
        <v>0</v>
      </c>
      <c r="Q36" s="18" t="n">
        <v>0</v>
      </c>
      <c r="R36" s="20" t="n">
        <v>0</v>
      </c>
      <c r="S36" s="18" t="n">
        <v>1.5179543</v>
      </c>
      <c r="T36" s="20" t="n">
        <v>0.65349488</v>
      </c>
    </row>
    <row r="37" spans="1:20">
      <c r="A37" s="15" t="s">
        <v>461</v>
      </c>
      <c r="B37" s="17" t="n">
        <v>2727</v>
      </c>
      <c r="C37" s="18">
        <f>(2376.0/B37*100)</f>
        <v/>
      </c>
      <c r="D37" s="19" t="n">
        <v>351</v>
      </c>
      <c r="E37" s="18" t="n">
        <v>18.68206565</v>
      </c>
      <c r="F37" s="20" t="n">
        <v>1.716956</v>
      </c>
      <c r="G37" s="18" t="n">
        <v>42.19028673</v>
      </c>
      <c r="H37" s="20" t="n">
        <v>2.96596526</v>
      </c>
      <c r="I37" s="18" t="n">
        <v>36.0845455</v>
      </c>
      <c r="J37" s="20" t="n">
        <v>2.8076867</v>
      </c>
      <c r="K37" s="18" t="s">
        <v>431</v>
      </c>
      <c r="L37" s="20" t="s">
        <v>431</v>
      </c>
      <c r="M37" s="18" t="n">
        <v>1.09591906</v>
      </c>
      <c r="N37" s="20" t="n">
        <v>0.54765454</v>
      </c>
      <c r="O37" s="18" t="n">
        <v>0</v>
      </c>
      <c r="P37" s="20" t="n">
        <v>0</v>
      </c>
      <c r="Q37" s="18" t="n">
        <v>0</v>
      </c>
      <c r="R37" s="20" t="n">
        <v>0</v>
      </c>
      <c r="S37" s="18" t="n">
        <v>1.94718307</v>
      </c>
      <c r="T37" s="20" t="n">
        <v>0.83199331</v>
      </c>
    </row>
    <row r="38" spans="1:20">
      <c r="A38" s="15" t="s">
        <v>462</v>
      </c>
      <c r="B38" s="17" t="n">
        <v>3053</v>
      </c>
      <c r="C38" s="18">
        <f>(2583.0/B38*100)</f>
        <v/>
      </c>
      <c r="D38" s="19" t="n">
        <v>470</v>
      </c>
      <c r="E38" s="18" t="n">
        <v>17.74473336</v>
      </c>
      <c r="F38" s="20" t="n">
        <v>1.75613904</v>
      </c>
      <c r="G38" s="18" t="n">
        <v>48.38222445</v>
      </c>
      <c r="H38" s="20" t="n">
        <v>2.70725403</v>
      </c>
      <c r="I38" s="18" t="n">
        <v>28.55038599</v>
      </c>
      <c r="J38" s="20" t="n">
        <v>2.17378163</v>
      </c>
      <c r="K38" s="18" t="s">
        <v>431</v>
      </c>
      <c r="L38" s="20" t="s">
        <v>431</v>
      </c>
      <c r="M38" s="18" t="n">
        <v>0.37878394</v>
      </c>
      <c r="N38" s="20" t="n">
        <v>0.20594233</v>
      </c>
      <c r="O38" s="18" t="n">
        <v>0</v>
      </c>
      <c r="P38" s="20" t="n">
        <v>0</v>
      </c>
      <c r="Q38" s="18" t="n">
        <v>0</v>
      </c>
      <c r="R38" s="20" t="n">
        <v>0</v>
      </c>
      <c r="S38" s="18" t="n">
        <v>4.94387225</v>
      </c>
      <c r="T38" s="20" t="n">
        <v>1.47941766</v>
      </c>
    </row>
    <row r="39" spans="1:20">
      <c r="A39" s="15" t="s">
        <v>463</v>
      </c>
      <c r="B39" s="17" t="n">
        <v>2957</v>
      </c>
      <c r="C39" s="18">
        <f>(2589.0/B39*100)</f>
        <v/>
      </c>
      <c r="D39" s="19" t="n">
        <v>368</v>
      </c>
      <c r="E39" s="18" t="n">
        <v>31.15655853</v>
      </c>
      <c r="F39" s="20" t="n">
        <v>3.07360209</v>
      </c>
      <c r="G39" s="18" t="n">
        <v>47.16518675</v>
      </c>
      <c r="H39" s="20" t="n">
        <v>3.22774779</v>
      </c>
      <c r="I39" s="18" t="n">
        <v>13.89524059</v>
      </c>
      <c r="J39" s="20" t="n">
        <v>2.66022216</v>
      </c>
      <c r="K39" s="18" t="s">
        <v>431</v>
      </c>
      <c r="L39" s="20" t="s">
        <v>431</v>
      </c>
      <c r="M39" s="18" t="n">
        <v>0.34162125</v>
      </c>
      <c r="N39" s="20" t="n">
        <v>0.34106908</v>
      </c>
      <c r="O39" s="18" t="n">
        <v>0</v>
      </c>
      <c r="P39" s="20" t="n">
        <v>0</v>
      </c>
      <c r="Q39" s="18" t="n">
        <v>0</v>
      </c>
      <c r="R39" s="20" t="n">
        <v>0</v>
      </c>
      <c r="S39" s="18" t="n">
        <v>7.44139289</v>
      </c>
      <c r="T39" s="20" t="n">
        <v>1.4050337</v>
      </c>
    </row>
    <row r="40" spans="1:20">
      <c r="A40" s="15" t="s">
        <v>464</v>
      </c>
      <c r="B40" s="17" t="n">
        <v>7235</v>
      </c>
      <c r="C40" s="18">
        <f>(6331.0/B40*100)</f>
        <v/>
      </c>
      <c r="D40" s="19" t="n">
        <v>904</v>
      </c>
      <c r="E40" s="18" t="n">
        <v>31.72554955</v>
      </c>
      <c r="F40" s="20" t="n">
        <v>2.32277863</v>
      </c>
      <c r="G40" s="18" t="n">
        <v>43.37981662</v>
      </c>
      <c r="H40" s="20" t="n">
        <v>2.21530418</v>
      </c>
      <c r="I40" s="18" t="n">
        <v>23.1952366</v>
      </c>
      <c r="J40" s="20" t="n">
        <v>2.17395265</v>
      </c>
      <c r="K40" s="18" t="s">
        <v>431</v>
      </c>
      <c r="L40" s="20" t="s">
        <v>431</v>
      </c>
      <c r="M40" s="18" t="n">
        <v>0.139083</v>
      </c>
      <c r="N40" s="20" t="n">
        <v>0.08617244</v>
      </c>
      <c r="O40" s="18" t="n">
        <v>0</v>
      </c>
      <c r="P40" s="20" t="n">
        <v>0</v>
      </c>
      <c r="Q40" s="18" t="n">
        <v>0</v>
      </c>
      <c r="R40" s="20" t="n">
        <v>0</v>
      </c>
      <c r="S40" s="18" t="n">
        <v>1.56031423</v>
      </c>
      <c r="T40" s="20" t="n">
        <v>0.57241035</v>
      </c>
    </row>
    <row r="41" spans="1:20">
      <c r="A41" s="15" t="s">
        <v>465</v>
      </c>
      <c r="B41" s="17" t="n">
        <v>2858</v>
      </c>
      <c r="C41" s="18">
        <f>(2523.0/B41*100)</f>
        <v/>
      </c>
      <c r="D41" s="19" t="n">
        <v>335</v>
      </c>
      <c r="E41" s="18" t="n">
        <v>34.21524566</v>
      </c>
      <c r="F41" s="20" t="n">
        <v>2.8505983</v>
      </c>
      <c r="G41" s="18" t="n">
        <v>47.69105544</v>
      </c>
      <c r="H41" s="20" t="n">
        <v>2.81886946</v>
      </c>
      <c r="I41" s="18" t="n">
        <v>17.57098405</v>
      </c>
      <c r="J41" s="20" t="n">
        <v>2.34562196</v>
      </c>
      <c r="K41" s="18" t="s">
        <v>431</v>
      </c>
      <c r="L41" s="20" t="s">
        <v>431</v>
      </c>
      <c r="M41" s="18" t="n">
        <v>0</v>
      </c>
      <c r="N41" s="20" t="n">
        <v>0</v>
      </c>
      <c r="O41" s="18" t="n">
        <v>0</v>
      </c>
      <c r="P41" s="20" t="n">
        <v>0</v>
      </c>
      <c r="Q41" s="18" t="n">
        <v>0</v>
      </c>
      <c r="R41" s="20" t="n">
        <v>0</v>
      </c>
      <c r="S41" s="18" t="n">
        <v>0.52271485</v>
      </c>
      <c r="T41" s="20" t="n">
        <v>0.35370068</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11068</v>
      </c>
      <c r="C46" s="18">
        <f>(9761.0/B46*100)</f>
        <v/>
      </c>
      <c r="D46" s="19" t="n">
        <v>1307</v>
      </c>
      <c r="E46" s="18" t="n">
        <v>61.70141492</v>
      </c>
      <c r="F46" s="20" t="n">
        <v>1.58581311</v>
      </c>
      <c r="G46" s="18" t="n">
        <v>27.30885696</v>
      </c>
      <c r="H46" s="20" t="n">
        <v>1.28721851</v>
      </c>
      <c r="I46" s="18" t="n">
        <v>6.11513114</v>
      </c>
      <c r="J46" s="20" t="n">
        <v>0.91591561</v>
      </c>
      <c r="K46" s="18" t="s">
        <v>431</v>
      </c>
      <c r="L46" s="20" t="s">
        <v>431</v>
      </c>
      <c r="M46" s="18" t="n">
        <v>0.53012145</v>
      </c>
      <c r="N46" s="20" t="n">
        <v>0.23626103</v>
      </c>
      <c r="O46" s="18" t="n">
        <v>0</v>
      </c>
      <c r="P46" s="20" t="n">
        <v>0</v>
      </c>
      <c r="Q46" s="18" t="n">
        <v>0</v>
      </c>
      <c r="R46" s="20" t="n">
        <v>0</v>
      </c>
      <c r="S46" s="18" t="n">
        <v>4.34447553</v>
      </c>
      <c r="T46" s="20" t="n">
        <v>0.709613</v>
      </c>
    </row>
    <row r="47" spans="1:20">
      <c r="A47" s="15" t="s">
        <v>471</v>
      </c>
      <c r="B47" s="17" t="n">
        <v>3105</v>
      </c>
      <c r="C47" s="18">
        <f>(2717.0/B47*100)</f>
        <v/>
      </c>
      <c r="D47" s="19" t="n">
        <v>388</v>
      </c>
      <c r="E47" s="18" t="n">
        <v>44.0245856</v>
      </c>
      <c r="F47" s="20" t="n">
        <v>2.66625161</v>
      </c>
      <c r="G47" s="18" t="n">
        <v>34.14277906</v>
      </c>
      <c r="H47" s="20" t="n">
        <v>2.39132571</v>
      </c>
      <c r="I47" s="18" t="n">
        <v>8.271600210000001</v>
      </c>
      <c r="J47" s="20" t="n">
        <v>1.49474139</v>
      </c>
      <c r="K47" s="18" t="s">
        <v>431</v>
      </c>
      <c r="L47" s="20" t="s">
        <v>431</v>
      </c>
      <c r="M47" s="18" t="n">
        <v>0.79889508</v>
      </c>
      <c r="N47" s="20" t="n">
        <v>0.60138487</v>
      </c>
      <c r="O47" s="18" t="n">
        <v>0</v>
      </c>
      <c r="P47" s="20" t="n">
        <v>0</v>
      </c>
      <c r="Q47" s="18" t="n">
        <v>0</v>
      </c>
      <c r="R47" s="20" t="n">
        <v>0</v>
      </c>
      <c r="S47" s="18" t="n">
        <v>12.76214004</v>
      </c>
      <c r="T47" s="20" t="n">
        <v>1.863683</v>
      </c>
    </row>
    <row r="48" spans="1:20">
      <c r="A48" s="15" t="s">
        <v>472</v>
      </c>
      <c r="B48" s="17" t="n">
        <v>5159</v>
      </c>
      <c r="C48" s="18">
        <f>(4527.0/B48*100)</f>
        <v/>
      </c>
      <c r="D48" s="19" t="n">
        <v>632</v>
      </c>
      <c r="E48" s="18" t="n">
        <v>24.67037674</v>
      </c>
      <c r="F48" s="20" t="n">
        <v>2.01016192</v>
      </c>
      <c r="G48" s="18" t="n">
        <v>53.42652863</v>
      </c>
      <c r="H48" s="20" t="n">
        <v>2.69270002</v>
      </c>
      <c r="I48" s="18" t="n">
        <v>20.33958634</v>
      </c>
      <c r="J48" s="20" t="n">
        <v>2.14232027</v>
      </c>
      <c r="K48" s="18" t="s">
        <v>431</v>
      </c>
      <c r="L48" s="20" t="s">
        <v>431</v>
      </c>
      <c r="M48" s="18" t="n">
        <v>0</v>
      </c>
      <c r="N48" s="20" t="n">
        <v>0</v>
      </c>
      <c r="O48" s="18" t="n">
        <v>0</v>
      </c>
      <c r="P48" s="20" t="n">
        <v>0</v>
      </c>
      <c r="Q48" s="18" t="n">
        <v>0</v>
      </c>
      <c r="R48" s="20" t="n">
        <v>0</v>
      </c>
      <c r="S48" s="18" t="n">
        <v>1.56350829</v>
      </c>
      <c r="T48" s="20" t="n">
        <v>0.65496028</v>
      </c>
    </row>
    <row r="49" spans="1:20">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5637</v>
      </c>
      <c r="C50" s="18">
        <f>(4957.0/B50*100)</f>
        <v/>
      </c>
      <c r="D50" s="19" t="n">
        <v>680</v>
      </c>
      <c r="E50" s="18" t="n">
        <v>68.68709515</v>
      </c>
      <c r="F50" s="20" t="n">
        <v>2.41064482</v>
      </c>
      <c r="G50" s="18" t="n">
        <v>26.8350552</v>
      </c>
      <c r="H50" s="20" t="n">
        <v>2.09152342</v>
      </c>
      <c r="I50" s="18" t="n">
        <v>3.25553744</v>
      </c>
      <c r="J50" s="20" t="n">
        <v>0.78031485</v>
      </c>
      <c r="K50" s="18" t="s">
        <v>431</v>
      </c>
      <c r="L50" s="20" t="s">
        <v>431</v>
      </c>
      <c r="M50" s="18" t="n">
        <v>0.2560194</v>
      </c>
      <c r="N50" s="20" t="n">
        <v>0.27248391</v>
      </c>
      <c r="O50" s="18" t="n">
        <v>0</v>
      </c>
      <c r="P50" s="20" t="n">
        <v>0</v>
      </c>
      <c r="Q50" s="18" t="n">
        <v>0</v>
      </c>
      <c r="R50" s="20" t="n">
        <v>0</v>
      </c>
      <c r="S50" s="18" t="n">
        <v>0.96629281</v>
      </c>
      <c r="T50" s="20" t="n">
        <v>0.56785643</v>
      </c>
    </row>
    <row r="51" spans="1:20">
      <c r="A51" s="15" t="s">
        <v>475</v>
      </c>
      <c r="B51" s="17" t="n">
        <v>3372</v>
      </c>
      <c r="C51" s="18">
        <f>(3001.0/B51*100)</f>
        <v/>
      </c>
      <c r="D51" s="19" t="n">
        <v>371</v>
      </c>
      <c r="E51" s="18" t="n">
        <v>53.65553414</v>
      </c>
      <c r="F51" s="20" t="n">
        <v>3.03011453</v>
      </c>
      <c r="G51" s="18" t="n">
        <v>38.70957832</v>
      </c>
      <c r="H51" s="20" t="n">
        <v>3.05758</v>
      </c>
      <c r="I51" s="18" t="n">
        <v>5.98489469</v>
      </c>
      <c r="J51" s="20" t="n">
        <v>1.41121867</v>
      </c>
      <c r="K51" s="18" t="s">
        <v>431</v>
      </c>
      <c r="L51" s="20" t="s">
        <v>431</v>
      </c>
      <c r="M51" s="18" t="n">
        <v>0</v>
      </c>
      <c r="N51" s="20" t="n">
        <v>0</v>
      </c>
      <c r="O51" s="18" t="n">
        <v>0</v>
      </c>
      <c r="P51" s="20" t="n">
        <v>0</v>
      </c>
      <c r="Q51" s="18" t="n">
        <v>0</v>
      </c>
      <c r="R51" s="20" t="n">
        <v>0</v>
      </c>
      <c r="S51" s="18" t="n">
        <v>1.64999285</v>
      </c>
      <c r="T51" s="20" t="n">
        <v>0.59798367</v>
      </c>
    </row>
    <row r="52" spans="1:20">
      <c r="A52" s="15" t="s">
        <v>476</v>
      </c>
      <c r="B52" s="17" t="n">
        <v>2796</v>
      </c>
      <c r="C52" s="18">
        <f>(2442.0/B52*100)</f>
        <v/>
      </c>
      <c r="D52" s="19" t="n">
        <v>354</v>
      </c>
      <c r="E52" s="18" t="n">
        <v>21.81981777</v>
      </c>
      <c r="F52" s="20" t="n">
        <v>2.0185849</v>
      </c>
      <c r="G52" s="18" t="n">
        <v>52.61190957</v>
      </c>
      <c r="H52" s="20" t="n">
        <v>2.77560616</v>
      </c>
      <c r="I52" s="18" t="n">
        <v>24.53654604</v>
      </c>
      <c r="J52" s="20" t="n">
        <v>2.70041882</v>
      </c>
      <c r="K52" s="18" t="s">
        <v>431</v>
      </c>
      <c r="L52" s="20" t="s">
        <v>431</v>
      </c>
      <c r="M52" s="18" t="n">
        <v>0.35679738</v>
      </c>
      <c r="N52" s="20" t="n">
        <v>0.36127451</v>
      </c>
      <c r="O52" s="18" t="n">
        <v>0</v>
      </c>
      <c r="P52" s="20" t="n">
        <v>0</v>
      </c>
      <c r="Q52" s="18" t="n">
        <v>0</v>
      </c>
      <c r="R52" s="20" t="n">
        <v>0</v>
      </c>
      <c r="S52" s="18" t="n">
        <v>0.67492923</v>
      </c>
      <c r="T52" s="20" t="n">
        <v>0.4818016</v>
      </c>
    </row>
    <row r="53" spans="1:20">
      <c r="A53" s="15" t="s">
        <v>477</v>
      </c>
      <c r="B53" s="17" t="n">
        <v>2811</v>
      </c>
      <c r="C53" s="18">
        <f>(2481.0/B53*100)</f>
        <v/>
      </c>
      <c r="D53" s="19" t="n">
        <v>330</v>
      </c>
      <c r="E53" s="18" t="n">
        <v>45.03879044</v>
      </c>
      <c r="F53" s="20" t="n">
        <v>2.77146142</v>
      </c>
      <c r="G53" s="18" t="n">
        <v>35.94942367</v>
      </c>
      <c r="H53" s="20" t="n">
        <v>2.57915564</v>
      </c>
      <c r="I53" s="18" t="n">
        <v>7.68967252</v>
      </c>
      <c r="J53" s="20" t="n">
        <v>1.5393636</v>
      </c>
      <c r="K53" s="18" t="s">
        <v>431</v>
      </c>
      <c r="L53" s="20" t="s">
        <v>431</v>
      </c>
      <c r="M53" s="18" t="n">
        <v>0.40901606</v>
      </c>
      <c r="N53" s="20" t="n">
        <v>0.40971802</v>
      </c>
      <c r="O53" s="18" t="n">
        <v>0</v>
      </c>
      <c r="P53" s="20" t="n">
        <v>0</v>
      </c>
      <c r="Q53" s="18" t="n">
        <v>0</v>
      </c>
      <c r="R53" s="20" t="n">
        <v>0</v>
      </c>
      <c r="S53" s="18" t="n">
        <v>10.9130973</v>
      </c>
      <c r="T53" s="20" t="n">
        <v>1.9534357</v>
      </c>
    </row>
    <row r="54" spans="1:20">
      <c r="A54" s="15" t="s">
        <v>478</v>
      </c>
      <c r="B54" s="17" t="n">
        <v>2266</v>
      </c>
      <c r="C54" s="18">
        <f>(1879.0/B54*100)</f>
        <v/>
      </c>
      <c r="D54" s="19" t="n">
        <v>387</v>
      </c>
      <c r="E54" s="18" t="n">
        <v>57.47741591</v>
      </c>
      <c r="F54" s="20" t="n">
        <v>3.01913642</v>
      </c>
      <c r="G54" s="18" t="n">
        <v>15.94788682</v>
      </c>
      <c r="H54" s="20" t="n">
        <v>2.14641323</v>
      </c>
      <c r="I54" s="18" t="n">
        <v>0.43813635</v>
      </c>
      <c r="J54" s="20" t="n">
        <v>0.43478763</v>
      </c>
      <c r="K54" s="18" t="s">
        <v>431</v>
      </c>
      <c r="L54" s="20" t="s">
        <v>431</v>
      </c>
      <c r="M54" s="18" t="n">
        <v>1.89763648</v>
      </c>
      <c r="N54" s="20" t="n">
        <v>0.93819356</v>
      </c>
      <c r="O54" s="18" t="n">
        <v>0</v>
      </c>
      <c r="P54" s="20" t="n">
        <v>0</v>
      </c>
      <c r="Q54" s="18" t="n">
        <v>0</v>
      </c>
      <c r="R54" s="20" t="n">
        <v>0</v>
      </c>
      <c r="S54" s="18" t="n">
        <v>24.23892444</v>
      </c>
      <c r="T54" s="20" t="n">
        <v>3.01856281</v>
      </c>
    </row>
    <row r="55" spans="1:20">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2684</v>
      </c>
      <c r="C56" s="18">
        <f>(2357.0/B56*100)</f>
        <v/>
      </c>
      <c r="D56" s="19" t="n">
        <v>327</v>
      </c>
      <c r="E56" s="18" t="n">
        <v>13.86286073</v>
      </c>
      <c r="F56" s="20" t="n">
        <v>2.22878227</v>
      </c>
      <c r="G56" s="18" t="n">
        <v>41.34869767</v>
      </c>
      <c r="H56" s="20" t="n">
        <v>3.51589499</v>
      </c>
      <c r="I56" s="18" t="n">
        <v>39.52707581</v>
      </c>
      <c r="J56" s="20" t="n">
        <v>3.16047069</v>
      </c>
      <c r="K56" s="18" t="s">
        <v>431</v>
      </c>
      <c r="L56" s="20" t="s">
        <v>431</v>
      </c>
      <c r="M56" s="18" t="n">
        <v>0</v>
      </c>
      <c r="N56" s="20" t="n">
        <v>0</v>
      </c>
      <c r="O56" s="18" t="n">
        <v>0</v>
      </c>
      <c r="P56" s="20" t="n">
        <v>0</v>
      </c>
      <c r="Q56" s="18" t="n">
        <v>0</v>
      </c>
      <c r="R56" s="20" t="n">
        <v>0</v>
      </c>
      <c r="S56" s="18" t="n">
        <v>5.26136579</v>
      </c>
      <c r="T56" s="20" t="n">
        <v>1.6922841</v>
      </c>
    </row>
    <row r="57" spans="1:20">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3324</v>
      </c>
      <c r="C61" s="18">
        <f>(2900.0/B61*100)</f>
        <v/>
      </c>
      <c r="D61" s="19" t="n">
        <v>424</v>
      </c>
      <c r="E61" s="18" t="n">
        <v>35.07974099</v>
      </c>
      <c r="F61" s="20" t="n">
        <v>2.56817998</v>
      </c>
      <c r="G61" s="18" t="n">
        <v>48.40619285</v>
      </c>
      <c r="H61" s="20" t="n">
        <v>2.31524572</v>
      </c>
      <c r="I61" s="18" t="n">
        <v>14.0143472</v>
      </c>
      <c r="J61" s="20" t="n">
        <v>1.80785002</v>
      </c>
      <c r="K61" s="18" t="s">
        <v>431</v>
      </c>
      <c r="L61" s="20" t="s">
        <v>431</v>
      </c>
      <c r="M61" s="18" t="n">
        <v>0.28344479</v>
      </c>
      <c r="N61" s="20" t="n">
        <v>0.27433506</v>
      </c>
      <c r="O61" s="18" t="n">
        <v>0</v>
      </c>
      <c r="P61" s="20" t="n">
        <v>0</v>
      </c>
      <c r="Q61" s="18" t="n">
        <v>0</v>
      </c>
      <c r="R61" s="20" t="n">
        <v>0</v>
      </c>
      <c r="S61" s="18" t="n">
        <v>2.21627417</v>
      </c>
      <c r="T61" s="20" t="n">
        <v>0.75723995</v>
      </c>
    </row>
    <row r="62" spans="1:20">
      <c r="A62" s="15" t="s">
        <v>486</v>
      </c>
      <c r="B62" s="17" t="n">
        <v>2246</v>
      </c>
      <c r="C62" s="18">
        <f>(1992.0/B62*100)</f>
        <v/>
      </c>
      <c r="D62" s="19" t="n">
        <v>254</v>
      </c>
      <c r="E62" s="18" t="n">
        <v>17.70352994</v>
      </c>
      <c r="F62" s="20" t="n">
        <v>2.30994128</v>
      </c>
      <c r="G62" s="18" t="n">
        <v>48.85959016</v>
      </c>
      <c r="H62" s="20" t="n">
        <v>2.68615215</v>
      </c>
      <c r="I62" s="18" t="n">
        <v>33.04614795</v>
      </c>
      <c r="J62" s="20" t="n">
        <v>2.32974024</v>
      </c>
      <c r="K62" s="18" t="s">
        <v>431</v>
      </c>
      <c r="L62" s="20" t="s">
        <v>431</v>
      </c>
      <c r="M62" s="18" t="n">
        <v>0</v>
      </c>
      <c r="N62" s="20" t="n">
        <v>0</v>
      </c>
      <c r="O62" s="18" t="n">
        <v>0</v>
      </c>
      <c r="P62" s="20" t="n">
        <v>0</v>
      </c>
      <c r="Q62" s="18" t="n">
        <v>0</v>
      </c>
      <c r="R62" s="20" t="n">
        <v>0</v>
      </c>
      <c r="S62" s="18" t="n">
        <v>0.39073196</v>
      </c>
      <c r="T62" s="20" t="n">
        <v>0.39261054</v>
      </c>
    </row>
    <row r="63" spans="1:20">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2894</v>
      </c>
      <c r="C66" s="18">
        <f>(2557.0/B66*100)</f>
        <v/>
      </c>
      <c r="D66" s="19" t="n">
        <v>337</v>
      </c>
      <c r="E66" s="18" t="n">
        <v>43.40003904</v>
      </c>
      <c r="F66" s="20" t="n">
        <v>2.32055362</v>
      </c>
      <c r="G66" s="18" t="n">
        <v>39.75572215</v>
      </c>
      <c r="H66" s="20" t="n">
        <v>2.32749582</v>
      </c>
      <c r="I66" s="18" t="n">
        <v>11.89270338</v>
      </c>
      <c r="J66" s="20" t="n">
        <v>1.9099619</v>
      </c>
      <c r="K66" s="18" t="s">
        <v>431</v>
      </c>
      <c r="L66" s="20" t="s">
        <v>431</v>
      </c>
      <c r="M66" s="18" t="n">
        <v>0</v>
      </c>
      <c r="N66" s="20" t="n">
        <v>0</v>
      </c>
      <c r="O66" s="18" t="n">
        <v>0</v>
      </c>
      <c r="P66" s="20" t="n">
        <v>0</v>
      </c>
      <c r="Q66" s="18" t="n">
        <v>0</v>
      </c>
      <c r="R66" s="20" t="n">
        <v>0</v>
      </c>
      <c r="S66" s="18" t="n">
        <v>4.95153542</v>
      </c>
      <c r="T66" s="20" t="n">
        <v>1.15864504</v>
      </c>
    </row>
    <row r="67" spans="1:20">
      <c r="A67" s="15" t="s">
        <v>491</v>
      </c>
      <c r="B67" s="17" t="n">
        <v>3511</v>
      </c>
      <c r="C67" s="18">
        <f>(3078.0/B67*100)</f>
        <v/>
      </c>
      <c r="D67" s="19" t="n">
        <v>433</v>
      </c>
      <c r="E67" s="18" t="n">
        <v>56.30757758</v>
      </c>
      <c r="F67" s="20" t="n">
        <v>2.46478445</v>
      </c>
      <c r="G67" s="18" t="n">
        <v>33.74844291</v>
      </c>
      <c r="H67" s="20" t="n">
        <v>2.38212272</v>
      </c>
      <c r="I67" s="18" t="n">
        <v>7.53746216</v>
      </c>
      <c r="J67" s="20" t="n">
        <v>1.62781178</v>
      </c>
      <c r="K67" s="18" t="s">
        <v>431</v>
      </c>
      <c r="L67" s="20" t="s">
        <v>431</v>
      </c>
      <c r="M67" s="18" t="n">
        <v>0</v>
      </c>
      <c r="N67" s="20" t="n">
        <v>0</v>
      </c>
      <c r="O67" s="18" t="n">
        <v>0</v>
      </c>
      <c r="P67" s="20" t="n">
        <v>0</v>
      </c>
      <c r="Q67" s="18" t="n">
        <v>0</v>
      </c>
      <c r="R67" s="20" t="n">
        <v>0</v>
      </c>
      <c r="S67" s="18" t="n">
        <v>2.40651736</v>
      </c>
      <c r="T67" s="20" t="n">
        <v>0.7249019</v>
      </c>
    </row>
    <row r="68" spans="1:20">
      <c r="A68" s="15" t="s">
        <v>492</v>
      </c>
      <c r="B68" s="17" t="n">
        <v>6049</v>
      </c>
      <c r="C68" s="18">
        <f>(5052.0/B68*100)</f>
        <v/>
      </c>
      <c r="D68" s="19" t="n">
        <v>997</v>
      </c>
      <c r="E68" s="18" t="n">
        <v>47.05613081</v>
      </c>
      <c r="F68" s="20" t="n">
        <v>1.65194006</v>
      </c>
      <c r="G68" s="18" t="n">
        <v>38.87212508</v>
      </c>
      <c r="H68" s="20" t="n">
        <v>1.44419704</v>
      </c>
      <c r="I68" s="18" t="n">
        <v>8.53198093</v>
      </c>
      <c r="J68" s="20" t="n">
        <v>0.96490404</v>
      </c>
      <c r="K68" s="18" t="s">
        <v>431</v>
      </c>
      <c r="L68" s="20" t="s">
        <v>431</v>
      </c>
      <c r="M68" s="18" t="n">
        <v>1.47556014</v>
      </c>
      <c r="N68" s="20" t="n">
        <v>0.38432212</v>
      </c>
      <c r="O68" s="18" t="n">
        <v>0</v>
      </c>
      <c r="P68" s="20" t="n">
        <v>0</v>
      </c>
      <c r="Q68" s="18" t="n">
        <v>0</v>
      </c>
      <c r="R68" s="20" t="n">
        <v>0</v>
      </c>
      <c r="S68" s="18" t="n">
        <v>4.06420304</v>
      </c>
      <c r="T68" s="20" t="n">
        <v>0.56313605</v>
      </c>
    </row>
    <row r="69" spans="1:20">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2929</v>
      </c>
      <c r="C70" s="18">
        <f>(2597.0/B70*100)</f>
        <v/>
      </c>
      <c r="D70" s="19" t="n">
        <v>332</v>
      </c>
      <c r="E70" s="18" t="n">
        <v>23.09307426</v>
      </c>
      <c r="F70" s="20" t="n">
        <v>2.56332571</v>
      </c>
      <c r="G70" s="18" t="n">
        <v>50.34878148</v>
      </c>
      <c r="H70" s="20" t="n">
        <v>3.68653296</v>
      </c>
      <c r="I70" s="18" t="n">
        <v>25.81610676</v>
      </c>
      <c r="J70" s="20" t="n">
        <v>2.5213221</v>
      </c>
      <c r="K70" s="18" t="s">
        <v>431</v>
      </c>
      <c r="L70" s="20" t="s">
        <v>431</v>
      </c>
      <c r="M70" s="18" t="n">
        <v>0</v>
      </c>
      <c r="N70" s="20" t="n">
        <v>0</v>
      </c>
      <c r="O70" s="18" t="n">
        <v>0</v>
      </c>
      <c r="P70" s="20" t="n">
        <v>0</v>
      </c>
      <c r="Q70" s="18" t="n">
        <v>0</v>
      </c>
      <c r="R70" s="20" t="n">
        <v>0</v>
      </c>
      <c r="S70" s="18" t="n">
        <v>0.7420375</v>
      </c>
      <c r="T70" s="20" t="n">
        <v>0.38312489</v>
      </c>
    </row>
    <row r="71" spans="1:20">
      <c r="A71" s="15" t="s">
        <v>495</v>
      </c>
      <c r="B71" s="17" t="n">
        <v>3142</v>
      </c>
      <c r="C71" s="18">
        <f>(2757.0/B71*100)</f>
        <v/>
      </c>
      <c r="D71" s="19" t="n">
        <v>385</v>
      </c>
      <c r="E71" s="18" t="n">
        <v>18.46143708</v>
      </c>
      <c r="F71" s="20" t="n">
        <v>2.06659876</v>
      </c>
      <c r="G71" s="18" t="n">
        <v>49.33353971</v>
      </c>
      <c r="H71" s="20" t="n">
        <v>2.6529171</v>
      </c>
      <c r="I71" s="18" t="n">
        <v>31.00129032</v>
      </c>
      <c r="J71" s="20" t="n">
        <v>2.50646887</v>
      </c>
      <c r="K71" s="18" t="s">
        <v>431</v>
      </c>
      <c r="L71" s="20" t="s">
        <v>431</v>
      </c>
      <c r="M71" s="18" t="n">
        <v>0.27585198</v>
      </c>
      <c r="N71" s="20" t="n">
        <v>0.27620877</v>
      </c>
      <c r="O71" s="18" t="n">
        <v>0</v>
      </c>
      <c r="P71" s="20" t="n">
        <v>0</v>
      </c>
      <c r="Q71" s="18" t="n">
        <v>0</v>
      </c>
      <c r="R71" s="20" t="n">
        <v>0</v>
      </c>
      <c r="S71" s="18" t="n">
        <v>0.9278809</v>
      </c>
      <c r="T71" s="20" t="n">
        <v>0.41176327</v>
      </c>
    </row>
    <row r="72" spans="1:20">
      <c r="A72" s="15" t="s">
        <v>496</v>
      </c>
      <c r="B72" s="17" t="n">
        <v>3889</v>
      </c>
      <c r="C72" s="18">
        <f>(3394.0/B72*100)</f>
        <v/>
      </c>
      <c r="D72" s="19" t="n">
        <v>495</v>
      </c>
      <c r="E72" s="18" t="n">
        <v>26.38562992</v>
      </c>
      <c r="F72" s="20" t="n">
        <v>1.90756912</v>
      </c>
      <c r="G72" s="18" t="n">
        <v>60.01087802</v>
      </c>
      <c r="H72" s="20" t="n">
        <v>2.32454305</v>
      </c>
      <c r="I72" s="18" t="n">
        <v>10.81983895</v>
      </c>
      <c r="J72" s="20" t="n">
        <v>1.38059287</v>
      </c>
      <c r="K72" s="18" t="s">
        <v>431</v>
      </c>
      <c r="L72" s="20" t="s">
        <v>431</v>
      </c>
      <c r="M72" s="18" t="n">
        <v>0</v>
      </c>
      <c r="N72" s="20" t="n">
        <v>0</v>
      </c>
      <c r="O72" s="18" t="n">
        <v>0</v>
      </c>
      <c r="P72" s="20" t="n">
        <v>0</v>
      </c>
      <c r="Q72" s="18" t="n">
        <v>0</v>
      </c>
      <c r="R72" s="20" t="n">
        <v>0</v>
      </c>
      <c r="S72" s="18" t="n">
        <v>2.78365312</v>
      </c>
      <c r="T72" s="20" t="n">
        <v>0.8845222700000001</v>
      </c>
    </row>
    <row r="73" spans="1:20">
      <c r="A73" s="15" t="s">
        <v>497</v>
      </c>
      <c r="B73" s="17" t="n">
        <v>3597</v>
      </c>
      <c r="C73" s="18">
        <f>(3153.0/B73*100)</f>
        <v/>
      </c>
      <c r="D73" s="19" t="n">
        <v>444</v>
      </c>
      <c r="E73" s="18" t="n">
        <v>35.58130791</v>
      </c>
      <c r="F73" s="20" t="n">
        <v>3.03668407</v>
      </c>
      <c r="G73" s="18" t="n">
        <v>53.29788738</v>
      </c>
      <c r="H73" s="20" t="n">
        <v>2.99011248</v>
      </c>
      <c r="I73" s="18" t="n">
        <v>10.35944831</v>
      </c>
      <c r="J73" s="20" t="n">
        <v>1.78983985</v>
      </c>
      <c r="K73" s="18" t="s">
        <v>431</v>
      </c>
      <c r="L73" s="20" t="s">
        <v>431</v>
      </c>
      <c r="M73" s="18" t="n">
        <v>0</v>
      </c>
      <c r="N73" s="20" t="n">
        <v>0</v>
      </c>
      <c r="O73" s="18" t="n">
        <v>0</v>
      </c>
      <c r="P73" s="20" t="n">
        <v>0</v>
      </c>
      <c r="Q73" s="18" t="n">
        <v>0</v>
      </c>
      <c r="R73" s="20" t="n">
        <v>0</v>
      </c>
      <c r="S73" s="18" t="n">
        <v>0.76135639</v>
      </c>
      <c r="T73" s="20" t="n">
        <v>0.5394611499999999</v>
      </c>
    </row>
    <row r="74" spans="1:20">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2406</v>
      </c>
      <c r="C75" s="18">
        <f>(2141.0/B75*100)</f>
        <v/>
      </c>
      <c r="D75" s="19" t="n">
        <v>265</v>
      </c>
      <c r="E75" s="18" t="n">
        <v>41.79408662</v>
      </c>
      <c r="F75" s="20" t="n">
        <v>3.22173386</v>
      </c>
      <c r="G75" s="18" t="n">
        <v>46.44288353</v>
      </c>
      <c r="H75" s="20" t="n">
        <v>2.94303849</v>
      </c>
      <c r="I75" s="18" t="n">
        <v>9.807157180000001</v>
      </c>
      <c r="J75" s="20" t="n">
        <v>1.87146508</v>
      </c>
      <c r="K75" s="18" t="s">
        <v>431</v>
      </c>
      <c r="L75" s="20" t="s">
        <v>431</v>
      </c>
      <c r="M75" s="18" t="n">
        <v>0</v>
      </c>
      <c r="N75" s="20" t="n">
        <v>0</v>
      </c>
      <c r="O75" s="18" t="n">
        <v>0</v>
      </c>
      <c r="P75" s="20" t="n">
        <v>0</v>
      </c>
      <c r="Q75" s="18" t="n">
        <v>0</v>
      </c>
      <c r="R75" s="20" t="n">
        <v>0</v>
      </c>
      <c r="S75" s="18" t="n">
        <v>1.95587266</v>
      </c>
      <c r="T75" s="20" t="n">
        <v>0.75778354</v>
      </c>
    </row>
    <row r="76" spans="1:20">
      <c r="A76" s="15" t="s">
        <v>500</v>
      </c>
      <c r="B76" s="17" t="n">
        <v>7052</v>
      </c>
      <c r="C76" s="18">
        <f>(6218.0/B76*100)</f>
        <v/>
      </c>
      <c r="D76" s="19" t="n">
        <v>834</v>
      </c>
      <c r="E76" s="18" t="n">
        <v>43.55732872</v>
      </c>
      <c r="F76" s="20" t="n">
        <v>2.47682465</v>
      </c>
      <c r="G76" s="18" t="n">
        <v>37.31203394</v>
      </c>
      <c r="H76" s="20" t="n">
        <v>2.46519548</v>
      </c>
      <c r="I76" s="18" t="n">
        <v>10.46092008</v>
      </c>
      <c r="J76" s="20" t="n">
        <v>1.56953195</v>
      </c>
      <c r="K76" s="18" t="s">
        <v>431</v>
      </c>
      <c r="L76" s="20" t="s">
        <v>431</v>
      </c>
      <c r="M76" s="18" t="n">
        <v>0.8206995</v>
      </c>
      <c r="N76" s="20" t="n">
        <v>0.35700089</v>
      </c>
      <c r="O76" s="18" t="n">
        <v>0</v>
      </c>
      <c r="P76" s="20" t="n">
        <v>0</v>
      </c>
      <c r="Q76" s="18" t="n">
        <v>0</v>
      </c>
      <c r="R76" s="20" t="n">
        <v>0</v>
      </c>
      <c r="S76" s="18" t="n">
        <v>7.84901775</v>
      </c>
      <c r="T76" s="20" t="n">
        <v>1.65600829</v>
      </c>
    </row>
    <row r="77" spans="1:20">
      <c r="A77" s="15" t="s">
        <v>501</v>
      </c>
      <c r="B77" s="17" t="n">
        <v>2908</v>
      </c>
      <c r="C77" s="18">
        <f>(2542.0/B77*100)</f>
        <v/>
      </c>
      <c r="D77" s="19" t="n">
        <v>366</v>
      </c>
      <c r="E77" s="18" t="n">
        <v>45.94981373</v>
      </c>
      <c r="F77" s="20" t="n">
        <v>2.49155926</v>
      </c>
      <c r="G77" s="18" t="n">
        <v>38.58020562</v>
      </c>
      <c r="H77" s="20" t="n">
        <v>2.77240249</v>
      </c>
      <c r="I77" s="18" t="n">
        <v>12.76348033</v>
      </c>
      <c r="J77" s="20" t="n">
        <v>1.54713789</v>
      </c>
      <c r="K77" s="18" t="s">
        <v>431</v>
      </c>
      <c r="L77" s="20" t="s">
        <v>431</v>
      </c>
      <c r="M77" s="18" t="n">
        <v>0.30215102</v>
      </c>
      <c r="N77" s="20" t="n">
        <v>0.30384321</v>
      </c>
      <c r="O77" s="18" t="n">
        <v>0</v>
      </c>
      <c r="P77" s="20" t="n">
        <v>0</v>
      </c>
      <c r="Q77" s="18" t="n">
        <v>0</v>
      </c>
      <c r="R77" s="20" t="n">
        <v>0</v>
      </c>
      <c r="S77" s="18" t="n">
        <v>2.4043493</v>
      </c>
      <c r="T77" s="20" t="n">
        <v>0.92684333</v>
      </c>
    </row>
    <row r="78" spans="1:20">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(3661.0/B81*100)</f>
        <v/>
      </c>
      <c r="D81" s="19" t="n">
        <v>502</v>
      </c>
      <c r="E81" s="18" t="n">
        <v>60.82484069</v>
      </c>
      <c r="F81" s="20" t="n">
        <v>2.64081418</v>
      </c>
      <c r="G81" s="18" t="n">
        <v>26.43267599</v>
      </c>
      <c r="H81" s="20" t="n">
        <v>2.29724225</v>
      </c>
      <c r="I81" s="18" t="n">
        <v>5.55356126</v>
      </c>
      <c r="J81" s="20" t="n">
        <v>1.4393557</v>
      </c>
      <c r="K81" s="18" t="s">
        <v>431</v>
      </c>
      <c r="L81" s="20" t="s">
        <v>431</v>
      </c>
      <c r="M81" s="18" t="n">
        <v>0.4438975</v>
      </c>
      <c r="N81" s="20" t="n">
        <v>0.43783924</v>
      </c>
      <c r="O81" s="18" t="n">
        <v>0</v>
      </c>
      <c r="P81" s="20" t="n">
        <v>0</v>
      </c>
      <c r="Q81" s="18" t="n">
        <v>0</v>
      </c>
      <c r="R81" s="20" t="n">
        <v>0</v>
      </c>
      <c r="S81" s="18" t="n">
        <v>6.74502455</v>
      </c>
      <c r="T81" s="20" t="n">
        <v>1.5167003</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(6494.0/B7*100)</f>
        <v/>
      </c>
      <c r="D7" s="19" t="n">
        <v>873</v>
      </c>
      <c r="E7" s="18" t="n">
        <v>39.273576</v>
      </c>
      <c r="F7" s="20" t="n">
        <v>1.92327349</v>
      </c>
      <c r="G7" s="18" t="n">
        <v>43.6094781</v>
      </c>
      <c r="H7" s="20" t="n">
        <v>1.83259054</v>
      </c>
      <c r="I7" s="18" t="s">
        <v>431</v>
      </c>
      <c r="J7" s="20" t="s">
        <v>431</v>
      </c>
      <c r="K7" s="18" t="n">
        <v>0.17758056</v>
      </c>
      <c r="L7" s="20" t="n">
        <v>0.09557547</v>
      </c>
      <c r="M7" s="18" t="n">
        <v>0.05237313</v>
      </c>
      <c r="N7" s="20" t="n">
        <v>0.040178</v>
      </c>
      <c r="O7" s="18" t="n">
        <v>0</v>
      </c>
      <c r="P7" s="20" t="n">
        <v>0</v>
      </c>
      <c r="Q7" s="18" t="n">
        <v>16.88699221</v>
      </c>
      <c r="R7" s="20" t="n">
        <v>1.5919851</v>
      </c>
    </row>
    <row r="8" spans="1:18">
      <c r="A8" s="15" t="s">
        <v>432</v>
      </c>
      <c r="B8" s="17" t="n">
        <v>3564</v>
      </c>
      <c r="C8" s="18">
        <f>(3151.0/B8*100)</f>
        <v/>
      </c>
      <c r="D8" s="19" t="n">
        <v>413</v>
      </c>
      <c r="E8" s="18" t="n">
        <v>31.45362906</v>
      </c>
      <c r="F8" s="20" t="n">
        <v>2.33836579</v>
      </c>
      <c r="G8" s="18" t="n">
        <v>49.52211617</v>
      </c>
      <c r="H8" s="20" t="n">
        <v>2.44258453</v>
      </c>
      <c r="I8" s="18" t="s">
        <v>431</v>
      </c>
      <c r="J8" s="20" t="s">
        <v>431</v>
      </c>
      <c r="K8" s="18" t="n">
        <v>0.16643221</v>
      </c>
      <c r="L8" s="20" t="n">
        <v>0.17475891</v>
      </c>
      <c r="M8" s="18" t="n">
        <v>0</v>
      </c>
      <c r="N8" s="20" t="n">
        <v>0</v>
      </c>
      <c r="O8" s="18" t="n">
        <v>0</v>
      </c>
      <c r="P8" s="20" t="n">
        <v>0</v>
      </c>
      <c r="Q8" s="18" t="n">
        <v>18.85782256</v>
      </c>
      <c r="R8" s="20" t="n">
        <v>1.82250091</v>
      </c>
    </row>
    <row r="9" spans="1:18">
      <c r="A9" s="15" t="s">
        <v>433</v>
      </c>
      <c r="B9" s="17" t="n">
        <v>4899</v>
      </c>
      <c r="C9" s="18">
        <f>(4313.0/B9*100)</f>
        <v/>
      </c>
      <c r="D9" s="19" t="n">
        <v>586</v>
      </c>
      <c r="E9" s="18" t="n">
        <v>24.91009349</v>
      </c>
      <c r="F9" s="20" t="n">
        <v>1.82816242</v>
      </c>
      <c r="G9" s="18" t="n">
        <v>61.74074283</v>
      </c>
      <c r="H9" s="20" t="n">
        <v>2.38933358</v>
      </c>
      <c r="I9" s="18" t="s">
        <v>431</v>
      </c>
      <c r="J9" s="20" t="s">
        <v>431</v>
      </c>
      <c r="K9" s="18" t="n">
        <v>0.15203977</v>
      </c>
      <c r="L9" s="20" t="n">
        <v>0.14797007</v>
      </c>
      <c r="M9" s="18" t="n">
        <v>0.42814525</v>
      </c>
      <c r="N9" s="20" t="n">
        <v>0.24193107</v>
      </c>
      <c r="O9" s="18" t="n">
        <v>0</v>
      </c>
      <c r="P9" s="20" t="n">
        <v>0</v>
      </c>
      <c r="Q9" s="18" t="n">
        <v>12.76897865</v>
      </c>
      <c r="R9" s="20" t="n">
        <v>1.69160321</v>
      </c>
    </row>
    <row r="10" spans="1:18">
      <c r="A10" s="15" t="s">
        <v>434</v>
      </c>
      <c r="B10" s="17" t="n">
        <v>10036</v>
      </c>
      <c r="C10" s="18">
        <f>(8809.0/B10*100)</f>
        <v/>
      </c>
      <c r="D10" s="19" t="n">
        <v>1227</v>
      </c>
      <c r="E10" s="18" t="n">
        <v>28.86306391</v>
      </c>
      <c r="F10" s="20" t="n">
        <v>1.71126728</v>
      </c>
      <c r="G10" s="18" t="n">
        <v>60.83448411</v>
      </c>
      <c r="H10" s="20" t="n">
        <v>2.10376816</v>
      </c>
      <c r="I10" s="18" t="s">
        <v>431</v>
      </c>
      <c r="J10" s="20" t="s">
        <v>431</v>
      </c>
      <c r="K10" s="18" t="n">
        <v>0.69905726</v>
      </c>
      <c r="L10" s="20" t="n">
        <v>0.34345246</v>
      </c>
      <c r="M10" s="18" t="n">
        <v>0</v>
      </c>
      <c r="N10" s="20" t="n">
        <v>0</v>
      </c>
      <c r="O10" s="18" t="n">
        <v>0</v>
      </c>
      <c r="P10" s="20" t="n">
        <v>0</v>
      </c>
      <c r="Q10" s="18" t="n">
        <v>9.603394720000001</v>
      </c>
      <c r="R10" s="20" t="n">
        <v>1.2250661</v>
      </c>
    </row>
    <row r="11" spans="1:18">
      <c r="A11" s="15" t="s">
        <v>435</v>
      </c>
      <c r="B11" s="17" t="n">
        <v>3553</v>
      </c>
      <c r="C11" s="18">
        <f>(3103.0/B11*100)</f>
        <v/>
      </c>
      <c r="D11" s="19" t="n">
        <v>450</v>
      </c>
      <c r="E11" s="18" t="n">
        <v>22.83461341</v>
      </c>
      <c r="F11" s="20" t="n">
        <v>2.65408724</v>
      </c>
      <c r="G11" s="18" t="n">
        <v>52.6609844</v>
      </c>
      <c r="H11" s="20" t="n">
        <v>2.96015838</v>
      </c>
      <c r="I11" s="18" t="s">
        <v>431</v>
      </c>
      <c r="J11" s="20" t="s">
        <v>431</v>
      </c>
      <c r="K11" s="18" t="n">
        <v>0.67444537</v>
      </c>
      <c r="L11" s="20" t="n">
        <v>0.67478978</v>
      </c>
      <c r="M11" s="18" t="n">
        <v>0</v>
      </c>
      <c r="N11" s="20" t="n">
        <v>0</v>
      </c>
      <c r="O11" s="18" t="n">
        <v>0</v>
      </c>
      <c r="P11" s="20" t="n">
        <v>0</v>
      </c>
      <c r="Q11" s="18" t="n">
        <v>23.82995682</v>
      </c>
      <c r="R11" s="20" t="n">
        <v>2.40314285</v>
      </c>
    </row>
    <row r="12" spans="1:18">
      <c r="A12" s="15" t="s">
        <v>436</v>
      </c>
      <c r="B12" s="17" t="n">
        <v>3472</v>
      </c>
      <c r="C12" s="18">
        <f>(3043.0/B12*100)</f>
        <v/>
      </c>
      <c r="D12" s="19" t="n">
        <v>429</v>
      </c>
      <c r="E12" s="18" t="n">
        <v>23.42652825</v>
      </c>
      <c r="F12" s="20" t="n">
        <v>2.44502611</v>
      </c>
      <c r="G12" s="18" t="n">
        <v>45.81075594</v>
      </c>
      <c r="H12" s="20" t="n">
        <v>2.53836447</v>
      </c>
      <c r="I12" s="18" t="s">
        <v>431</v>
      </c>
      <c r="J12" s="20" t="s">
        <v>431</v>
      </c>
      <c r="K12" s="18" t="n">
        <v>0</v>
      </c>
      <c r="L12" s="20" t="n">
        <v>0</v>
      </c>
      <c r="M12" s="18" t="n">
        <v>0.13928963</v>
      </c>
      <c r="N12" s="20" t="n">
        <v>0.18455737</v>
      </c>
      <c r="O12" s="18" t="n">
        <v>0</v>
      </c>
      <c r="P12" s="20" t="n">
        <v>0</v>
      </c>
      <c r="Q12" s="18" t="n">
        <v>30.62342618</v>
      </c>
      <c r="R12" s="20" t="n">
        <v>2.54609672</v>
      </c>
    </row>
    <row r="13" spans="1:18">
      <c r="A13" s="15" t="s">
        <v>437</v>
      </c>
      <c r="B13" s="17" t="n">
        <v>3559</v>
      </c>
      <c r="C13" s="18">
        <f>(3145.0/B13*100)</f>
        <v/>
      </c>
      <c r="D13" s="19" t="n">
        <v>414</v>
      </c>
      <c r="E13" s="18" t="n">
        <v>34.08419812</v>
      </c>
      <c r="F13" s="20" t="n">
        <v>3.05727219</v>
      </c>
      <c r="G13" s="18" t="n">
        <v>40.16374507</v>
      </c>
      <c r="H13" s="20" t="n">
        <v>3.19203109</v>
      </c>
      <c r="I13" s="18" t="s">
        <v>431</v>
      </c>
      <c r="J13" s="20" t="s">
        <v>431</v>
      </c>
      <c r="K13" s="18" t="n">
        <v>1.23863769</v>
      </c>
      <c r="L13" s="20" t="n">
        <v>0.66751483</v>
      </c>
      <c r="M13" s="18" t="n">
        <v>1.77226538</v>
      </c>
      <c r="N13" s="20" t="n">
        <v>0.9450950299999999</v>
      </c>
      <c r="O13" s="18" t="n">
        <v>0</v>
      </c>
      <c r="P13" s="20" t="n">
        <v>0</v>
      </c>
      <c r="Q13" s="18" t="n">
        <v>22.74115374</v>
      </c>
      <c r="R13" s="20" t="n">
        <v>2.85399171</v>
      </c>
    </row>
    <row r="14" spans="1:18">
      <c r="A14" s="15" t="s">
        <v>438</v>
      </c>
      <c r="B14" s="17" t="n">
        <v>2799</v>
      </c>
      <c r="C14" s="18">
        <f>(2462.0/B14*100)</f>
        <v/>
      </c>
      <c r="D14" s="19" t="n">
        <v>337</v>
      </c>
      <c r="E14" s="18" t="n">
        <v>28.04830334</v>
      </c>
      <c r="F14" s="20" t="n">
        <v>2.66504373</v>
      </c>
      <c r="G14" s="18" t="n">
        <v>57.62527629</v>
      </c>
      <c r="H14" s="20" t="n">
        <v>2.63652089</v>
      </c>
      <c r="I14" s="18" t="s">
        <v>431</v>
      </c>
      <c r="J14" s="20" t="s">
        <v>431</v>
      </c>
      <c r="K14" s="18" t="n">
        <v>0.23331538</v>
      </c>
      <c r="L14" s="20" t="n">
        <v>0.24475123</v>
      </c>
      <c r="M14" s="18" t="n">
        <v>0</v>
      </c>
      <c r="N14" s="20" t="n">
        <v>0</v>
      </c>
      <c r="O14" s="18" t="n">
        <v>0</v>
      </c>
      <c r="P14" s="20" t="n">
        <v>0</v>
      </c>
      <c r="Q14" s="18" t="n">
        <v>14.093105</v>
      </c>
      <c r="R14" s="20" t="n">
        <v>2.35752473</v>
      </c>
    </row>
    <row r="15" spans="1:18">
      <c r="A15" s="15" t="s">
        <v>439</v>
      </c>
      <c r="B15" s="17" t="n">
        <v>3019</v>
      </c>
      <c r="C15" s="18">
        <f>(2644.0/B15*100)</f>
        <v/>
      </c>
      <c r="D15" s="19" t="n">
        <v>375</v>
      </c>
      <c r="E15" s="18" t="n">
        <v>26.1254505</v>
      </c>
      <c r="F15" s="20" t="n">
        <v>2.22086836</v>
      </c>
      <c r="G15" s="18" t="n">
        <v>58.52557119</v>
      </c>
      <c r="H15" s="20" t="n">
        <v>2.93588364</v>
      </c>
      <c r="I15" s="18" t="s">
        <v>431</v>
      </c>
      <c r="J15" s="20" t="s">
        <v>431</v>
      </c>
      <c r="K15" s="18" t="n">
        <v>0.52622968</v>
      </c>
      <c r="L15" s="20" t="n">
        <v>0.367653</v>
      </c>
      <c r="M15" s="18" t="n">
        <v>0</v>
      </c>
      <c r="N15" s="20" t="n">
        <v>0</v>
      </c>
      <c r="O15" s="18" t="n">
        <v>0</v>
      </c>
      <c r="P15" s="20" t="n">
        <v>0</v>
      </c>
      <c r="Q15" s="18" t="n">
        <v>14.82274863</v>
      </c>
      <c r="R15" s="20" t="n">
        <v>1.75511368</v>
      </c>
    </row>
    <row r="16" spans="1:18">
      <c r="A16" s="15" t="s">
        <v>440</v>
      </c>
      <c r="B16" s="17" t="n">
        <v>2997</v>
      </c>
      <c r="C16" s="18">
        <f>(2614.0/B16*100)</f>
        <v/>
      </c>
      <c r="D16" s="19" t="n">
        <v>383</v>
      </c>
      <c r="E16" s="18" t="n">
        <v>25.09077349</v>
      </c>
      <c r="F16" s="20" t="n">
        <v>1.88772271</v>
      </c>
      <c r="G16" s="18" t="n">
        <v>57.73563539</v>
      </c>
      <c r="H16" s="20" t="n">
        <v>3.16308302</v>
      </c>
      <c r="I16" s="18" t="s">
        <v>431</v>
      </c>
      <c r="J16" s="20" t="s">
        <v>431</v>
      </c>
      <c r="K16" s="18" t="n">
        <v>1.31156532</v>
      </c>
      <c r="L16" s="20" t="n">
        <v>0.658097</v>
      </c>
      <c r="M16" s="18" t="n">
        <v>0.29079799</v>
      </c>
      <c r="N16" s="20" t="n">
        <v>0.29262984</v>
      </c>
      <c r="O16" s="18" t="n">
        <v>0</v>
      </c>
      <c r="P16" s="20" t="n">
        <v>0</v>
      </c>
      <c r="Q16" s="18" t="n">
        <v>15.57122781</v>
      </c>
      <c r="R16" s="20" t="n">
        <v>2.11583694</v>
      </c>
    </row>
    <row r="17" spans="1:18">
      <c r="A17" s="15" t="s">
        <v>441</v>
      </c>
      <c r="B17" s="17" t="n">
        <v>3307</v>
      </c>
      <c r="C17" s="18">
        <f>(2904.0/B17*100)</f>
        <v/>
      </c>
      <c r="D17" s="19" t="n">
        <v>403</v>
      </c>
      <c r="E17" s="18" t="n">
        <v>25.32232867</v>
      </c>
      <c r="F17" s="20" t="n">
        <v>2.30823854</v>
      </c>
      <c r="G17" s="18" t="n">
        <v>57.70281314</v>
      </c>
      <c r="H17" s="20" t="n">
        <v>3.38096364</v>
      </c>
      <c r="I17" s="18" t="s">
        <v>431</v>
      </c>
      <c r="J17" s="20" t="s">
        <v>431</v>
      </c>
      <c r="K17" s="18" t="n">
        <v>0.24976989</v>
      </c>
      <c r="L17" s="20" t="n">
        <v>0.25131579</v>
      </c>
      <c r="M17" s="18" t="n">
        <v>0</v>
      </c>
      <c r="N17" s="20" t="n">
        <v>0</v>
      </c>
      <c r="O17" s="18" t="n">
        <v>0</v>
      </c>
      <c r="P17" s="20" t="n">
        <v>0</v>
      </c>
      <c r="Q17" s="18" t="n">
        <v>16.72508831</v>
      </c>
      <c r="R17" s="20" t="n">
        <v>2.43274153</v>
      </c>
    </row>
    <row r="18" spans="1:18">
      <c r="A18" s="15" t="s">
        <v>442</v>
      </c>
      <c r="B18" s="17" t="n">
        <v>2826</v>
      </c>
      <c r="C18" s="18">
        <f>(2500.0/B18*100)</f>
        <v/>
      </c>
      <c r="D18" s="19" t="n">
        <v>326</v>
      </c>
      <c r="E18" s="18" t="n">
        <v>45.97470331</v>
      </c>
      <c r="F18" s="20" t="n">
        <v>2.99701229</v>
      </c>
      <c r="G18" s="18" t="n">
        <v>26.54116018</v>
      </c>
      <c r="H18" s="20" t="n">
        <v>2.68238179</v>
      </c>
      <c r="I18" s="18" t="s">
        <v>431</v>
      </c>
      <c r="J18" s="20" t="s">
        <v>431</v>
      </c>
      <c r="K18" s="18" t="n">
        <v>0</v>
      </c>
      <c r="L18" s="20" t="n">
        <v>0</v>
      </c>
      <c r="M18" s="18" t="n">
        <v>0</v>
      </c>
      <c r="N18" s="20" t="n">
        <v>0</v>
      </c>
      <c r="O18" s="18" t="n">
        <v>0</v>
      </c>
      <c r="P18" s="20" t="n">
        <v>0</v>
      </c>
      <c r="Q18" s="18" t="n">
        <v>27.4841365</v>
      </c>
      <c r="R18" s="20" t="n">
        <v>2.56431366</v>
      </c>
    </row>
    <row r="19" spans="1:18">
      <c r="A19" s="15" t="s">
        <v>443</v>
      </c>
      <c r="B19" s="17" t="n">
        <v>2808</v>
      </c>
      <c r="C19" s="18">
        <f>(2465.0/B19*100)</f>
        <v/>
      </c>
      <c r="D19" s="19" t="n">
        <v>343</v>
      </c>
      <c r="E19" s="18" t="n">
        <v>35.2486917</v>
      </c>
      <c r="F19" s="20" t="n">
        <v>3.16439152</v>
      </c>
      <c r="G19" s="18" t="n">
        <v>31.47609104</v>
      </c>
      <c r="H19" s="20" t="n">
        <v>2.84859944</v>
      </c>
      <c r="I19" s="18" t="s">
        <v>431</v>
      </c>
      <c r="J19" s="20" t="s">
        <v>431</v>
      </c>
      <c r="K19" s="18" t="n">
        <v>0.67423694</v>
      </c>
      <c r="L19" s="20" t="n">
        <v>0.63697525</v>
      </c>
      <c r="M19" s="18" t="n">
        <v>0</v>
      </c>
      <c r="N19" s="20" t="n">
        <v>0</v>
      </c>
      <c r="O19" s="18" t="n">
        <v>0</v>
      </c>
      <c r="P19" s="20" t="n">
        <v>0</v>
      </c>
      <c r="Q19" s="18" t="n">
        <v>32.60098031</v>
      </c>
      <c r="R19" s="20" t="n">
        <v>2.83381305</v>
      </c>
    </row>
    <row r="20" spans="1:18">
      <c r="A20" s="15" t="s">
        <v>444</v>
      </c>
      <c r="B20" s="17" t="n">
        <v>1630</v>
      </c>
      <c r="C20" s="18">
        <f>(1422.0/B20*100)</f>
        <v/>
      </c>
      <c r="D20" s="19" t="n">
        <v>208</v>
      </c>
      <c r="E20" s="18" t="n">
        <v>25.96680461</v>
      </c>
      <c r="F20" s="20" t="n">
        <v>3.21674785</v>
      </c>
      <c r="G20" s="18" t="n">
        <v>39.56681535</v>
      </c>
      <c r="H20" s="20" t="n">
        <v>3.40553502</v>
      </c>
      <c r="I20" s="18" t="s">
        <v>431</v>
      </c>
      <c r="J20" s="20" t="s">
        <v>431</v>
      </c>
      <c r="K20" s="18" t="n">
        <v>1.04801097</v>
      </c>
      <c r="L20" s="20" t="n">
        <v>0.70977011</v>
      </c>
      <c r="M20" s="18" t="n">
        <v>1.56818978</v>
      </c>
      <c r="N20" s="20" t="n">
        <v>0.7837010599999999</v>
      </c>
      <c r="O20" s="18" t="n">
        <v>0</v>
      </c>
      <c r="P20" s="20" t="n">
        <v>0</v>
      </c>
      <c r="Q20" s="18" t="n">
        <v>31.85017929</v>
      </c>
      <c r="R20" s="20" t="n">
        <v>2.82497623</v>
      </c>
    </row>
    <row r="21" spans="1:18">
      <c r="A21" s="15" t="s">
        <v>445</v>
      </c>
      <c r="B21" s="17" t="n">
        <v>2908</v>
      </c>
      <c r="C21" s="18">
        <f>(2433.0/B21*100)</f>
        <v/>
      </c>
      <c r="D21" s="19" t="n">
        <v>475</v>
      </c>
      <c r="E21" s="18" t="n">
        <v>32.38405778</v>
      </c>
      <c r="F21" s="20" t="n">
        <v>2.26218733</v>
      </c>
      <c r="G21" s="18" t="n">
        <v>53.38669971</v>
      </c>
      <c r="H21" s="20" t="n">
        <v>2.26407409</v>
      </c>
      <c r="I21" s="18" t="s">
        <v>431</v>
      </c>
      <c r="J21" s="20" t="s">
        <v>431</v>
      </c>
      <c r="K21" s="18" t="n">
        <v>0</v>
      </c>
      <c r="L21" s="20" t="n">
        <v>0</v>
      </c>
      <c r="M21" s="18" t="n">
        <v>0</v>
      </c>
      <c r="N21" s="20" t="n">
        <v>0</v>
      </c>
      <c r="O21" s="18" t="n">
        <v>0</v>
      </c>
      <c r="P21" s="20" t="n">
        <v>0</v>
      </c>
      <c r="Q21" s="18" t="n">
        <v>14.22924251</v>
      </c>
      <c r="R21" s="20" t="n">
        <v>1.85050679</v>
      </c>
    </row>
    <row r="22" spans="1:18">
      <c r="A22" s="15" t="s">
        <v>446</v>
      </c>
      <c r="B22" s="17" t="n">
        <v>2931</v>
      </c>
      <c r="C22" s="18">
        <f>(2559.0/B22*100)</f>
        <v/>
      </c>
      <c r="D22" s="19" t="n">
        <v>372</v>
      </c>
      <c r="E22" s="18" t="n">
        <v>29.84655958</v>
      </c>
      <c r="F22" s="20" t="n">
        <v>2.46792888</v>
      </c>
      <c r="G22" s="18" t="n">
        <v>53.3816658</v>
      </c>
      <c r="H22" s="20" t="n">
        <v>2.91577794</v>
      </c>
      <c r="I22" s="18" t="s">
        <v>431</v>
      </c>
      <c r="J22" s="20" t="s">
        <v>431</v>
      </c>
      <c r="K22" s="18" t="n">
        <v>0</v>
      </c>
      <c r="L22" s="20" t="n">
        <v>0</v>
      </c>
      <c r="M22" s="18" t="n">
        <v>0.26000909</v>
      </c>
      <c r="N22" s="20" t="n">
        <v>0.26822544</v>
      </c>
      <c r="O22" s="18" t="n">
        <v>0</v>
      </c>
      <c r="P22" s="20" t="n">
        <v>0</v>
      </c>
      <c r="Q22" s="18" t="n">
        <v>16.51176553</v>
      </c>
      <c r="R22" s="20" t="n">
        <v>2.1483244</v>
      </c>
    </row>
    <row r="23" spans="1:18">
      <c r="A23" s="15" t="s">
        <v>447</v>
      </c>
      <c r="B23" s="17" t="n">
        <v>5791</v>
      </c>
      <c r="C23" s="18">
        <f>(5058.0/B23*100)</f>
        <v/>
      </c>
      <c r="D23" s="19" t="n">
        <v>733</v>
      </c>
      <c r="E23" s="18" t="n">
        <v>28.48056596</v>
      </c>
      <c r="F23" s="20" t="n">
        <v>2.40357524</v>
      </c>
      <c r="G23" s="18" t="n">
        <v>51.05763644</v>
      </c>
      <c r="H23" s="20" t="n">
        <v>2.65913627</v>
      </c>
      <c r="I23" s="18" t="s">
        <v>431</v>
      </c>
      <c r="J23" s="20" t="s">
        <v>431</v>
      </c>
      <c r="K23" s="18" t="n">
        <v>0.00716088</v>
      </c>
      <c r="L23" s="20" t="n">
        <v>0.00714884</v>
      </c>
      <c r="M23" s="18" t="n">
        <v>0.82472215</v>
      </c>
      <c r="N23" s="20" t="n">
        <v>0.52134045</v>
      </c>
      <c r="O23" s="18" t="n">
        <v>0</v>
      </c>
      <c r="P23" s="20" t="n">
        <v>0</v>
      </c>
      <c r="Q23" s="18" t="n">
        <v>19.62991457</v>
      </c>
      <c r="R23" s="20" t="n">
        <v>2.42977808</v>
      </c>
    </row>
    <row r="24" spans="1:18">
      <c r="A24" s="15" t="s">
        <v>448</v>
      </c>
      <c r="B24" s="17" t="n">
        <v>3338</v>
      </c>
      <c r="C24" s="18">
        <f>(2921.0/B24*100)</f>
        <v/>
      </c>
      <c r="D24" s="19" t="n">
        <v>417</v>
      </c>
      <c r="E24" s="18" t="n">
        <v>16.58513965</v>
      </c>
      <c r="F24" s="20" t="n">
        <v>1.81962494</v>
      </c>
      <c r="G24" s="18" t="n">
        <v>57.48090417</v>
      </c>
      <c r="H24" s="20" t="n">
        <v>2.43967829</v>
      </c>
      <c r="I24" s="18" t="s">
        <v>431</v>
      </c>
      <c r="J24" s="20" t="s">
        <v>431</v>
      </c>
      <c r="K24" s="18" t="n">
        <v>0</v>
      </c>
      <c r="L24" s="20" t="n">
        <v>0</v>
      </c>
      <c r="M24" s="18" t="n">
        <v>0</v>
      </c>
      <c r="N24" s="20" t="n">
        <v>0</v>
      </c>
      <c r="O24" s="18" t="n">
        <v>0</v>
      </c>
      <c r="P24" s="20" t="n">
        <v>0</v>
      </c>
      <c r="Q24" s="18" t="n">
        <v>25.93395618</v>
      </c>
      <c r="R24" s="20" t="n">
        <v>2.27192179</v>
      </c>
    </row>
    <row r="25" spans="1:18">
      <c r="A25" s="15" t="s">
        <v>449</v>
      </c>
      <c r="B25" s="17" t="n">
        <v>2912</v>
      </c>
      <c r="C25" s="18">
        <f>(2567.0/B25*100)</f>
        <v/>
      </c>
      <c r="D25" s="19" t="n">
        <v>345</v>
      </c>
      <c r="E25" s="18" t="n">
        <v>25.44547714</v>
      </c>
      <c r="F25" s="20" t="n">
        <v>2.46449404</v>
      </c>
      <c r="G25" s="18" t="n">
        <v>67.08430996</v>
      </c>
      <c r="H25" s="20" t="n">
        <v>2.7184451</v>
      </c>
      <c r="I25" s="18" t="s">
        <v>431</v>
      </c>
      <c r="J25" s="20" t="s">
        <v>431</v>
      </c>
      <c r="K25" s="18" t="n">
        <v>0.27989506</v>
      </c>
      <c r="L25" s="20" t="n">
        <v>0.27644211</v>
      </c>
      <c r="M25" s="18" t="n">
        <v>0</v>
      </c>
      <c r="N25" s="20" t="n">
        <v>0</v>
      </c>
      <c r="O25" s="18" t="n">
        <v>0</v>
      </c>
      <c r="P25" s="20" t="n">
        <v>0</v>
      </c>
      <c r="Q25" s="18" t="n">
        <v>7.19031784</v>
      </c>
      <c r="R25" s="20" t="n">
        <v>1.7695255</v>
      </c>
    </row>
    <row r="26" spans="1:18">
      <c r="A26" s="15" t="s">
        <v>450</v>
      </c>
      <c r="B26" s="17" t="n">
        <v>2450</v>
      </c>
      <c r="C26" s="18">
        <f>(2156.0/B26*100)</f>
        <v/>
      </c>
      <c r="D26" s="19" t="n">
        <v>294</v>
      </c>
      <c r="E26" s="18" t="n">
        <v>32.33913788</v>
      </c>
      <c r="F26" s="20" t="n">
        <v>3.02689563</v>
      </c>
      <c r="G26" s="18" t="n">
        <v>51.02369287</v>
      </c>
      <c r="H26" s="20" t="n">
        <v>3.40685567</v>
      </c>
      <c r="I26" s="18" t="s">
        <v>431</v>
      </c>
      <c r="J26" s="20" t="s">
        <v>431</v>
      </c>
      <c r="K26" s="18" t="n">
        <v>0</v>
      </c>
      <c r="L26" s="20" t="n">
        <v>0</v>
      </c>
      <c r="M26" s="18" t="n">
        <v>0.93933979</v>
      </c>
      <c r="N26" s="20" t="n">
        <v>0.73151219</v>
      </c>
      <c r="O26" s="18" t="n">
        <v>0</v>
      </c>
      <c r="P26" s="20" t="n">
        <v>0</v>
      </c>
      <c r="Q26" s="18" t="n">
        <v>15.69782946</v>
      </c>
      <c r="R26" s="20" t="n">
        <v>2.37172743</v>
      </c>
    </row>
    <row r="27" spans="1:18">
      <c r="A27" s="15" t="s">
        <v>451</v>
      </c>
      <c r="B27" s="17" t="n">
        <v>2616</v>
      </c>
      <c r="C27" s="18">
        <f>(2283.0/B27*100)</f>
        <v/>
      </c>
      <c r="D27" s="19" t="n">
        <v>333</v>
      </c>
      <c r="E27" s="18" t="n">
        <v>27.64201619</v>
      </c>
      <c r="F27" s="20" t="n">
        <v>2.47753629</v>
      </c>
      <c r="G27" s="18" t="n">
        <v>50.02840918</v>
      </c>
      <c r="H27" s="20" t="n">
        <v>2.78680209</v>
      </c>
      <c r="I27" s="18" t="s">
        <v>431</v>
      </c>
      <c r="J27" s="20" t="s">
        <v>431</v>
      </c>
      <c r="K27" s="18" t="n">
        <v>0.29826066</v>
      </c>
      <c r="L27" s="20" t="n">
        <v>0.29680748</v>
      </c>
      <c r="M27" s="18" t="n">
        <v>0</v>
      </c>
      <c r="N27" s="20" t="n">
        <v>0</v>
      </c>
      <c r="O27" s="18" t="n">
        <v>0</v>
      </c>
      <c r="P27" s="20" t="n">
        <v>0</v>
      </c>
      <c r="Q27" s="18" t="n">
        <v>22.03131397</v>
      </c>
      <c r="R27" s="20" t="n">
        <v>2.40341844</v>
      </c>
    </row>
    <row r="28" spans="1:18">
      <c r="A28" s="15" t="s">
        <v>452</v>
      </c>
      <c r="B28" s="17" t="n">
        <v>3765</v>
      </c>
      <c r="C28" s="18">
        <f>(3341.0/B28*100)</f>
        <v/>
      </c>
      <c r="D28" s="19" t="n">
        <v>424</v>
      </c>
      <c r="E28" s="18" t="n">
        <v>58.5890797</v>
      </c>
      <c r="F28" s="20" t="n">
        <v>2.5532103</v>
      </c>
      <c r="G28" s="18" t="n">
        <v>33.70896715</v>
      </c>
      <c r="H28" s="20" t="n">
        <v>2.66640492</v>
      </c>
      <c r="I28" s="18" t="s">
        <v>431</v>
      </c>
      <c r="J28" s="20" t="s">
        <v>431</v>
      </c>
      <c r="K28" s="18" t="n">
        <v>0.23008862</v>
      </c>
      <c r="L28" s="20" t="n">
        <v>0.25056668</v>
      </c>
      <c r="M28" s="18" t="n">
        <v>0</v>
      </c>
      <c r="N28" s="20" t="n">
        <v>0</v>
      </c>
      <c r="O28" s="18" t="n">
        <v>0</v>
      </c>
      <c r="P28" s="20" t="n">
        <v>0</v>
      </c>
      <c r="Q28" s="18" t="n">
        <v>7.47186453</v>
      </c>
      <c r="R28" s="20" t="n">
        <v>1.3000359</v>
      </c>
    </row>
    <row r="29" spans="1:18">
      <c r="A29" s="15" t="s">
        <v>453</v>
      </c>
      <c r="B29" s="17" t="n">
        <v>2685</v>
      </c>
      <c r="C29" s="18">
        <f>(2357.0/B29*100)</f>
        <v/>
      </c>
      <c r="D29" s="19" t="n">
        <v>328</v>
      </c>
      <c r="E29" s="18" t="n">
        <v>32.89819546</v>
      </c>
      <c r="F29" s="20" t="n">
        <v>2.89235643</v>
      </c>
      <c r="G29" s="18" t="n">
        <v>61.15124642</v>
      </c>
      <c r="H29" s="20" t="n">
        <v>3.16380208</v>
      </c>
      <c r="I29" s="18" t="s">
        <v>431</v>
      </c>
      <c r="J29" s="20" t="s">
        <v>431</v>
      </c>
      <c r="K29" s="18" t="n">
        <v>0</v>
      </c>
      <c r="L29" s="20" t="n">
        <v>0</v>
      </c>
      <c r="M29" s="18" t="n">
        <v>0</v>
      </c>
      <c r="N29" s="20" t="n">
        <v>0</v>
      </c>
      <c r="O29" s="18" t="n">
        <v>0</v>
      </c>
      <c r="P29" s="20" t="n">
        <v>0</v>
      </c>
      <c r="Q29" s="18" t="n">
        <v>5.95055812</v>
      </c>
      <c r="R29" s="20" t="n">
        <v>1.18045102</v>
      </c>
    </row>
    <row r="30" spans="1:18">
      <c r="A30" s="15" t="s">
        <v>454</v>
      </c>
      <c r="B30" s="17" t="n">
        <v>2263</v>
      </c>
      <c r="C30" s="18">
        <f>(1974.0/B30*100)</f>
        <v/>
      </c>
      <c r="D30" s="19" t="n">
        <v>289</v>
      </c>
      <c r="E30" s="18" t="n">
        <v>34.18624279</v>
      </c>
      <c r="F30" s="20" t="n">
        <v>2.90631033</v>
      </c>
      <c r="G30" s="18" t="n">
        <v>44.96611043</v>
      </c>
      <c r="H30" s="20" t="n">
        <v>3.36911133</v>
      </c>
      <c r="I30" s="18" t="s">
        <v>431</v>
      </c>
      <c r="J30" s="20" t="s">
        <v>431</v>
      </c>
      <c r="K30" s="18" t="n">
        <v>0.43552005</v>
      </c>
      <c r="L30" s="20" t="n">
        <v>0.44166138</v>
      </c>
      <c r="M30" s="18" t="n">
        <v>0.5061808</v>
      </c>
      <c r="N30" s="20" t="n">
        <v>0.49770646</v>
      </c>
      <c r="O30" s="18" t="n">
        <v>0</v>
      </c>
      <c r="P30" s="20" t="n">
        <v>0</v>
      </c>
      <c r="Q30" s="18" t="n">
        <v>19.90594592</v>
      </c>
      <c r="R30" s="20" t="n">
        <v>2.1517546</v>
      </c>
    </row>
    <row r="31" spans="1:18">
      <c r="A31" s="15" t="s">
        <v>455</v>
      </c>
      <c r="B31" s="17" t="n">
        <v>2750</v>
      </c>
      <c r="C31" s="18">
        <f>(2419.0/B31*100)</f>
        <v/>
      </c>
      <c r="D31" s="19" t="n">
        <v>331</v>
      </c>
      <c r="E31" s="18" t="n">
        <v>38.00440369</v>
      </c>
      <c r="F31" s="20" t="n">
        <v>2.96715917</v>
      </c>
      <c r="G31" s="18" t="n">
        <v>44.54701433</v>
      </c>
      <c r="H31" s="20" t="n">
        <v>2.94906178</v>
      </c>
      <c r="I31" s="18" t="s">
        <v>431</v>
      </c>
      <c r="J31" s="20" t="s">
        <v>431</v>
      </c>
      <c r="K31" s="18" t="n">
        <v>0</v>
      </c>
      <c r="L31" s="20" t="n">
        <v>0</v>
      </c>
      <c r="M31" s="18" t="n">
        <v>0.30203343</v>
      </c>
      <c r="N31" s="20" t="n">
        <v>0.28570866</v>
      </c>
      <c r="O31" s="18" t="n">
        <v>0</v>
      </c>
      <c r="P31" s="20" t="n">
        <v>0</v>
      </c>
      <c r="Q31" s="18" t="n">
        <v>17.14654855</v>
      </c>
      <c r="R31" s="20" t="n">
        <v>2.0990644</v>
      </c>
    </row>
    <row r="32" spans="1:18">
      <c r="A32" s="15" t="s">
        <v>456</v>
      </c>
      <c r="B32" s="17" t="n">
        <v>2269</v>
      </c>
      <c r="C32" s="18">
        <f>(1910.0/B32*100)</f>
        <v/>
      </c>
      <c r="D32" s="19" t="n">
        <v>359</v>
      </c>
      <c r="E32" s="18" t="n">
        <v>24.46141472</v>
      </c>
      <c r="F32" s="20" t="n">
        <v>2.54337968</v>
      </c>
      <c r="G32" s="18" t="n">
        <v>45.59903717</v>
      </c>
      <c r="H32" s="20" t="n">
        <v>2.94891554</v>
      </c>
      <c r="I32" s="18" t="s">
        <v>431</v>
      </c>
      <c r="J32" s="20" t="s">
        <v>431</v>
      </c>
      <c r="K32" s="18" t="n">
        <v>0.2695866</v>
      </c>
      <c r="L32" s="20" t="n">
        <v>0.2525946</v>
      </c>
      <c r="M32" s="18" t="n">
        <v>0.26265068</v>
      </c>
      <c r="N32" s="20" t="n">
        <v>0.26023623</v>
      </c>
      <c r="O32" s="18" t="n">
        <v>0</v>
      </c>
      <c r="P32" s="20" t="n">
        <v>0</v>
      </c>
      <c r="Q32" s="18" t="n">
        <v>29.40731083</v>
      </c>
      <c r="R32" s="20" t="n">
        <v>2.67309994</v>
      </c>
    </row>
    <row r="33" spans="1:18">
      <c r="A33" s="15" t="s">
        <v>457</v>
      </c>
      <c r="B33" s="17" t="n">
        <v>3674</v>
      </c>
      <c r="C33" s="18">
        <f>(3200.0/B33*100)</f>
        <v/>
      </c>
      <c r="D33" s="19" t="n">
        <v>474</v>
      </c>
      <c r="E33" s="18" t="n">
        <v>21.93060065</v>
      </c>
      <c r="F33" s="20" t="n">
        <v>2.0513978</v>
      </c>
      <c r="G33" s="18" t="n">
        <v>53.08445706</v>
      </c>
      <c r="H33" s="20" t="n">
        <v>2.48599448</v>
      </c>
      <c r="I33" s="18" t="s">
        <v>431</v>
      </c>
      <c r="J33" s="20" t="s">
        <v>431</v>
      </c>
      <c r="K33" s="18" t="n">
        <v>0.30018288</v>
      </c>
      <c r="L33" s="20" t="n">
        <v>0.26455963</v>
      </c>
      <c r="M33" s="18" t="n">
        <v>0</v>
      </c>
      <c r="N33" s="20" t="n">
        <v>0</v>
      </c>
      <c r="O33" s="18" t="n">
        <v>0</v>
      </c>
      <c r="P33" s="20" t="n">
        <v>0</v>
      </c>
      <c r="Q33" s="18" t="n">
        <v>24.6847594</v>
      </c>
      <c r="R33" s="20" t="n">
        <v>2.10420819</v>
      </c>
    </row>
    <row r="34" spans="1:18">
      <c r="A34" s="15" t="s">
        <v>458</v>
      </c>
      <c r="B34" s="17" t="n">
        <v>3315</v>
      </c>
      <c r="C34" s="18">
        <f>(2922.0/B34*100)</f>
        <v/>
      </c>
      <c r="D34" s="19" t="n">
        <v>393</v>
      </c>
      <c r="E34" s="18" t="n">
        <v>45.28875704</v>
      </c>
      <c r="F34" s="20" t="n">
        <v>2.42070631</v>
      </c>
      <c r="G34" s="18" t="n">
        <v>32.23319373</v>
      </c>
      <c r="H34" s="20" t="n">
        <v>2.79286906</v>
      </c>
      <c r="I34" s="18" t="s">
        <v>431</v>
      </c>
      <c r="J34" s="20" t="s">
        <v>431</v>
      </c>
      <c r="K34" s="18" t="n">
        <v>0.19693745</v>
      </c>
      <c r="L34" s="20" t="n">
        <v>0.19712194</v>
      </c>
      <c r="M34" s="18" t="n">
        <v>0</v>
      </c>
      <c r="N34" s="20" t="n">
        <v>0</v>
      </c>
      <c r="O34" s="18" t="n">
        <v>0</v>
      </c>
      <c r="P34" s="20" t="n">
        <v>0</v>
      </c>
      <c r="Q34" s="18" t="n">
        <v>22.28111178</v>
      </c>
      <c r="R34" s="20" t="n">
        <v>2.36616171</v>
      </c>
    </row>
    <row r="35" spans="1:18">
      <c r="A35" s="15" t="s">
        <v>459</v>
      </c>
      <c r="B35" s="17" t="n">
        <v>3505</v>
      </c>
      <c r="C35" s="18">
        <f>(3070.0/B35*100)</f>
        <v/>
      </c>
      <c r="D35" s="19" t="n">
        <v>435</v>
      </c>
      <c r="E35" s="18" t="n">
        <v>25.77374316</v>
      </c>
      <c r="F35" s="20" t="n">
        <v>2.47521966</v>
      </c>
      <c r="G35" s="18" t="n">
        <v>49.30621747</v>
      </c>
      <c r="H35" s="20" t="n">
        <v>2.80715646</v>
      </c>
      <c r="I35" s="18" t="s">
        <v>431</v>
      </c>
      <c r="J35" s="20" t="s">
        <v>431</v>
      </c>
      <c r="K35" s="18" t="n">
        <v>0.13090073</v>
      </c>
      <c r="L35" s="20" t="n">
        <v>0.13064277</v>
      </c>
      <c r="M35" s="18" t="n">
        <v>0.47866742</v>
      </c>
      <c r="N35" s="20" t="n">
        <v>0.34023176</v>
      </c>
      <c r="O35" s="18" t="n">
        <v>0</v>
      </c>
      <c r="P35" s="20" t="n">
        <v>0</v>
      </c>
      <c r="Q35" s="18" t="n">
        <v>24.31047122</v>
      </c>
      <c r="R35" s="20" t="n">
        <v>2.33079228</v>
      </c>
    </row>
    <row r="36" spans="1:18">
      <c r="A36" s="15" t="s">
        <v>460</v>
      </c>
      <c r="B36" s="17" t="n">
        <v>3332</v>
      </c>
      <c r="C36" s="18">
        <f>(2914.0/B36*100)</f>
        <v/>
      </c>
      <c r="D36" s="19" t="n">
        <v>418</v>
      </c>
      <c r="E36" s="18" t="n">
        <v>31.09343636</v>
      </c>
      <c r="F36" s="20" t="n">
        <v>2.24465524</v>
      </c>
      <c r="G36" s="18" t="n">
        <v>51.54062513</v>
      </c>
      <c r="H36" s="20" t="n">
        <v>2.47799046</v>
      </c>
      <c r="I36" s="18" t="s">
        <v>431</v>
      </c>
      <c r="J36" s="20" t="s">
        <v>431</v>
      </c>
      <c r="K36" s="18" t="n">
        <v>0</v>
      </c>
      <c r="L36" s="20" t="n">
        <v>0</v>
      </c>
      <c r="M36" s="18" t="n">
        <v>0.5035489399999999</v>
      </c>
      <c r="N36" s="20" t="n">
        <v>0.51622351</v>
      </c>
      <c r="O36" s="18" t="n">
        <v>0</v>
      </c>
      <c r="P36" s="20" t="n">
        <v>0</v>
      </c>
      <c r="Q36" s="18" t="n">
        <v>16.86238957</v>
      </c>
      <c r="R36" s="20" t="n">
        <v>2.22864531</v>
      </c>
    </row>
    <row r="37" spans="1:18">
      <c r="A37" s="15" t="s">
        <v>461</v>
      </c>
      <c r="B37" s="17" t="n">
        <v>2727</v>
      </c>
      <c r="C37" s="18">
        <f>(2378.0/B37*100)</f>
        <v/>
      </c>
      <c r="D37" s="19" t="n">
        <v>349</v>
      </c>
      <c r="E37" s="18" t="n">
        <v>31.82672214</v>
      </c>
      <c r="F37" s="20" t="n">
        <v>2.90513205</v>
      </c>
      <c r="G37" s="18" t="n">
        <v>44.721817</v>
      </c>
      <c r="H37" s="20" t="n">
        <v>3.34017396</v>
      </c>
      <c r="I37" s="18" t="s">
        <v>431</v>
      </c>
      <c r="J37" s="20" t="s">
        <v>431</v>
      </c>
      <c r="K37" s="18" t="n">
        <v>1.41794982</v>
      </c>
      <c r="L37" s="20" t="n">
        <v>0.63663446</v>
      </c>
      <c r="M37" s="18" t="n">
        <v>0</v>
      </c>
      <c r="N37" s="20" t="n">
        <v>0</v>
      </c>
      <c r="O37" s="18" t="n">
        <v>0</v>
      </c>
      <c r="P37" s="20" t="n">
        <v>0</v>
      </c>
      <c r="Q37" s="18" t="n">
        <v>22.03351104</v>
      </c>
      <c r="R37" s="20" t="n">
        <v>2.57761077</v>
      </c>
    </row>
    <row r="38" spans="1:18">
      <c r="A38" s="15" t="s">
        <v>462</v>
      </c>
      <c r="B38" s="17" t="n">
        <v>3053</v>
      </c>
      <c r="C38" s="18">
        <f>(2585.0/B38*100)</f>
        <v/>
      </c>
      <c r="D38" s="19" t="n">
        <v>468</v>
      </c>
      <c r="E38" s="18" t="n">
        <v>26.56341105</v>
      </c>
      <c r="F38" s="20" t="n">
        <v>2.47620669</v>
      </c>
      <c r="G38" s="18" t="n">
        <v>53.69613919</v>
      </c>
      <c r="H38" s="20" t="n">
        <v>2.98397329</v>
      </c>
      <c r="I38" s="18" t="s">
        <v>431</v>
      </c>
      <c r="J38" s="20" t="s">
        <v>431</v>
      </c>
      <c r="K38" s="18" t="n">
        <v>0.3801914</v>
      </c>
      <c r="L38" s="20" t="n">
        <v>0.20669632</v>
      </c>
      <c r="M38" s="18" t="n">
        <v>0.5977879699999999</v>
      </c>
      <c r="N38" s="20" t="n">
        <v>0.36334241</v>
      </c>
      <c r="O38" s="18" t="n">
        <v>0</v>
      </c>
      <c r="P38" s="20" t="n">
        <v>0</v>
      </c>
      <c r="Q38" s="18" t="n">
        <v>18.76247038</v>
      </c>
      <c r="R38" s="20" t="n">
        <v>2.35142453</v>
      </c>
    </row>
    <row r="39" spans="1:18">
      <c r="A39" s="15" t="s">
        <v>463</v>
      </c>
      <c r="B39" s="17" t="n">
        <v>2957</v>
      </c>
      <c r="C39" s="18">
        <f>(2590.0/B39*100)</f>
        <v/>
      </c>
      <c r="D39" s="19" t="n">
        <v>367</v>
      </c>
      <c r="E39" s="18" t="n">
        <v>25.03751814</v>
      </c>
      <c r="F39" s="20" t="n">
        <v>2.24996013</v>
      </c>
      <c r="G39" s="18" t="n">
        <v>54.94106522</v>
      </c>
      <c r="H39" s="20" t="n">
        <v>2.7797939</v>
      </c>
      <c r="I39" s="18" t="s">
        <v>431</v>
      </c>
      <c r="J39" s="20" t="s">
        <v>431</v>
      </c>
      <c r="K39" s="18" t="n">
        <v>0.34303425</v>
      </c>
      <c r="L39" s="20" t="n">
        <v>0.34244493</v>
      </c>
      <c r="M39" s="18" t="n">
        <v>0.23528998</v>
      </c>
      <c r="N39" s="20" t="n">
        <v>0.24228373</v>
      </c>
      <c r="O39" s="18" t="n">
        <v>0</v>
      </c>
      <c r="P39" s="20" t="n">
        <v>0</v>
      </c>
      <c r="Q39" s="18" t="n">
        <v>19.44309241</v>
      </c>
      <c r="R39" s="20" t="n">
        <v>2.2417881</v>
      </c>
    </row>
    <row r="40" spans="1:18">
      <c r="A40" s="15" t="s">
        <v>464</v>
      </c>
      <c r="B40" s="17" t="n">
        <v>7235</v>
      </c>
      <c r="C40" s="18">
        <f>(6331.0/B40*100)</f>
        <v/>
      </c>
      <c r="D40" s="19" t="n">
        <v>904</v>
      </c>
      <c r="E40" s="18" t="n">
        <v>31.2870237</v>
      </c>
      <c r="F40" s="20" t="n">
        <v>2.34488598</v>
      </c>
      <c r="G40" s="18" t="n">
        <v>51.09212763</v>
      </c>
      <c r="H40" s="20" t="n">
        <v>2.45575622</v>
      </c>
      <c r="I40" s="18" t="s">
        <v>431</v>
      </c>
      <c r="J40" s="20" t="s">
        <v>431</v>
      </c>
      <c r="K40" s="18" t="n">
        <v>0.139083</v>
      </c>
      <c r="L40" s="20" t="n">
        <v>0.08617244</v>
      </c>
      <c r="M40" s="18" t="n">
        <v>0.55719353</v>
      </c>
      <c r="N40" s="20" t="n">
        <v>0.40066689</v>
      </c>
      <c r="O40" s="18" t="n">
        <v>0</v>
      </c>
      <c r="P40" s="20" t="n">
        <v>0</v>
      </c>
      <c r="Q40" s="18" t="n">
        <v>16.92457213</v>
      </c>
      <c r="R40" s="20" t="n">
        <v>1.86035367</v>
      </c>
    </row>
    <row r="41" spans="1:18">
      <c r="A41" s="15" t="s">
        <v>465</v>
      </c>
      <c r="B41" s="17" t="n">
        <v>2858</v>
      </c>
      <c r="C41" s="18">
        <f>(2523.0/B41*100)</f>
        <v/>
      </c>
      <c r="D41" s="19" t="n">
        <v>335</v>
      </c>
      <c r="E41" s="18" t="n">
        <v>36.59500561</v>
      </c>
      <c r="F41" s="20" t="n">
        <v>2.72216965</v>
      </c>
      <c r="G41" s="18" t="n">
        <v>54.71311646</v>
      </c>
      <c r="H41" s="20" t="n">
        <v>2.8493344</v>
      </c>
      <c r="I41" s="18" t="s">
        <v>431</v>
      </c>
      <c r="J41" s="20" t="s">
        <v>431</v>
      </c>
      <c r="K41" s="18" t="n">
        <v>0</v>
      </c>
      <c r="L41" s="20" t="n">
        <v>0</v>
      </c>
      <c r="M41" s="18" t="n">
        <v>0</v>
      </c>
      <c r="N41" s="20" t="n">
        <v>0</v>
      </c>
      <c r="O41" s="18" t="n">
        <v>0</v>
      </c>
      <c r="P41" s="20" t="n">
        <v>0</v>
      </c>
      <c r="Q41" s="18" t="n">
        <v>8.69187793</v>
      </c>
      <c r="R41" s="20" t="n">
        <v>1.88402058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(9815.0/B46*100)</f>
        <v/>
      </c>
      <c r="D46" s="19" t="n">
        <v>1253</v>
      </c>
      <c r="E46" s="18" t="n">
        <v>46.32590957</v>
      </c>
      <c r="F46" s="20" t="n">
        <v>2.13305828</v>
      </c>
      <c r="G46" s="18" t="n">
        <v>36.3726587</v>
      </c>
      <c r="H46" s="20" t="n">
        <v>2.06232915</v>
      </c>
      <c r="I46" s="18" t="s">
        <v>431</v>
      </c>
      <c r="J46" s="20" t="s">
        <v>431</v>
      </c>
      <c r="K46" s="18" t="n">
        <v>0.57182873</v>
      </c>
      <c r="L46" s="20" t="n">
        <v>0.24638116</v>
      </c>
      <c r="M46" s="18" t="n">
        <v>0.57814111</v>
      </c>
      <c r="N46" s="20" t="n">
        <v>0.24173747</v>
      </c>
      <c r="O46" s="18" t="n">
        <v>0</v>
      </c>
      <c r="P46" s="20" t="n">
        <v>0</v>
      </c>
      <c r="Q46" s="18" t="n">
        <v>16.15146188</v>
      </c>
      <c r="R46" s="20" t="n">
        <v>1.35005008</v>
      </c>
    </row>
    <row r="47" spans="1:18">
      <c r="A47" s="15" t="s">
        <v>471</v>
      </c>
      <c r="B47" s="17" t="n">
        <v>3105</v>
      </c>
      <c r="C47" s="18">
        <f>(2719.0/B47*100)</f>
        <v/>
      </c>
      <c r="D47" s="19" t="n">
        <v>386</v>
      </c>
      <c r="E47" s="18" t="n">
        <v>34.04513392</v>
      </c>
      <c r="F47" s="20" t="n">
        <v>2.96384374</v>
      </c>
      <c r="G47" s="18" t="n">
        <v>22.62293325</v>
      </c>
      <c r="H47" s="20" t="n">
        <v>2.60162848</v>
      </c>
      <c r="I47" s="18" t="s">
        <v>431</v>
      </c>
      <c r="J47" s="20" t="s">
        <v>431</v>
      </c>
      <c r="K47" s="18" t="n">
        <v>1.05718589</v>
      </c>
      <c r="L47" s="20" t="n">
        <v>0.65927176</v>
      </c>
      <c r="M47" s="18" t="n">
        <v>0.26020555</v>
      </c>
      <c r="N47" s="20" t="n">
        <v>0.18326001</v>
      </c>
      <c r="O47" s="18" t="n">
        <v>0</v>
      </c>
      <c r="P47" s="20" t="n">
        <v>0</v>
      </c>
      <c r="Q47" s="18" t="n">
        <v>42.01454139</v>
      </c>
      <c r="R47" s="20" t="n">
        <v>2.80092033</v>
      </c>
    </row>
    <row r="48" spans="1:18">
      <c r="A48" s="15" t="s">
        <v>472</v>
      </c>
      <c r="B48" s="17" t="n">
        <v>5159</v>
      </c>
      <c r="C48" s="18">
        <f>(4527.0/B48*100)</f>
        <v/>
      </c>
      <c r="D48" s="19" t="n">
        <v>632</v>
      </c>
      <c r="E48" s="18" t="n">
        <v>18.17726155</v>
      </c>
      <c r="F48" s="20" t="n">
        <v>2.08619174</v>
      </c>
      <c r="G48" s="18" t="n">
        <v>69.45943905999999</v>
      </c>
      <c r="H48" s="20" t="n">
        <v>2.68028559</v>
      </c>
      <c r="I48" s="18" t="s">
        <v>431</v>
      </c>
      <c r="J48" s="20" t="s">
        <v>431</v>
      </c>
      <c r="K48" s="18" t="n">
        <v>0</v>
      </c>
      <c r="L48" s="20" t="n">
        <v>0</v>
      </c>
      <c r="M48" s="18" t="n">
        <v>0</v>
      </c>
      <c r="N48" s="20" t="n">
        <v>0</v>
      </c>
      <c r="O48" s="18" t="n">
        <v>0</v>
      </c>
      <c r="P48" s="20" t="n">
        <v>0</v>
      </c>
      <c r="Q48" s="18" t="n">
        <v>12.36329939</v>
      </c>
      <c r="R48" s="20" t="n">
        <v>1.72218749</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(4957.0/B50*100)</f>
        <v/>
      </c>
      <c r="D50" s="19" t="n">
        <v>680</v>
      </c>
      <c r="E50" s="18" t="n">
        <v>52.69411946</v>
      </c>
      <c r="F50" s="20" t="n">
        <v>2.60222867</v>
      </c>
      <c r="G50" s="18" t="n">
        <v>37.76695494</v>
      </c>
      <c r="H50" s="20" t="n">
        <v>2.72672097</v>
      </c>
      <c r="I50" s="18" t="s">
        <v>431</v>
      </c>
      <c r="J50" s="20" t="s">
        <v>431</v>
      </c>
      <c r="K50" s="18" t="n">
        <v>0.2560194</v>
      </c>
      <c r="L50" s="20" t="n">
        <v>0.27248391</v>
      </c>
      <c r="M50" s="18" t="n">
        <v>0.04468403</v>
      </c>
      <c r="N50" s="20" t="n">
        <v>0.04459936</v>
      </c>
      <c r="O50" s="18" t="n">
        <v>0</v>
      </c>
      <c r="P50" s="20" t="n">
        <v>0</v>
      </c>
      <c r="Q50" s="18" t="n">
        <v>9.238222159999999</v>
      </c>
      <c r="R50" s="20" t="n">
        <v>1.5144845</v>
      </c>
    </row>
    <row r="51" spans="1:18">
      <c r="A51" s="15" t="s">
        <v>475</v>
      </c>
      <c r="B51" s="17" t="n">
        <v>3372</v>
      </c>
      <c r="C51" s="18">
        <f>(3002.0/B51*100)</f>
        <v/>
      </c>
      <c r="D51" s="19" t="n">
        <v>370</v>
      </c>
      <c r="E51" s="18" t="n">
        <v>61.18635576</v>
      </c>
      <c r="F51" s="20" t="n">
        <v>2.74627225</v>
      </c>
      <c r="G51" s="18" t="n">
        <v>29.52154862</v>
      </c>
      <c r="H51" s="20" t="n">
        <v>2.73710721</v>
      </c>
      <c r="I51" s="18" t="s">
        <v>431</v>
      </c>
      <c r="J51" s="20" t="s">
        <v>431</v>
      </c>
      <c r="K51" s="18" t="n">
        <v>0.29184529</v>
      </c>
      <c r="L51" s="20" t="n">
        <v>0.29067785</v>
      </c>
      <c r="M51" s="18" t="n">
        <v>0</v>
      </c>
      <c r="N51" s="20" t="n">
        <v>0</v>
      </c>
      <c r="O51" s="18" t="n">
        <v>0</v>
      </c>
      <c r="P51" s="20" t="n">
        <v>0</v>
      </c>
      <c r="Q51" s="18" t="n">
        <v>9.00025033</v>
      </c>
      <c r="R51" s="20" t="n">
        <v>1.42331792</v>
      </c>
    </row>
    <row r="52" spans="1:18">
      <c r="A52" s="15" t="s">
        <v>476</v>
      </c>
      <c r="B52" s="17" t="n">
        <v>2796</v>
      </c>
      <c r="C52" s="18">
        <f>(2442.0/B52*100)</f>
        <v/>
      </c>
      <c r="D52" s="19" t="n">
        <v>354</v>
      </c>
      <c r="E52" s="18" t="n">
        <v>37.53629498</v>
      </c>
      <c r="F52" s="20" t="n">
        <v>2.73896446</v>
      </c>
      <c r="G52" s="18" t="n">
        <v>45.11531156</v>
      </c>
      <c r="H52" s="20" t="n">
        <v>2.51725971</v>
      </c>
      <c r="I52" s="18" t="s">
        <v>431</v>
      </c>
      <c r="J52" s="20" t="s">
        <v>431</v>
      </c>
      <c r="K52" s="18" t="n">
        <v>0.35679738</v>
      </c>
      <c r="L52" s="20" t="n">
        <v>0.36127451</v>
      </c>
      <c r="M52" s="18" t="n">
        <v>0</v>
      </c>
      <c r="N52" s="20" t="n">
        <v>0</v>
      </c>
      <c r="O52" s="18" t="n">
        <v>0</v>
      </c>
      <c r="P52" s="20" t="n">
        <v>0</v>
      </c>
      <c r="Q52" s="18" t="n">
        <v>16.99159607</v>
      </c>
      <c r="R52" s="20" t="n">
        <v>1.93577487</v>
      </c>
    </row>
    <row r="53" spans="1:18">
      <c r="A53" s="15" t="s">
        <v>477</v>
      </c>
      <c r="B53" s="17" t="n">
        <v>2811</v>
      </c>
      <c r="C53" s="18">
        <f>(2484.0/B53*100)</f>
        <v/>
      </c>
      <c r="D53" s="19" t="n">
        <v>327</v>
      </c>
      <c r="E53" s="18" t="n">
        <v>41.48776053</v>
      </c>
      <c r="F53" s="20" t="n">
        <v>2.71769142</v>
      </c>
      <c r="G53" s="18" t="n">
        <v>18.89481018</v>
      </c>
      <c r="H53" s="20" t="n">
        <v>2.27886384</v>
      </c>
      <c r="I53" s="18" t="s">
        <v>431</v>
      </c>
      <c r="J53" s="20" t="s">
        <v>431</v>
      </c>
      <c r="K53" s="18" t="n">
        <v>0.41220066</v>
      </c>
      <c r="L53" s="20" t="n">
        <v>0.41346086</v>
      </c>
      <c r="M53" s="18" t="n">
        <v>0</v>
      </c>
      <c r="N53" s="20" t="n">
        <v>0</v>
      </c>
      <c r="O53" s="18" t="n">
        <v>0</v>
      </c>
      <c r="P53" s="20" t="n">
        <v>0</v>
      </c>
      <c r="Q53" s="18" t="n">
        <v>39.20522864</v>
      </c>
      <c r="R53" s="20" t="n">
        <v>3.09714498</v>
      </c>
    </row>
    <row r="54" spans="1:18">
      <c r="A54" s="15" t="s">
        <v>478</v>
      </c>
      <c r="B54" s="17" t="n">
        <v>2266</v>
      </c>
      <c r="C54" s="18">
        <f>(1881.0/B54*100)</f>
        <v/>
      </c>
      <c r="D54" s="19" t="n">
        <v>385</v>
      </c>
      <c r="E54" s="18" t="n">
        <v>44.54642244</v>
      </c>
      <c r="F54" s="20" t="n">
        <v>2.96178653</v>
      </c>
      <c r="G54" s="18" t="n">
        <v>16.86639352</v>
      </c>
      <c r="H54" s="20" t="n">
        <v>2.082423</v>
      </c>
      <c r="I54" s="18" t="s">
        <v>431</v>
      </c>
      <c r="J54" s="20" t="s">
        <v>431</v>
      </c>
      <c r="K54" s="18" t="n">
        <v>2.47869109</v>
      </c>
      <c r="L54" s="20" t="n">
        <v>1.02594609</v>
      </c>
      <c r="M54" s="18" t="n">
        <v>0.77873965</v>
      </c>
      <c r="N54" s="20" t="n">
        <v>0.75243775</v>
      </c>
      <c r="O54" s="18" t="n">
        <v>0</v>
      </c>
      <c r="P54" s="20" t="n">
        <v>0</v>
      </c>
      <c r="Q54" s="18" t="n">
        <v>35.3297533</v>
      </c>
      <c r="R54" s="20" t="n">
        <v>2.94990684</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(2357.0/B56*100)</f>
        <v/>
      </c>
      <c r="D56" s="19" t="n">
        <v>327</v>
      </c>
      <c r="E56" s="18" t="n">
        <v>24.91797301</v>
      </c>
      <c r="F56" s="20" t="n">
        <v>3.00114094</v>
      </c>
      <c r="G56" s="18" t="n">
        <v>64.74618974000001</v>
      </c>
      <c r="H56" s="20" t="n">
        <v>3.00823816</v>
      </c>
      <c r="I56" s="18" t="s">
        <v>431</v>
      </c>
      <c r="J56" s="20" t="s">
        <v>431</v>
      </c>
      <c r="K56" s="18" t="n">
        <v>0</v>
      </c>
      <c r="L56" s="20" t="n">
        <v>0</v>
      </c>
      <c r="M56" s="18" t="n">
        <v>3.87129031</v>
      </c>
      <c r="N56" s="20" t="n">
        <v>1.5804648</v>
      </c>
      <c r="O56" s="18" t="n">
        <v>0</v>
      </c>
      <c r="P56" s="20" t="n">
        <v>0</v>
      </c>
      <c r="Q56" s="18" t="n">
        <v>6.46454694</v>
      </c>
      <c r="R56" s="20" t="n">
        <v>1.31892942</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(2900.0/B61*100)</f>
        <v/>
      </c>
      <c r="D61" s="19" t="n">
        <v>424</v>
      </c>
      <c r="E61" s="18" t="n">
        <v>36.25336538</v>
      </c>
      <c r="F61" s="20" t="n">
        <v>2.87848496</v>
      </c>
      <c r="G61" s="18" t="n">
        <v>39.98599468</v>
      </c>
      <c r="H61" s="20" t="n">
        <v>3.06693061</v>
      </c>
      <c r="I61" s="18" t="s">
        <v>431</v>
      </c>
      <c r="J61" s="20" t="s">
        <v>431</v>
      </c>
      <c r="K61" s="18" t="n">
        <v>0.5214543699999999</v>
      </c>
      <c r="L61" s="20" t="n">
        <v>0.32352233</v>
      </c>
      <c r="M61" s="18" t="n">
        <v>0.33397448</v>
      </c>
      <c r="N61" s="20" t="n">
        <v>0.27737131</v>
      </c>
      <c r="O61" s="18" t="n">
        <v>0</v>
      </c>
      <c r="P61" s="20" t="n">
        <v>0</v>
      </c>
      <c r="Q61" s="18" t="n">
        <v>22.90521109</v>
      </c>
      <c r="R61" s="20" t="n">
        <v>2.47997323</v>
      </c>
    </row>
    <row r="62" spans="1:18">
      <c r="A62" s="15" t="s">
        <v>486</v>
      </c>
      <c r="B62" s="17" t="n">
        <v>2246</v>
      </c>
      <c r="C62" s="18">
        <f>(1992.0/B62*100)</f>
        <v/>
      </c>
      <c r="D62" s="19" t="n">
        <v>254</v>
      </c>
      <c r="E62" s="18" t="n">
        <v>25.99728473</v>
      </c>
      <c r="F62" s="20" t="n">
        <v>2.85216815</v>
      </c>
      <c r="G62" s="18" t="n">
        <v>69.6607415</v>
      </c>
      <c r="H62" s="20" t="n">
        <v>2.90316354</v>
      </c>
      <c r="I62" s="18" t="s">
        <v>431</v>
      </c>
      <c r="J62" s="20" t="s">
        <v>431</v>
      </c>
      <c r="K62" s="18" t="n">
        <v>0</v>
      </c>
      <c r="L62" s="20" t="n">
        <v>0</v>
      </c>
      <c r="M62" s="18" t="n">
        <v>0</v>
      </c>
      <c r="N62" s="20" t="n">
        <v>0</v>
      </c>
      <c r="O62" s="18" t="n">
        <v>0</v>
      </c>
      <c r="P62" s="20" t="n">
        <v>0</v>
      </c>
      <c r="Q62" s="18" t="n">
        <v>4.34197377</v>
      </c>
      <c r="R62" s="20" t="n">
        <v>1.30157026</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(2557.0/B66*100)</f>
        <v/>
      </c>
      <c r="D66" s="19" t="n">
        <v>337</v>
      </c>
      <c r="E66" s="18" t="n">
        <v>29.54697625</v>
      </c>
      <c r="F66" s="20" t="n">
        <v>2.47764257</v>
      </c>
      <c r="G66" s="18" t="n">
        <v>31.81401689</v>
      </c>
      <c r="H66" s="20" t="n">
        <v>2.48665166</v>
      </c>
      <c r="I66" s="18" t="s">
        <v>431</v>
      </c>
      <c r="J66" s="20" t="s">
        <v>431</v>
      </c>
      <c r="K66" s="18" t="n">
        <v>0.57070182</v>
      </c>
      <c r="L66" s="20" t="n">
        <v>0.41062963</v>
      </c>
      <c r="M66" s="18" t="n">
        <v>0.83961696</v>
      </c>
      <c r="N66" s="20" t="n">
        <v>0.47139857</v>
      </c>
      <c r="O66" s="18" t="n">
        <v>0</v>
      </c>
      <c r="P66" s="20" t="n">
        <v>0</v>
      </c>
      <c r="Q66" s="18" t="n">
        <v>37.22868808</v>
      </c>
      <c r="R66" s="20" t="n">
        <v>2.46513179</v>
      </c>
    </row>
    <row r="67" spans="1:18">
      <c r="A67" s="15" t="s">
        <v>491</v>
      </c>
      <c r="B67" s="17" t="n">
        <v>3511</v>
      </c>
      <c r="C67" s="18">
        <f>(3085.0/B67*100)</f>
        <v/>
      </c>
      <c r="D67" s="19" t="n">
        <v>426</v>
      </c>
      <c r="E67" s="18" t="n">
        <v>61.51247034</v>
      </c>
      <c r="F67" s="20" t="n">
        <v>2.71061813</v>
      </c>
      <c r="G67" s="18" t="n">
        <v>24.73025124</v>
      </c>
      <c r="H67" s="20" t="n">
        <v>2.12232809</v>
      </c>
      <c r="I67" s="18" t="s">
        <v>431</v>
      </c>
      <c r="J67" s="20" t="s">
        <v>431</v>
      </c>
      <c r="K67" s="18" t="n">
        <v>0</v>
      </c>
      <c r="L67" s="20" t="n">
        <v>0</v>
      </c>
      <c r="M67" s="18" t="n">
        <v>0</v>
      </c>
      <c r="N67" s="20" t="n">
        <v>0</v>
      </c>
      <c r="O67" s="18" t="n">
        <v>0</v>
      </c>
      <c r="P67" s="20" t="n">
        <v>0</v>
      </c>
      <c r="Q67" s="18" t="n">
        <v>13.75727843</v>
      </c>
      <c r="R67" s="20" t="n">
        <v>1.88909941</v>
      </c>
    </row>
    <row r="68" spans="1:18">
      <c r="A68" s="15" t="s">
        <v>492</v>
      </c>
      <c r="B68" s="17" t="n">
        <v>6049</v>
      </c>
      <c r="C68" s="18">
        <f>(5052.0/B68*100)</f>
        <v/>
      </c>
      <c r="D68" s="19" t="n">
        <v>997</v>
      </c>
      <c r="E68" s="18" t="n">
        <v>49.43362104</v>
      </c>
      <c r="F68" s="20" t="n">
        <v>1.35464605</v>
      </c>
      <c r="G68" s="18" t="n">
        <v>27.08294948</v>
      </c>
      <c r="H68" s="20" t="n">
        <v>1.44644703</v>
      </c>
      <c r="I68" s="18" t="s">
        <v>431</v>
      </c>
      <c r="J68" s="20" t="s">
        <v>431</v>
      </c>
      <c r="K68" s="18" t="n">
        <v>1.57833114</v>
      </c>
      <c r="L68" s="20" t="n">
        <v>0.39863428</v>
      </c>
      <c r="M68" s="18" t="n">
        <v>0.09695699000000001</v>
      </c>
      <c r="N68" s="20" t="n">
        <v>0.09687659</v>
      </c>
      <c r="O68" s="18" t="n">
        <v>0</v>
      </c>
      <c r="P68" s="20" t="n">
        <v>0</v>
      </c>
      <c r="Q68" s="18" t="n">
        <v>21.80814135</v>
      </c>
      <c r="R68" s="20" t="n">
        <v>1.42780893</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(2597.0/B70*100)</f>
        <v/>
      </c>
      <c r="D70" s="19" t="n">
        <v>332</v>
      </c>
      <c r="E70" s="18" t="n">
        <v>26.87155564</v>
      </c>
      <c r="F70" s="20" t="n">
        <v>3.02408702</v>
      </c>
      <c r="G70" s="18" t="n">
        <v>64.43292995</v>
      </c>
      <c r="H70" s="20" t="n">
        <v>3.25451589</v>
      </c>
      <c r="I70" s="18" t="s">
        <v>431</v>
      </c>
      <c r="J70" s="20" t="s">
        <v>431</v>
      </c>
      <c r="K70" s="18" t="n">
        <v>0</v>
      </c>
      <c r="L70" s="20" t="n">
        <v>0</v>
      </c>
      <c r="M70" s="18" t="n">
        <v>0</v>
      </c>
      <c r="N70" s="20" t="n">
        <v>0</v>
      </c>
      <c r="O70" s="18" t="n">
        <v>0</v>
      </c>
      <c r="P70" s="20" t="n">
        <v>0</v>
      </c>
      <c r="Q70" s="18" t="n">
        <v>8.695514409999999</v>
      </c>
      <c r="R70" s="20" t="n">
        <v>1.48573604</v>
      </c>
    </row>
    <row r="71" spans="1:18">
      <c r="A71" s="15" t="s">
        <v>495</v>
      </c>
      <c r="B71" s="17" t="n">
        <v>3142</v>
      </c>
      <c r="C71" s="18">
        <f>(2757.0/B71*100)</f>
        <v/>
      </c>
      <c r="D71" s="19" t="n">
        <v>385</v>
      </c>
      <c r="E71" s="18" t="n">
        <v>29.68746905</v>
      </c>
      <c r="F71" s="20" t="n">
        <v>2.06239933</v>
      </c>
      <c r="G71" s="18" t="n">
        <v>62.97274448</v>
      </c>
      <c r="H71" s="20" t="n">
        <v>2.40018454</v>
      </c>
      <c r="I71" s="18" t="s">
        <v>431</v>
      </c>
      <c r="J71" s="20" t="s">
        <v>431</v>
      </c>
      <c r="K71" s="18" t="n">
        <v>0.27585198</v>
      </c>
      <c r="L71" s="20" t="n">
        <v>0.27620877</v>
      </c>
      <c r="M71" s="18" t="n">
        <v>0.13594089</v>
      </c>
      <c r="N71" s="20" t="n">
        <v>0.13903864</v>
      </c>
      <c r="O71" s="18" t="n">
        <v>0</v>
      </c>
      <c r="P71" s="20" t="n">
        <v>0</v>
      </c>
      <c r="Q71" s="18" t="n">
        <v>6.92799359</v>
      </c>
      <c r="R71" s="20" t="n">
        <v>1.35534648</v>
      </c>
    </row>
    <row r="72" spans="1:18">
      <c r="A72" s="15" t="s">
        <v>496</v>
      </c>
      <c r="B72" s="17" t="n">
        <v>3889</v>
      </c>
      <c r="C72" s="18">
        <f>(3393.0/B72*100)</f>
        <v/>
      </c>
      <c r="D72" s="19" t="n">
        <v>496</v>
      </c>
      <c r="E72" s="18" t="n">
        <v>37.51665992</v>
      </c>
      <c r="F72" s="20" t="n">
        <v>2.406189</v>
      </c>
      <c r="G72" s="18" t="n">
        <v>50.43510295</v>
      </c>
      <c r="H72" s="20" t="n">
        <v>2.49421699</v>
      </c>
      <c r="I72" s="18" t="s">
        <v>431</v>
      </c>
      <c r="J72" s="20" t="s">
        <v>431</v>
      </c>
      <c r="K72" s="18" t="n">
        <v>0</v>
      </c>
      <c r="L72" s="20" t="n">
        <v>0</v>
      </c>
      <c r="M72" s="18" t="n">
        <v>0.26184866</v>
      </c>
      <c r="N72" s="20" t="n">
        <v>0.2627364</v>
      </c>
      <c r="O72" s="18" t="n">
        <v>0</v>
      </c>
      <c r="P72" s="20" t="n">
        <v>0</v>
      </c>
      <c r="Q72" s="18" t="n">
        <v>11.78638847</v>
      </c>
      <c r="R72" s="20" t="n">
        <v>1.60464838</v>
      </c>
    </row>
    <row r="73" spans="1:18">
      <c r="A73" s="15" t="s">
        <v>497</v>
      </c>
      <c r="B73" s="17" t="n">
        <v>3597</v>
      </c>
      <c r="C73" s="18">
        <f>(3158.0/B73*100)</f>
        <v/>
      </c>
      <c r="D73" s="19" t="n">
        <v>439</v>
      </c>
      <c r="E73" s="18" t="n">
        <v>68.75238114</v>
      </c>
      <c r="F73" s="20" t="n">
        <v>2.92514813</v>
      </c>
      <c r="G73" s="18" t="n">
        <v>27.53633424</v>
      </c>
      <c r="H73" s="20" t="n">
        <v>2.93639654</v>
      </c>
      <c r="I73" s="18" t="s">
        <v>431</v>
      </c>
      <c r="J73" s="20" t="s">
        <v>431</v>
      </c>
      <c r="K73" s="18" t="n">
        <v>0</v>
      </c>
      <c r="L73" s="20" t="n">
        <v>0</v>
      </c>
      <c r="M73" s="18" t="n">
        <v>0</v>
      </c>
      <c r="N73" s="20" t="n">
        <v>0</v>
      </c>
      <c r="O73" s="18" t="n">
        <v>0</v>
      </c>
      <c r="P73" s="20" t="n">
        <v>0</v>
      </c>
      <c r="Q73" s="18" t="n">
        <v>3.71128462</v>
      </c>
      <c r="R73" s="20" t="n">
        <v>1.15296046</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(2143.0/B75*100)</f>
        <v/>
      </c>
      <c r="D75" s="19" t="n">
        <v>263</v>
      </c>
      <c r="E75" s="18" t="n">
        <v>28.76695835</v>
      </c>
      <c r="F75" s="20" t="n">
        <v>2.91829208</v>
      </c>
      <c r="G75" s="18" t="n">
        <v>45.08989118</v>
      </c>
      <c r="H75" s="20" t="n">
        <v>3.05927839</v>
      </c>
      <c r="I75" s="18" t="s">
        <v>431</v>
      </c>
      <c r="J75" s="20" t="s">
        <v>431</v>
      </c>
      <c r="K75" s="18" t="n">
        <v>0.72768456</v>
      </c>
      <c r="L75" s="20" t="n">
        <v>0.55726916</v>
      </c>
      <c r="M75" s="18" t="n">
        <v>1.48355168</v>
      </c>
      <c r="N75" s="20" t="n">
        <v>0.85193451</v>
      </c>
      <c r="O75" s="18" t="n">
        <v>0</v>
      </c>
      <c r="P75" s="20" t="n">
        <v>0</v>
      </c>
      <c r="Q75" s="18" t="n">
        <v>23.93191423</v>
      </c>
      <c r="R75" s="20" t="n">
        <v>2.74785764</v>
      </c>
    </row>
    <row r="76" spans="1:18">
      <c r="A76" s="15" t="s">
        <v>500</v>
      </c>
      <c r="B76" s="17" t="n">
        <v>7052</v>
      </c>
      <c r="C76" s="18">
        <f>(6220.0/B76*100)</f>
        <v/>
      </c>
      <c r="D76" s="19" t="n">
        <v>832</v>
      </c>
      <c r="E76" s="18" t="n">
        <v>49.02405213</v>
      </c>
      <c r="F76" s="20" t="n">
        <v>2.39126032</v>
      </c>
      <c r="G76" s="18" t="n">
        <v>29.57775867</v>
      </c>
      <c r="H76" s="20" t="n">
        <v>1.96806266</v>
      </c>
      <c r="I76" s="18" t="s">
        <v>431</v>
      </c>
      <c r="J76" s="20" t="s">
        <v>431</v>
      </c>
      <c r="K76" s="18" t="n">
        <v>0.97862801</v>
      </c>
      <c r="L76" s="20" t="n">
        <v>0.39046961</v>
      </c>
      <c r="M76" s="18" t="n">
        <v>0.51152635</v>
      </c>
      <c r="N76" s="20" t="n">
        <v>0.31192692</v>
      </c>
      <c r="O76" s="18" t="n">
        <v>0</v>
      </c>
      <c r="P76" s="20" t="n">
        <v>0</v>
      </c>
      <c r="Q76" s="18" t="n">
        <v>19.90803483</v>
      </c>
      <c r="R76" s="20" t="n">
        <v>2.2534769</v>
      </c>
    </row>
    <row r="77" spans="1:18">
      <c r="A77" s="15" t="s">
        <v>501</v>
      </c>
      <c r="B77" s="17" t="n">
        <v>2908</v>
      </c>
      <c r="C77" s="18">
        <f>(2542.0/B77*100)</f>
        <v/>
      </c>
      <c r="D77" s="19" t="n">
        <v>366</v>
      </c>
      <c r="E77" s="18" t="n">
        <v>35.47001208</v>
      </c>
      <c r="F77" s="20" t="n">
        <v>2.76058533</v>
      </c>
      <c r="G77" s="18" t="n">
        <v>33.03246281</v>
      </c>
      <c r="H77" s="20" t="n">
        <v>2.69253215</v>
      </c>
      <c r="I77" s="18" t="s">
        <v>431</v>
      </c>
      <c r="J77" s="20" t="s">
        <v>431</v>
      </c>
      <c r="K77" s="18" t="n">
        <v>0.30215102</v>
      </c>
      <c r="L77" s="20" t="n">
        <v>0.30384321</v>
      </c>
      <c r="M77" s="18" t="n">
        <v>0.30215502</v>
      </c>
      <c r="N77" s="20" t="n">
        <v>0.31081785</v>
      </c>
      <c r="O77" s="18" t="n">
        <v>0</v>
      </c>
      <c r="P77" s="20" t="n">
        <v>0</v>
      </c>
      <c r="Q77" s="18" t="n">
        <v>30.89321907</v>
      </c>
      <c r="R77" s="20" t="n">
        <v>2.75513005</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(3661.0/B81*100)</f>
        <v/>
      </c>
      <c r="D81" s="19" t="n">
        <v>502</v>
      </c>
      <c r="E81" s="18" t="n">
        <v>62.42340744</v>
      </c>
      <c r="F81" s="20" t="n">
        <v>3.0541286</v>
      </c>
      <c r="G81" s="18" t="n">
        <v>22.76742332</v>
      </c>
      <c r="H81" s="20" t="n">
        <v>2.62811784</v>
      </c>
      <c r="I81" s="18" t="s">
        <v>431</v>
      </c>
      <c r="J81" s="20" t="s">
        <v>431</v>
      </c>
      <c r="K81" s="18" t="n">
        <v>0.4438975</v>
      </c>
      <c r="L81" s="20" t="n">
        <v>0.43783924</v>
      </c>
      <c r="M81" s="18" t="n">
        <v>0</v>
      </c>
      <c r="N81" s="20" t="n">
        <v>0</v>
      </c>
      <c r="O81" s="18" t="n">
        <v>0</v>
      </c>
      <c r="P81" s="20" t="n">
        <v>0</v>
      </c>
      <c r="Q81" s="18" t="n">
        <v>14.36527174</v>
      </c>
      <c r="R81" s="20" t="n">
        <v>1.95663596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(6494.0/B7*100)</f>
        <v/>
      </c>
      <c r="D7" s="19" t="n">
        <v>873</v>
      </c>
      <c r="E7" s="18" t="n">
        <v>18.63280161</v>
      </c>
      <c r="F7" s="20" t="n">
        <v>1.42709406</v>
      </c>
      <c r="G7" s="18" t="n">
        <v>73.35421055</v>
      </c>
      <c r="H7" s="20" t="n">
        <v>1.73012051</v>
      </c>
      <c r="I7" s="18" t="s">
        <v>431</v>
      </c>
      <c r="J7" s="20" t="s">
        <v>431</v>
      </c>
      <c r="K7" s="18" t="n">
        <v>0.17758056</v>
      </c>
      <c r="L7" s="20" t="n">
        <v>0.09557547</v>
      </c>
      <c r="M7" s="18" t="n">
        <v>0.05237313</v>
      </c>
      <c r="N7" s="20" t="n">
        <v>0.040178</v>
      </c>
      <c r="O7" s="18" t="n">
        <v>0</v>
      </c>
      <c r="P7" s="20" t="n">
        <v>0</v>
      </c>
      <c r="Q7" s="18" t="n">
        <v>7.78303415</v>
      </c>
      <c r="R7" s="20" t="n">
        <v>1.19436814</v>
      </c>
    </row>
    <row r="8" spans="1:18">
      <c r="A8" s="15" t="s">
        <v>432</v>
      </c>
      <c r="B8" s="17" t="n">
        <v>3564</v>
      </c>
      <c r="C8" s="18">
        <f>(3151.0/B8*100)</f>
        <v/>
      </c>
      <c r="D8" s="19" t="n">
        <v>413</v>
      </c>
      <c r="E8" s="18" t="n">
        <v>21.50983652</v>
      </c>
      <c r="F8" s="20" t="n">
        <v>2.01416893</v>
      </c>
      <c r="G8" s="18" t="n">
        <v>71.99949470999999</v>
      </c>
      <c r="H8" s="20" t="n">
        <v>2.34969613</v>
      </c>
      <c r="I8" s="18" t="s">
        <v>431</v>
      </c>
      <c r="J8" s="20" t="s">
        <v>431</v>
      </c>
      <c r="K8" s="18" t="n">
        <v>0.16643221</v>
      </c>
      <c r="L8" s="20" t="n">
        <v>0.17475891</v>
      </c>
      <c r="M8" s="18" t="n">
        <v>0</v>
      </c>
      <c r="N8" s="20" t="n">
        <v>0</v>
      </c>
      <c r="O8" s="18" t="n">
        <v>0</v>
      </c>
      <c r="P8" s="20" t="n">
        <v>0</v>
      </c>
      <c r="Q8" s="18" t="n">
        <v>6.32423657</v>
      </c>
      <c r="R8" s="20" t="n">
        <v>1.30993583</v>
      </c>
    </row>
    <row r="9" spans="1:18">
      <c r="A9" s="15" t="s">
        <v>433</v>
      </c>
      <c r="B9" s="17" t="n">
        <v>4899</v>
      </c>
      <c r="C9" s="18">
        <f>(4313.0/B9*100)</f>
        <v/>
      </c>
      <c r="D9" s="19" t="n">
        <v>586</v>
      </c>
      <c r="E9" s="18" t="n">
        <v>19.86515668</v>
      </c>
      <c r="F9" s="20" t="n">
        <v>1.71300248</v>
      </c>
      <c r="G9" s="18" t="n">
        <v>72.41591979</v>
      </c>
      <c r="H9" s="20" t="n">
        <v>2.51804265</v>
      </c>
      <c r="I9" s="18" t="s">
        <v>431</v>
      </c>
      <c r="J9" s="20" t="s">
        <v>431</v>
      </c>
      <c r="K9" s="18" t="n">
        <v>0.15203977</v>
      </c>
      <c r="L9" s="20" t="n">
        <v>0.14797007</v>
      </c>
      <c r="M9" s="18" t="n">
        <v>0.28968144</v>
      </c>
      <c r="N9" s="20" t="n">
        <v>0.20889363</v>
      </c>
      <c r="O9" s="18" t="n">
        <v>0</v>
      </c>
      <c r="P9" s="20" t="n">
        <v>0</v>
      </c>
      <c r="Q9" s="18" t="n">
        <v>7.27720232</v>
      </c>
      <c r="R9" s="20" t="n">
        <v>1.77950552</v>
      </c>
    </row>
    <row r="10" spans="1:18">
      <c r="A10" s="15" t="s">
        <v>434</v>
      </c>
      <c r="B10" s="17" t="n">
        <v>10036</v>
      </c>
      <c r="C10" s="18">
        <f>(8809.0/B10*100)</f>
        <v/>
      </c>
      <c r="D10" s="19" t="n">
        <v>1227</v>
      </c>
      <c r="E10" s="18" t="n">
        <v>16.514691</v>
      </c>
      <c r="F10" s="20" t="n">
        <v>1.51370786</v>
      </c>
      <c r="G10" s="18" t="n">
        <v>77.76572087</v>
      </c>
      <c r="H10" s="20" t="n">
        <v>1.82969007</v>
      </c>
      <c r="I10" s="18" t="s">
        <v>431</v>
      </c>
      <c r="J10" s="20" t="s">
        <v>431</v>
      </c>
      <c r="K10" s="18" t="n">
        <v>0.69905726</v>
      </c>
      <c r="L10" s="20" t="n">
        <v>0.34345246</v>
      </c>
      <c r="M10" s="18" t="n">
        <v>0</v>
      </c>
      <c r="N10" s="20" t="n">
        <v>0</v>
      </c>
      <c r="O10" s="18" t="n">
        <v>0</v>
      </c>
      <c r="P10" s="20" t="n">
        <v>0</v>
      </c>
      <c r="Q10" s="18" t="n">
        <v>5.02053087</v>
      </c>
      <c r="R10" s="20" t="n">
        <v>0.8747663</v>
      </c>
    </row>
    <row r="11" spans="1:18">
      <c r="A11" s="15" t="s">
        <v>435</v>
      </c>
      <c r="B11" s="17" t="n">
        <v>3553</v>
      </c>
      <c r="C11" s="18">
        <f>(3103.0/B11*100)</f>
        <v/>
      </c>
      <c r="D11" s="19" t="n">
        <v>450</v>
      </c>
      <c r="E11" s="18" t="n">
        <v>25.5837687</v>
      </c>
      <c r="F11" s="20" t="n">
        <v>2.30472563</v>
      </c>
      <c r="G11" s="18" t="n">
        <v>67.26757512</v>
      </c>
      <c r="H11" s="20" t="n">
        <v>2.5840459</v>
      </c>
      <c r="I11" s="18" t="s">
        <v>431</v>
      </c>
      <c r="J11" s="20" t="s">
        <v>431</v>
      </c>
      <c r="K11" s="18" t="n">
        <v>0.67444537</v>
      </c>
      <c r="L11" s="20" t="n">
        <v>0.67478978</v>
      </c>
      <c r="M11" s="18" t="n">
        <v>0</v>
      </c>
      <c r="N11" s="20" t="n">
        <v>0</v>
      </c>
      <c r="O11" s="18" t="n">
        <v>0</v>
      </c>
      <c r="P11" s="20" t="n">
        <v>0</v>
      </c>
      <c r="Q11" s="18" t="n">
        <v>6.47421081</v>
      </c>
      <c r="R11" s="20" t="n">
        <v>1.20125322</v>
      </c>
    </row>
    <row r="12" spans="1:18">
      <c r="A12" s="15" t="s">
        <v>436</v>
      </c>
      <c r="B12" s="17" t="n">
        <v>3472</v>
      </c>
      <c r="C12" s="18">
        <f>(3042.0/B12*100)</f>
        <v/>
      </c>
      <c r="D12" s="19" t="n">
        <v>430</v>
      </c>
      <c r="E12" s="18" t="n">
        <v>22.69209217</v>
      </c>
      <c r="F12" s="20" t="n">
        <v>2.86246495</v>
      </c>
      <c r="G12" s="18" t="n">
        <v>66.56467258000001</v>
      </c>
      <c r="H12" s="20" t="n">
        <v>2.97220992</v>
      </c>
      <c r="I12" s="18" t="s">
        <v>431</v>
      </c>
      <c r="J12" s="20" t="s">
        <v>431</v>
      </c>
      <c r="K12" s="18" t="n">
        <v>0</v>
      </c>
      <c r="L12" s="20" t="n">
        <v>0</v>
      </c>
      <c r="M12" s="18" t="n">
        <v>0.13853796</v>
      </c>
      <c r="N12" s="20" t="n">
        <v>0.18348223</v>
      </c>
      <c r="O12" s="18" t="n">
        <v>0</v>
      </c>
      <c r="P12" s="20" t="n">
        <v>0</v>
      </c>
      <c r="Q12" s="18" t="n">
        <v>10.60469729</v>
      </c>
      <c r="R12" s="20" t="n">
        <v>1.89121009</v>
      </c>
    </row>
    <row r="13" spans="1:18">
      <c r="A13" s="15" t="s">
        <v>437</v>
      </c>
      <c r="B13" s="17" t="n">
        <v>3559</v>
      </c>
      <c r="C13" s="18">
        <f>(3145.0/B13*100)</f>
        <v/>
      </c>
      <c r="D13" s="19" t="n">
        <v>414</v>
      </c>
      <c r="E13" s="18" t="n">
        <v>15.53157204</v>
      </c>
      <c r="F13" s="20" t="n">
        <v>2.03528748</v>
      </c>
      <c r="G13" s="18" t="n">
        <v>63.41962296</v>
      </c>
      <c r="H13" s="20" t="n">
        <v>2.87939728</v>
      </c>
      <c r="I13" s="18" t="s">
        <v>431</v>
      </c>
      <c r="J13" s="20" t="s">
        <v>431</v>
      </c>
      <c r="K13" s="18" t="n">
        <v>1.23863769</v>
      </c>
      <c r="L13" s="20" t="n">
        <v>0.66751483</v>
      </c>
      <c r="M13" s="18" t="n">
        <v>0</v>
      </c>
      <c r="N13" s="20" t="n">
        <v>0</v>
      </c>
      <c r="O13" s="18" t="n">
        <v>0</v>
      </c>
      <c r="P13" s="20" t="n">
        <v>0</v>
      </c>
      <c r="Q13" s="18" t="n">
        <v>19.81016731</v>
      </c>
      <c r="R13" s="20" t="n">
        <v>2.71357036</v>
      </c>
    </row>
    <row r="14" spans="1:18">
      <c r="A14" s="15" t="s">
        <v>438</v>
      </c>
      <c r="B14" s="17" t="n">
        <v>2799</v>
      </c>
      <c r="C14" s="18">
        <f>(2461.0/B14*100)</f>
        <v/>
      </c>
      <c r="D14" s="19" t="n">
        <v>338</v>
      </c>
      <c r="E14" s="18" t="n">
        <v>26.92355322</v>
      </c>
      <c r="F14" s="20" t="n">
        <v>3.01345671</v>
      </c>
      <c r="G14" s="18" t="n">
        <v>63.04539802</v>
      </c>
      <c r="H14" s="20" t="n">
        <v>3.10634178</v>
      </c>
      <c r="I14" s="18" t="s">
        <v>431</v>
      </c>
      <c r="J14" s="20" t="s">
        <v>431</v>
      </c>
      <c r="K14" s="18" t="n">
        <v>0.23275602</v>
      </c>
      <c r="L14" s="20" t="n">
        <v>0.2441537</v>
      </c>
      <c r="M14" s="18" t="n">
        <v>0</v>
      </c>
      <c r="N14" s="20" t="n">
        <v>0</v>
      </c>
      <c r="O14" s="18" t="n">
        <v>0</v>
      </c>
      <c r="P14" s="20" t="n">
        <v>0</v>
      </c>
      <c r="Q14" s="18" t="n">
        <v>9.79829275</v>
      </c>
      <c r="R14" s="20" t="n">
        <v>2.13336476</v>
      </c>
    </row>
    <row r="15" spans="1:18">
      <c r="A15" s="15" t="s">
        <v>439</v>
      </c>
      <c r="B15" s="17" t="n">
        <v>3019</v>
      </c>
      <c r="C15" s="18">
        <f>(2644.0/B15*100)</f>
        <v/>
      </c>
      <c r="D15" s="19" t="n">
        <v>375</v>
      </c>
      <c r="E15" s="18" t="n">
        <v>14.62192764</v>
      </c>
      <c r="F15" s="20" t="n">
        <v>1.95100975</v>
      </c>
      <c r="G15" s="18" t="n">
        <v>80.31568772999999</v>
      </c>
      <c r="H15" s="20" t="n">
        <v>2.30593836</v>
      </c>
      <c r="I15" s="18" t="s">
        <v>431</v>
      </c>
      <c r="J15" s="20" t="s">
        <v>431</v>
      </c>
      <c r="K15" s="18" t="n">
        <v>0.78875576</v>
      </c>
      <c r="L15" s="20" t="n">
        <v>0.45005194</v>
      </c>
      <c r="M15" s="18" t="n">
        <v>0</v>
      </c>
      <c r="N15" s="20" t="n">
        <v>0</v>
      </c>
      <c r="O15" s="18" t="n">
        <v>0</v>
      </c>
      <c r="P15" s="20" t="n">
        <v>0</v>
      </c>
      <c r="Q15" s="18" t="n">
        <v>4.27362887</v>
      </c>
      <c r="R15" s="20" t="n">
        <v>0.92137419</v>
      </c>
    </row>
    <row r="16" spans="1:18">
      <c r="A16" s="15" t="s">
        <v>440</v>
      </c>
      <c r="B16" s="17" t="n">
        <v>2997</v>
      </c>
      <c r="C16" s="18">
        <f>(2615.0/B16*100)</f>
        <v/>
      </c>
      <c r="D16" s="19" t="n">
        <v>382</v>
      </c>
      <c r="E16" s="18" t="n">
        <v>17.81347059</v>
      </c>
      <c r="F16" s="20" t="n">
        <v>1.94388251</v>
      </c>
      <c r="G16" s="18" t="n">
        <v>72.88740597</v>
      </c>
      <c r="H16" s="20" t="n">
        <v>2.23669042</v>
      </c>
      <c r="I16" s="18" t="s">
        <v>431</v>
      </c>
      <c r="J16" s="20" t="s">
        <v>431</v>
      </c>
      <c r="K16" s="18" t="n">
        <v>1.31526195</v>
      </c>
      <c r="L16" s="20" t="n">
        <v>0.65978534</v>
      </c>
      <c r="M16" s="18" t="n">
        <v>0</v>
      </c>
      <c r="N16" s="20" t="n">
        <v>0</v>
      </c>
      <c r="O16" s="18" t="n">
        <v>0</v>
      </c>
      <c r="P16" s="20" t="n">
        <v>0</v>
      </c>
      <c r="Q16" s="18" t="n">
        <v>7.98386149</v>
      </c>
      <c r="R16" s="20" t="n">
        <v>1.36434991</v>
      </c>
    </row>
    <row r="17" spans="1:18">
      <c r="A17" s="15" t="s">
        <v>441</v>
      </c>
      <c r="B17" s="17" t="n">
        <v>3307</v>
      </c>
      <c r="C17" s="18">
        <f>(2904.0/B17*100)</f>
        <v/>
      </c>
      <c r="D17" s="19" t="n">
        <v>403</v>
      </c>
      <c r="E17" s="18" t="n">
        <v>16.10193013</v>
      </c>
      <c r="F17" s="20" t="n">
        <v>2.67741343</v>
      </c>
      <c r="G17" s="18" t="n">
        <v>78.10244698</v>
      </c>
      <c r="H17" s="20" t="n">
        <v>3.39898824</v>
      </c>
      <c r="I17" s="18" t="s">
        <v>431</v>
      </c>
      <c r="J17" s="20" t="s">
        <v>431</v>
      </c>
      <c r="K17" s="18" t="n">
        <v>0.24976989</v>
      </c>
      <c r="L17" s="20" t="n">
        <v>0.25131579</v>
      </c>
      <c r="M17" s="18" t="n">
        <v>0</v>
      </c>
      <c r="N17" s="20" t="n">
        <v>0</v>
      </c>
      <c r="O17" s="18" t="n">
        <v>0</v>
      </c>
      <c r="P17" s="20" t="n">
        <v>0</v>
      </c>
      <c r="Q17" s="18" t="n">
        <v>5.545853</v>
      </c>
      <c r="R17" s="20" t="n">
        <v>1.39687669</v>
      </c>
    </row>
    <row r="18" spans="1:18">
      <c r="A18" s="15" t="s">
        <v>442</v>
      </c>
      <c r="B18" s="17" t="n">
        <v>2826</v>
      </c>
      <c r="C18" s="18">
        <f>(2500.0/B18*100)</f>
        <v/>
      </c>
      <c r="D18" s="19" t="n">
        <v>326</v>
      </c>
      <c r="E18" s="18" t="n">
        <v>31.62271079</v>
      </c>
      <c r="F18" s="20" t="n">
        <v>2.78215992</v>
      </c>
      <c r="G18" s="18" t="n">
        <v>54.24872881</v>
      </c>
      <c r="H18" s="20" t="n">
        <v>3.15635978</v>
      </c>
      <c r="I18" s="18" t="s">
        <v>431</v>
      </c>
      <c r="J18" s="20" t="s">
        <v>431</v>
      </c>
      <c r="K18" s="18" t="n">
        <v>0</v>
      </c>
      <c r="L18" s="20" t="n">
        <v>0</v>
      </c>
      <c r="M18" s="18" t="n">
        <v>0</v>
      </c>
      <c r="N18" s="20" t="n">
        <v>0</v>
      </c>
      <c r="O18" s="18" t="n">
        <v>0</v>
      </c>
      <c r="P18" s="20" t="n">
        <v>0</v>
      </c>
      <c r="Q18" s="18" t="n">
        <v>14.1285604</v>
      </c>
      <c r="R18" s="20" t="n">
        <v>2.70151063</v>
      </c>
    </row>
    <row r="19" spans="1:18">
      <c r="A19" s="15" t="s">
        <v>443</v>
      </c>
      <c r="B19" s="17" t="n">
        <v>2808</v>
      </c>
      <c r="C19" s="18">
        <f>(2465.0/B19*100)</f>
        <v/>
      </c>
      <c r="D19" s="19" t="n">
        <v>343</v>
      </c>
      <c r="E19" s="18" t="n">
        <v>20.32358997</v>
      </c>
      <c r="F19" s="20" t="n">
        <v>2.39270238</v>
      </c>
      <c r="G19" s="18" t="n">
        <v>56.25148594</v>
      </c>
      <c r="H19" s="20" t="n">
        <v>2.90146143</v>
      </c>
      <c r="I19" s="18" t="s">
        <v>431</v>
      </c>
      <c r="J19" s="20" t="s">
        <v>431</v>
      </c>
      <c r="K19" s="18" t="n">
        <v>0.67423694</v>
      </c>
      <c r="L19" s="20" t="n">
        <v>0.63697525</v>
      </c>
      <c r="M19" s="18" t="n">
        <v>0</v>
      </c>
      <c r="N19" s="20" t="n">
        <v>0</v>
      </c>
      <c r="O19" s="18" t="n">
        <v>0</v>
      </c>
      <c r="P19" s="20" t="n">
        <v>0</v>
      </c>
      <c r="Q19" s="18" t="n">
        <v>22.75068715</v>
      </c>
      <c r="R19" s="20" t="n">
        <v>2.57235509</v>
      </c>
    </row>
    <row r="20" spans="1:18">
      <c r="A20" s="15" t="s">
        <v>444</v>
      </c>
      <c r="B20" s="17" t="n">
        <v>1630</v>
      </c>
      <c r="C20" s="18">
        <f>(1422.0/B20*100)</f>
        <v/>
      </c>
      <c r="D20" s="19" t="n">
        <v>208</v>
      </c>
      <c r="E20" s="18" t="n">
        <v>18.79941052</v>
      </c>
      <c r="F20" s="20" t="n">
        <v>2.77084612</v>
      </c>
      <c r="G20" s="18" t="n">
        <v>52.93317753</v>
      </c>
      <c r="H20" s="20" t="n">
        <v>3.66797335</v>
      </c>
      <c r="I20" s="18" t="s">
        <v>431</v>
      </c>
      <c r="J20" s="20" t="s">
        <v>431</v>
      </c>
      <c r="K20" s="18" t="n">
        <v>1.04801097</v>
      </c>
      <c r="L20" s="20" t="n">
        <v>0.70977011</v>
      </c>
      <c r="M20" s="18" t="n">
        <v>1.56818978</v>
      </c>
      <c r="N20" s="20" t="n">
        <v>0.7837010599999999</v>
      </c>
      <c r="O20" s="18" t="n">
        <v>0</v>
      </c>
      <c r="P20" s="20" t="n">
        <v>0</v>
      </c>
      <c r="Q20" s="18" t="n">
        <v>25.65121121</v>
      </c>
      <c r="R20" s="20" t="n">
        <v>2.73833128</v>
      </c>
    </row>
    <row r="21" spans="1:18">
      <c r="A21" s="15" t="s">
        <v>445</v>
      </c>
      <c r="B21" s="17" t="n">
        <v>2908</v>
      </c>
      <c r="C21" s="18">
        <f>(2433.0/B21*100)</f>
        <v/>
      </c>
      <c r="D21" s="19" t="n">
        <v>475</v>
      </c>
      <c r="E21" s="18" t="n">
        <v>13.67632225</v>
      </c>
      <c r="F21" s="20" t="n">
        <v>1.64958937</v>
      </c>
      <c r="G21" s="18" t="n">
        <v>81.51008684999999</v>
      </c>
      <c r="H21" s="20" t="n">
        <v>1.63694954</v>
      </c>
      <c r="I21" s="18" t="s">
        <v>431</v>
      </c>
      <c r="J21" s="20" t="s">
        <v>431</v>
      </c>
      <c r="K21" s="18" t="n">
        <v>0</v>
      </c>
      <c r="L21" s="20" t="n">
        <v>0</v>
      </c>
      <c r="M21" s="18" t="n">
        <v>0</v>
      </c>
      <c r="N21" s="20" t="n">
        <v>0</v>
      </c>
      <c r="O21" s="18" t="n">
        <v>0</v>
      </c>
      <c r="P21" s="20" t="n">
        <v>0</v>
      </c>
      <c r="Q21" s="18" t="n">
        <v>4.8135909</v>
      </c>
      <c r="R21" s="20" t="n">
        <v>0.98902671</v>
      </c>
    </row>
    <row r="22" spans="1:18">
      <c r="A22" s="15" t="s">
        <v>446</v>
      </c>
      <c r="B22" s="17" t="n">
        <v>2931</v>
      </c>
      <c r="C22" s="18">
        <f>(2559.0/B22*100)</f>
        <v/>
      </c>
      <c r="D22" s="19" t="n">
        <v>372</v>
      </c>
      <c r="E22" s="18" t="n">
        <v>22.31988148</v>
      </c>
      <c r="F22" s="20" t="n">
        <v>2.44745171</v>
      </c>
      <c r="G22" s="18" t="n">
        <v>69.50365441</v>
      </c>
      <c r="H22" s="20" t="n">
        <v>2.43485659</v>
      </c>
      <c r="I22" s="18" t="s">
        <v>431</v>
      </c>
      <c r="J22" s="20" t="s">
        <v>431</v>
      </c>
      <c r="K22" s="18" t="n">
        <v>0</v>
      </c>
      <c r="L22" s="20" t="n">
        <v>0</v>
      </c>
      <c r="M22" s="18" t="n">
        <v>0</v>
      </c>
      <c r="N22" s="20" t="n">
        <v>0</v>
      </c>
      <c r="O22" s="18" t="n">
        <v>0</v>
      </c>
      <c r="P22" s="20" t="n">
        <v>0</v>
      </c>
      <c r="Q22" s="18" t="n">
        <v>8.17646411</v>
      </c>
      <c r="R22" s="20" t="n">
        <v>1.34319034</v>
      </c>
    </row>
    <row r="23" spans="1:18">
      <c r="A23" s="15" t="s">
        <v>447</v>
      </c>
      <c r="B23" s="17" t="n">
        <v>5791</v>
      </c>
      <c r="C23" s="18">
        <f>(5058.0/B23*100)</f>
        <v/>
      </c>
      <c r="D23" s="19" t="n">
        <v>733</v>
      </c>
      <c r="E23" s="18" t="n">
        <v>16.80190532</v>
      </c>
      <c r="F23" s="20" t="n">
        <v>2.06628618</v>
      </c>
      <c r="G23" s="18" t="n">
        <v>72.45401356000001</v>
      </c>
      <c r="H23" s="20" t="n">
        <v>2.6744924</v>
      </c>
      <c r="I23" s="18" t="s">
        <v>431</v>
      </c>
      <c r="J23" s="20" t="s">
        <v>431</v>
      </c>
      <c r="K23" s="18" t="n">
        <v>0.00716088</v>
      </c>
      <c r="L23" s="20" t="n">
        <v>0.00714884</v>
      </c>
      <c r="M23" s="18" t="n">
        <v>0.82472215</v>
      </c>
      <c r="N23" s="20" t="n">
        <v>0.52134045</v>
      </c>
      <c r="O23" s="18" t="n">
        <v>0</v>
      </c>
      <c r="P23" s="20" t="n">
        <v>0</v>
      </c>
      <c r="Q23" s="18" t="n">
        <v>9.91219809</v>
      </c>
      <c r="R23" s="20" t="n">
        <v>2.03538867</v>
      </c>
    </row>
    <row r="24" spans="1:18">
      <c r="A24" s="15" t="s">
        <v>448</v>
      </c>
      <c r="B24" s="17" t="n">
        <v>3338</v>
      </c>
      <c r="C24" s="18">
        <f>(2921.0/B24*100)</f>
        <v/>
      </c>
      <c r="D24" s="19" t="n">
        <v>417</v>
      </c>
      <c r="E24" s="18" t="n">
        <v>15.31399421</v>
      </c>
      <c r="F24" s="20" t="n">
        <v>1.41889371</v>
      </c>
      <c r="G24" s="18" t="n">
        <v>79.91188133999999</v>
      </c>
      <c r="H24" s="20" t="n">
        <v>1.80352053</v>
      </c>
      <c r="I24" s="18" t="s">
        <v>431</v>
      </c>
      <c r="J24" s="20" t="s">
        <v>431</v>
      </c>
      <c r="K24" s="18" t="n">
        <v>0</v>
      </c>
      <c r="L24" s="20" t="n">
        <v>0</v>
      </c>
      <c r="M24" s="18" t="n">
        <v>0</v>
      </c>
      <c r="N24" s="20" t="n">
        <v>0</v>
      </c>
      <c r="O24" s="18" t="n">
        <v>0</v>
      </c>
      <c r="P24" s="20" t="n">
        <v>0</v>
      </c>
      <c r="Q24" s="18" t="n">
        <v>4.77412446</v>
      </c>
      <c r="R24" s="20" t="n">
        <v>1.00689011</v>
      </c>
    </row>
    <row r="25" spans="1:18">
      <c r="A25" s="15" t="s">
        <v>449</v>
      </c>
      <c r="B25" s="17" t="n">
        <v>2912</v>
      </c>
      <c r="C25" s="18">
        <f>(2567.0/B25*100)</f>
        <v/>
      </c>
      <c r="D25" s="19" t="n">
        <v>345</v>
      </c>
      <c r="E25" s="18" t="n">
        <v>14.87338692</v>
      </c>
      <c r="F25" s="20" t="n">
        <v>2.19956016</v>
      </c>
      <c r="G25" s="18" t="n">
        <v>79.7132419</v>
      </c>
      <c r="H25" s="20" t="n">
        <v>2.6003335</v>
      </c>
      <c r="I25" s="18" t="s">
        <v>431</v>
      </c>
      <c r="J25" s="20" t="s">
        <v>431</v>
      </c>
      <c r="K25" s="18" t="n">
        <v>0.27989506</v>
      </c>
      <c r="L25" s="20" t="n">
        <v>0.27644211</v>
      </c>
      <c r="M25" s="18" t="n">
        <v>0</v>
      </c>
      <c r="N25" s="20" t="n">
        <v>0</v>
      </c>
      <c r="O25" s="18" t="n">
        <v>0</v>
      </c>
      <c r="P25" s="20" t="n">
        <v>0</v>
      </c>
      <c r="Q25" s="18" t="n">
        <v>5.13347613</v>
      </c>
      <c r="R25" s="20" t="n">
        <v>1.45871153</v>
      </c>
    </row>
    <row r="26" spans="1:18">
      <c r="A26" s="15" t="s">
        <v>450</v>
      </c>
      <c r="B26" s="17" t="n">
        <v>2450</v>
      </c>
      <c r="C26" s="18">
        <f>(2156.0/B26*100)</f>
        <v/>
      </c>
      <c r="D26" s="19" t="n">
        <v>294</v>
      </c>
      <c r="E26" s="18" t="n">
        <v>33.71680188</v>
      </c>
      <c r="F26" s="20" t="n">
        <v>2.61483951</v>
      </c>
      <c r="G26" s="18" t="n">
        <v>60.06042127</v>
      </c>
      <c r="H26" s="20" t="n">
        <v>2.78455649</v>
      </c>
      <c r="I26" s="18" t="s">
        <v>431</v>
      </c>
      <c r="J26" s="20" t="s">
        <v>431</v>
      </c>
      <c r="K26" s="18" t="n">
        <v>0</v>
      </c>
      <c r="L26" s="20" t="n">
        <v>0</v>
      </c>
      <c r="M26" s="18" t="n">
        <v>0.67741014</v>
      </c>
      <c r="N26" s="20" t="n">
        <v>0.68348042</v>
      </c>
      <c r="O26" s="18" t="n">
        <v>0</v>
      </c>
      <c r="P26" s="20" t="n">
        <v>0</v>
      </c>
      <c r="Q26" s="18" t="n">
        <v>5.5453667</v>
      </c>
      <c r="R26" s="20" t="n">
        <v>1.56516313</v>
      </c>
    </row>
    <row r="27" spans="1:18">
      <c r="A27" s="15" t="s">
        <v>451</v>
      </c>
      <c r="B27" s="17" t="n">
        <v>2616</v>
      </c>
      <c r="C27" s="18">
        <f>(2283.0/B27*100)</f>
        <v/>
      </c>
      <c r="D27" s="19" t="n">
        <v>333</v>
      </c>
      <c r="E27" s="18" t="n">
        <v>16.37102628</v>
      </c>
      <c r="F27" s="20" t="n">
        <v>2.14215782</v>
      </c>
      <c r="G27" s="18" t="n">
        <v>76.08945605</v>
      </c>
      <c r="H27" s="20" t="n">
        <v>2.53092558</v>
      </c>
      <c r="I27" s="18" t="s">
        <v>431</v>
      </c>
      <c r="J27" s="20" t="s">
        <v>431</v>
      </c>
      <c r="K27" s="18" t="n">
        <v>0.29826066</v>
      </c>
      <c r="L27" s="20" t="n">
        <v>0.29680748</v>
      </c>
      <c r="M27" s="18" t="n">
        <v>0</v>
      </c>
      <c r="N27" s="20" t="n">
        <v>0</v>
      </c>
      <c r="O27" s="18" t="n">
        <v>0</v>
      </c>
      <c r="P27" s="20" t="n">
        <v>0</v>
      </c>
      <c r="Q27" s="18" t="n">
        <v>7.24125701</v>
      </c>
      <c r="R27" s="20" t="n">
        <v>1.27818344</v>
      </c>
    </row>
    <row r="28" spans="1:18">
      <c r="A28" s="15" t="s">
        <v>452</v>
      </c>
      <c r="B28" s="17" t="n">
        <v>3765</v>
      </c>
      <c r="C28" s="18">
        <f>(3341.0/B28*100)</f>
        <v/>
      </c>
      <c r="D28" s="19" t="n">
        <v>424</v>
      </c>
      <c r="E28" s="18" t="n">
        <v>39.3936441</v>
      </c>
      <c r="F28" s="20" t="n">
        <v>3.1606903</v>
      </c>
      <c r="G28" s="18" t="n">
        <v>54.97757399</v>
      </c>
      <c r="H28" s="20" t="n">
        <v>3.39178402</v>
      </c>
      <c r="I28" s="18" t="s">
        <v>431</v>
      </c>
      <c r="J28" s="20" t="s">
        <v>431</v>
      </c>
      <c r="K28" s="18" t="n">
        <v>0.23008862</v>
      </c>
      <c r="L28" s="20" t="n">
        <v>0.25056668</v>
      </c>
      <c r="M28" s="18" t="n">
        <v>0</v>
      </c>
      <c r="N28" s="20" t="n">
        <v>0</v>
      </c>
      <c r="O28" s="18" t="n">
        <v>0</v>
      </c>
      <c r="P28" s="20" t="n">
        <v>0</v>
      </c>
      <c r="Q28" s="18" t="n">
        <v>5.39869328</v>
      </c>
      <c r="R28" s="20" t="n">
        <v>1.2736802</v>
      </c>
    </row>
    <row r="29" spans="1:18">
      <c r="A29" s="15" t="s">
        <v>453</v>
      </c>
      <c r="B29" s="17" t="n">
        <v>2685</v>
      </c>
      <c r="C29" s="18">
        <f>(2357.0/B29*100)</f>
        <v/>
      </c>
      <c r="D29" s="19" t="n">
        <v>328</v>
      </c>
      <c r="E29" s="18" t="n">
        <v>13.72853614</v>
      </c>
      <c r="F29" s="20" t="n">
        <v>2.14536627</v>
      </c>
      <c r="G29" s="18" t="n">
        <v>82.57205085</v>
      </c>
      <c r="H29" s="20" t="n">
        <v>2.37995505</v>
      </c>
      <c r="I29" s="18" t="s">
        <v>431</v>
      </c>
      <c r="J29" s="20" t="s">
        <v>431</v>
      </c>
      <c r="K29" s="18" t="n">
        <v>0</v>
      </c>
      <c r="L29" s="20" t="n">
        <v>0</v>
      </c>
      <c r="M29" s="18" t="n">
        <v>0</v>
      </c>
      <c r="N29" s="20" t="n">
        <v>0</v>
      </c>
      <c r="O29" s="18" t="n">
        <v>0</v>
      </c>
      <c r="P29" s="20" t="n">
        <v>0</v>
      </c>
      <c r="Q29" s="18" t="n">
        <v>3.699413</v>
      </c>
      <c r="R29" s="20" t="n">
        <v>1.28504871</v>
      </c>
    </row>
    <row r="30" spans="1:18">
      <c r="A30" s="15" t="s">
        <v>454</v>
      </c>
      <c r="B30" s="17" t="n">
        <v>2263</v>
      </c>
      <c r="C30" s="18">
        <f>(1974.0/B30*100)</f>
        <v/>
      </c>
      <c r="D30" s="19" t="n">
        <v>289</v>
      </c>
      <c r="E30" s="18" t="n">
        <v>17.61185262</v>
      </c>
      <c r="F30" s="20" t="n">
        <v>2.18676032</v>
      </c>
      <c r="G30" s="18" t="n">
        <v>72.72607972</v>
      </c>
      <c r="H30" s="20" t="n">
        <v>2.25451746</v>
      </c>
      <c r="I30" s="18" t="s">
        <v>431</v>
      </c>
      <c r="J30" s="20" t="s">
        <v>431</v>
      </c>
      <c r="K30" s="18" t="n">
        <v>0.43552005</v>
      </c>
      <c r="L30" s="20" t="n">
        <v>0.44166138</v>
      </c>
      <c r="M30" s="18" t="n">
        <v>0.5061808</v>
      </c>
      <c r="N30" s="20" t="n">
        <v>0.49770646</v>
      </c>
      <c r="O30" s="18" t="n">
        <v>0</v>
      </c>
      <c r="P30" s="20" t="n">
        <v>0</v>
      </c>
      <c r="Q30" s="18" t="n">
        <v>8.720366800000001</v>
      </c>
      <c r="R30" s="20" t="n">
        <v>1.43943513</v>
      </c>
    </row>
    <row r="31" spans="1:18">
      <c r="A31" s="15" t="s">
        <v>455</v>
      </c>
      <c r="B31" s="17" t="n">
        <v>2750</v>
      </c>
      <c r="C31" s="18">
        <f>(2419.0/B31*100)</f>
        <v/>
      </c>
      <c r="D31" s="19" t="n">
        <v>331</v>
      </c>
      <c r="E31" s="18" t="n">
        <v>12.86361166</v>
      </c>
      <c r="F31" s="20" t="n">
        <v>1.67602026</v>
      </c>
      <c r="G31" s="18" t="n">
        <v>78.70914088000001</v>
      </c>
      <c r="H31" s="20" t="n">
        <v>2.1347398</v>
      </c>
      <c r="I31" s="18" t="s">
        <v>431</v>
      </c>
      <c r="J31" s="20" t="s">
        <v>431</v>
      </c>
      <c r="K31" s="18" t="n">
        <v>0</v>
      </c>
      <c r="L31" s="20" t="n">
        <v>0</v>
      </c>
      <c r="M31" s="18" t="n">
        <v>0.30203343</v>
      </c>
      <c r="N31" s="20" t="n">
        <v>0.28570866</v>
      </c>
      <c r="O31" s="18" t="n">
        <v>0</v>
      </c>
      <c r="P31" s="20" t="n">
        <v>0</v>
      </c>
      <c r="Q31" s="18" t="n">
        <v>8.12521403</v>
      </c>
      <c r="R31" s="20" t="n">
        <v>1.60482361</v>
      </c>
    </row>
    <row r="32" spans="1:18">
      <c r="A32" s="15" t="s">
        <v>456</v>
      </c>
      <c r="B32" s="17" t="n">
        <v>2269</v>
      </c>
      <c r="C32" s="18">
        <f>(1910.0/B32*100)</f>
        <v/>
      </c>
      <c r="D32" s="19" t="n">
        <v>359</v>
      </c>
      <c r="E32" s="18" t="n">
        <v>22.94118832</v>
      </c>
      <c r="F32" s="20" t="n">
        <v>2.18568289</v>
      </c>
      <c r="G32" s="18" t="n">
        <v>52.02971878</v>
      </c>
      <c r="H32" s="20" t="n">
        <v>3.15383276</v>
      </c>
      <c r="I32" s="18" t="s">
        <v>431</v>
      </c>
      <c r="J32" s="20" t="s">
        <v>431</v>
      </c>
      <c r="K32" s="18" t="n">
        <v>0.2695866</v>
      </c>
      <c r="L32" s="20" t="n">
        <v>0.2525946</v>
      </c>
      <c r="M32" s="18" t="n">
        <v>0.26265068</v>
      </c>
      <c r="N32" s="20" t="n">
        <v>0.26023623</v>
      </c>
      <c r="O32" s="18" t="n">
        <v>0</v>
      </c>
      <c r="P32" s="20" t="n">
        <v>0</v>
      </c>
      <c r="Q32" s="18" t="n">
        <v>24.49685562</v>
      </c>
      <c r="R32" s="20" t="n">
        <v>2.64892907</v>
      </c>
    </row>
    <row r="33" spans="1:18">
      <c r="A33" s="15" t="s">
        <v>457</v>
      </c>
      <c r="B33" s="17" t="n">
        <v>3674</v>
      </c>
      <c r="C33" s="18">
        <f>(3200.0/B33*100)</f>
        <v/>
      </c>
      <c r="D33" s="19" t="n">
        <v>474</v>
      </c>
      <c r="E33" s="18" t="n">
        <v>18.56047585</v>
      </c>
      <c r="F33" s="20" t="n">
        <v>2.1062132</v>
      </c>
      <c r="G33" s="18" t="n">
        <v>66.57982899</v>
      </c>
      <c r="H33" s="20" t="n">
        <v>2.91834848</v>
      </c>
      <c r="I33" s="18" t="s">
        <v>431</v>
      </c>
      <c r="J33" s="20" t="s">
        <v>431</v>
      </c>
      <c r="K33" s="18" t="n">
        <v>0.30018288</v>
      </c>
      <c r="L33" s="20" t="n">
        <v>0.26455963</v>
      </c>
      <c r="M33" s="18" t="n">
        <v>0</v>
      </c>
      <c r="N33" s="20" t="n">
        <v>0</v>
      </c>
      <c r="O33" s="18" t="n">
        <v>0</v>
      </c>
      <c r="P33" s="20" t="n">
        <v>0</v>
      </c>
      <c r="Q33" s="18" t="n">
        <v>14.55951228</v>
      </c>
      <c r="R33" s="20" t="n">
        <v>2.13794512</v>
      </c>
    </row>
    <row r="34" spans="1:18">
      <c r="A34" s="15" t="s">
        <v>458</v>
      </c>
      <c r="B34" s="17" t="n">
        <v>3315</v>
      </c>
      <c r="C34" s="18">
        <f>(2922.0/B34*100)</f>
        <v/>
      </c>
      <c r="D34" s="19" t="n">
        <v>393</v>
      </c>
      <c r="E34" s="18" t="n">
        <v>29.49805486</v>
      </c>
      <c r="F34" s="20" t="n">
        <v>2.68398945</v>
      </c>
      <c r="G34" s="18" t="n">
        <v>60.78020318</v>
      </c>
      <c r="H34" s="20" t="n">
        <v>2.66820546</v>
      </c>
      <c r="I34" s="18" t="s">
        <v>431</v>
      </c>
      <c r="J34" s="20" t="s">
        <v>431</v>
      </c>
      <c r="K34" s="18" t="n">
        <v>0.19693745</v>
      </c>
      <c r="L34" s="20" t="n">
        <v>0.19712194</v>
      </c>
      <c r="M34" s="18" t="n">
        <v>0</v>
      </c>
      <c r="N34" s="20" t="n">
        <v>0</v>
      </c>
      <c r="O34" s="18" t="n">
        <v>0</v>
      </c>
      <c r="P34" s="20" t="n">
        <v>0</v>
      </c>
      <c r="Q34" s="18" t="n">
        <v>9.524804509999999</v>
      </c>
      <c r="R34" s="20" t="n">
        <v>1.81850505</v>
      </c>
    </row>
    <row r="35" spans="1:18">
      <c r="A35" s="15" t="s">
        <v>459</v>
      </c>
      <c r="B35" s="17" t="n">
        <v>3505</v>
      </c>
      <c r="C35" s="18">
        <f>(3070.0/B35*100)</f>
        <v/>
      </c>
      <c r="D35" s="19" t="n">
        <v>435</v>
      </c>
      <c r="E35" s="18" t="n">
        <v>17.07701102</v>
      </c>
      <c r="F35" s="20" t="n">
        <v>2.34013449</v>
      </c>
      <c r="G35" s="18" t="n">
        <v>64.27134486999999</v>
      </c>
      <c r="H35" s="20" t="n">
        <v>3.17713903</v>
      </c>
      <c r="I35" s="18" t="s">
        <v>431</v>
      </c>
      <c r="J35" s="20" t="s">
        <v>431</v>
      </c>
      <c r="K35" s="18" t="n">
        <v>0.13090073</v>
      </c>
      <c r="L35" s="20" t="n">
        <v>0.13064277</v>
      </c>
      <c r="M35" s="18" t="n">
        <v>0.71600348</v>
      </c>
      <c r="N35" s="20" t="n">
        <v>0.71371316</v>
      </c>
      <c r="O35" s="18" t="n">
        <v>0</v>
      </c>
      <c r="P35" s="20" t="n">
        <v>0</v>
      </c>
      <c r="Q35" s="18" t="n">
        <v>17.8047399</v>
      </c>
      <c r="R35" s="20" t="n">
        <v>2.22043244</v>
      </c>
    </row>
    <row r="36" spans="1:18">
      <c r="A36" s="15" t="s">
        <v>460</v>
      </c>
      <c r="B36" s="17" t="n">
        <v>3332</v>
      </c>
      <c r="C36" s="18">
        <f>(2914.0/B36*100)</f>
        <v/>
      </c>
      <c r="D36" s="19" t="n">
        <v>418</v>
      </c>
      <c r="E36" s="18" t="n">
        <v>15.3268178</v>
      </c>
      <c r="F36" s="20" t="n">
        <v>1.6992342</v>
      </c>
      <c r="G36" s="18" t="n">
        <v>77.79139686000001</v>
      </c>
      <c r="H36" s="20" t="n">
        <v>2.18896363</v>
      </c>
      <c r="I36" s="18" t="s">
        <v>431</v>
      </c>
      <c r="J36" s="20" t="s">
        <v>431</v>
      </c>
      <c r="K36" s="18" t="n">
        <v>0</v>
      </c>
      <c r="L36" s="20" t="n">
        <v>0</v>
      </c>
      <c r="M36" s="18" t="n">
        <v>0.5035489399999999</v>
      </c>
      <c r="N36" s="20" t="n">
        <v>0.51622351</v>
      </c>
      <c r="O36" s="18" t="n">
        <v>0</v>
      </c>
      <c r="P36" s="20" t="n">
        <v>0</v>
      </c>
      <c r="Q36" s="18" t="n">
        <v>6.3782364</v>
      </c>
      <c r="R36" s="20" t="n">
        <v>1.36540384</v>
      </c>
    </row>
    <row r="37" spans="1:18">
      <c r="A37" s="15" t="s">
        <v>461</v>
      </c>
      <c r="B37" s="17" t="n">
        <v>2727</v>
      </c>
      <c r="C37" s="18">
        <f>(2378.0/B37*100)</f>
        <v/>
      </c>
      <c r="D37" s="19" t="n">
        <v>349</v>
      </c>
      <c r="E37" s="18" t="n">
        <v>13.929143</v>
      </c>
      <c r="F37" s="20" t="n">
        <v>1.75765512</v>
      </c>
      <c r="G37" s="18" t="n">
        <v>75.73280162</v>
      </c>
      <c r="H37" s="20" t="n">
        <v>2.54143732</v>
      </c>
      <c r="I37" s="18" t="s">
        <v>431</v>
      </c>
      <c r="J37" s="20" t="s">
        <v>431</v>
      </c>
      <c r="K37" s="18" t="n">
        <v>1.41794982</v>
      </c>
      <c r="L37" s="20" t="n">
        <v>0.63663446</v>
      </c>
      <c r="M37" s="18" t="n">
        <v>0</v>
      </c>
      <c r="N37" s="20" t="n">
        <v>0</v>
      </c>
      <c r="O37" s="18" t="n">
        <v>0</v>
      </c>
      <c r="P37" s="20" t="n">
        <v>0</v>
      </c>
      <c r="Q37" s="18" t="n">
        <v>8.92010556</v>
      </c>
      <c r="R37" s="20" t="n">
        <v>1.30645294</v>
      </c>
    </row>
    <row r="38" spans="1:18">
      <c r="A38" s="15" t="s">
        <v>462</v>
      </c>
      <c r="B38" s="17" t="n">
        <v>3053</v>
      </c>
      <c r="C38" s="18">
        <f>(2585.0/B38*100)</f>
        <v/>
      </c>
      <c r="D38" s="19" t="n">
        <v>468</v>
      </c>
      <c r="E38" s="18" t="n">
        <v>17.27035233</v>
      </c>
      <c r="F38" s="20" t="n">
        <v>2.0166626</v>
      </c>
      <c r="G38" s="18" t="n">
        <v>71.66823108</v>
      </c>
      <c r="H38" s="20" t="n">
        <v>2.54199698</v>
      </c>
      <c r="I38" s="18" t="s">
        <v>431</v>
      </c>
      <c r="J38" s="20" t="s">
        <v>431</v>
      </c>
      <c r="K38" s="18" t="n">
        <v>0.3801914</v>
      </c>
      <c r="L38" s="20" t="n">
        <v>0.20669632</v>
      </c>
      <c r="M38" s="18" t="n">
        <v>0.59495454</v>
      </c>
      <c r="N38" s="20" t="n">
        <v>0.43965609</v>
      </c>
      <c r="O38" s="18" t="n">
        <v>0</v>
      </c>
      <c r="P38" s="20" t="n">
        <v>0</v>
      </c>
      <c r="Q38" s="18" t="n">
        <v>10.08627065</v>
      </c>
      <c r="R38" s="20" t="n">
        <v>1.83120929</v>
      </c>
    </row>
    <row r="39" spans="1:18">
      <c r="A39" s="15" t="s">
        <v>463</v>
      </c>
      <c r="B39" s="17" t="n">
        <v>2957</v>
      </c>
      <c r="C39" s="18">
        <f>(2590.0/B39*100)</f>
        <v/>
      </c>
      <c r="D39" s="19" t="n">
        <v>367</v>
      </c>
      <c r="E39" s="18" t="n">
        <v>42.3478151</v>
      </c>
      <c r="F39" s="20" t="n">
        <v>3.3991458</v>
      </c>
      <c r="G39" s="18" t="n">
        <v>43.47913704</v>
      </c>
      <c r="H39" s="20" t="n">
        <v>3.28620026</v>
      </c>
      <c r="I39" s="18" t="s">
        <v>431</v>
      </c>
      <c r="J39" s="20" t="s">
        <v>431</v>
      </c>
      <c r="K39" s="18" t="n">
        <v>0.34303425</v>
      </c>
      <c r="L39" s="20" t="n">
        <v>0.34244493</v>
      </c>
      <c r="M39" s="18" t="n">
        <v>0.23528998</v>
      </c>
      <c r="N39" s="20" t="n">
        <v>0.24228373</v>
      </c>
      <c r="O39" s="18" t="n">
        <v>0</v>
      </c>
      <c r="P39" s="20" t="n">
        <v>0</v>
      </c>
      <c r="Q39" s="18" t="n">
        <v>13.59472363</v>
      </c>
      <c r="R39" s="20" t="n">
        <v>2.05608524</v>
      </c>
    </row>
    <row r="40" spans="1:18">
      <c r="A40" s="15" t="s">
        <v>464</v>
      </c>
      <c r="B40" s="17" t="n">
        <v>7235</v>
      </c>
      <c r="C40" s="18">
        <f>(6331.0/B40*100)</f>
        <v/>
      </c>
      <c r="D40" s="19" t="n">
        <v>904</v>
      </c>
      <c r="E40" s="18" t="n">
        <v>10.94015845</v>
      </c>
      <c r="F40" s="20" t="n">
        <v>1.52287554</v>
      </c>
      <c r="G40" s="18" t="n">
        <v>80.48596677</v>
      </c>
      <c r="H40" s="20" t="n">
        <v>1.74150123</v>
      </c>
      <c r="I40" s="18" t="s">
        <v>431</v>
      </c>
      <c r="J40" s="20" t="s">
        <v>431</v>
      </c>
      <c r="K40" s="18" t="n">
        <v>0.139083</v>
      </c>
      <c r="L40" s="20" t="n">
        <v>0.08617244</v>
      </c>
      <c r="M40" s="18" t="n">
        <v>0.55719353</v>
      </c>
      <c r="N40" s="20" t="n">
        <v>0.40066689</v>
      </c>
      <c r="O40" s="18" t="n">
        <v>0</v>
      </c>
      <c r="P40" s="20" t="n">
        <v>0</v>
      </c>
      <c r="Q40" s="18" t="n">
        <v>7.87759824</v>
      </c>
      <c r="R40" s="20" t="n">
        <v>1.24718474</v>
      </c>
    </row>
    <row r="41" spans="1:18">
      <c r="A41" s="15" t="s">
        <v>465</v>
      </c>
      <c r="B41" s="17" t="n">
        <v>2858</v>
      </c>
      <c r="C41" s="18">
        <f>(2523.0/B41*100)</f>
        <v/>
      </c>
      <c r="D41" s="19" t="n">
        <v>335</v>
      </c>
      <c r="E41" s="18" t="n">
        <v>20.53645767</v>
      </c>
      <c r="F41" s="20" t="n">
        <v>2.71607434</v>
      </c>
      <c r="G41" s="18" t="n">
        <v>75.64010467999999</v>
      </c>
      <c r="H41" s="20" t="n">
        <v>3.08367989</v>
      </c>
      <c r="I41" s="18" t="s">
        <v>431</v>
      </c>
      <c r="J41" s="20" t="s">
        <v>431</v>
      </c>
      <c r="K41" s="18" t="n">
        <v>0</v>
      </c>
      <c r="L41" s="20" t="n">
        <v>0</v>
      </c>
      <c r="M41" s="18" t="n">
        <v>0</v>
      </c>
      <c r="N41" s="20" t="n">
        <v>0</v>
      </c>
      <c r="O41" s="18" t="n">
        <v>0</v>
      </c>
      <c r="P41" s="20" t="n">
        <v>0</v>
      </c>
      <c r="Q41" s="18" t="n">
        <v>3.82343765</v>
      </c>
      <c r="R41" s="20" t="n">
        <v>1.22633594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(9815.0/B46*100)</f>
        <v/>
      </c>
      <c r="D46" s="19" t="n">
        <v>1253</v>
      </c>
      <c r="E46" s="18" t="n">
        <v>41.76362603</v>
      </c>
      <c r="F46" s="20" t="n">
        <v>1.79357993</v>
      </c>
      <c r="G46" s="18" t="n">
        <v>45.34409079</v>
      </c>
      <c r="H46" s="20" t="n">
        <v>1.76408634</v>
      </c>
      <c r="I46" s="18" t="s">
        <v>431</v>
      </c>
      <c r="J46" s="20" t="s">
        <v>431</v>
      </c>
      <c r="K46" s="18" t="n">
        <v>0.57182873</v>
      </c>
      <c r="L46" s="20" t="n">
        <v>0.24638116</v>
      </c>
      <c r="M46" s="18" t="n">
        <v>0.57814111</v>
      </c>
      <c r="N46" s="20" t="n">
        <v>0.24173747</v>
      </c>
      <c r="O46" s="18" t="n">
        <v>0</v>
      </c>
      <c r="P46" s="20" t="n">
        <v>0</v>
      </c>
      <c r="Q46" s="18" t="n">
        <v>11.74231334</v>
      </c>
      <c r="R46" s="20" t="n">
        <v>1.24196605</v>
      </c>
    </row>
    <row r="47" spans="1:18">
      <c r="A47" s="15" t="s">
        <v>471</v>
      </c>
      <c r="B47" s="17" t="n">
        <v>3105</v>
      </c>
      <c r="C47" s="18">
        <f>(2718.0/B47*100)</f>
        <v/>
      </c>
      <c r="D47" s="19" t="n">
        <v>387</v>
      </c>
      <c r="E47" s="18" t="n">
        <v>28.65819364</v>
      </c>
      <c r="F47" s="20" t="n">
        <v>2.06154119</v>
      </c>
      <c r="G47" s="18" t="n">
        <v>38.33319195</v>
      </c>
      <c r="H47" s="20" t="n">
        <v>2.7216678</v>
      </c>
      <c r="I47" s="18" t="s">
        <v>431</v>
      </c>
      <c r="J47" s="20" t="s">
        <v>431</v>
      </c>
      <c r="K47" s="18" t="n">
        <v>1.05456252</v>
      </c>
      <c r="L47" s="20" t="n">
        <v>0.65762261</v>
      </c>
      <c r="M47" s="18" t="n">
        <v>0.25955986</v>
      </c>
      <c r="N47" s="20" t="n">
        <v>0.18281369</v>
      </c>
      <c r="O47" s="18" t="n">
        <v>0</v>
      </c>
      <c r="P47" s="20" t="n">
        <v>0</v>
      </c>
      <c r="Q47" s="18" t="n">
        <v>31.69449203</v>
      </c>
      <c r="R47" s="20" t="n">
        <v>2.70824662</v>
      </c>
    </row>
    <row r="48" spans="1:18">
      <c r="A48" s="15" t="s">
        <v>472</v>
      </c>
      <c r="B48" s="17" t="n">
        <v>5159</v>
      </c>
      <c r="C48" s="18">
        <f>(4527.0/B48*100)</f>
        <v/>
      </c>
      <c r="D48" s="19" t="n">
        <v>632</v>
      </c>
      <c r="E48" s="18" t="n">
        <v>29.77366474</v>
      </c>
      <c r="F48" s="20" t="n">
        <v>2.51802314</v>
      </c>
      <c r="G48" s="18" t="n">
        <v>63.22260468</v>
      </c>
      <c r="H48" s="20" t="n">
        <v>2.61819195</v>
      </c>
      <c r="I48" s="18" t="s">
        <v>431</v>
      </c>
      <c r="J48" s="20" t="s">
        <v>431</v>
      </c>
      <c r="K48" s="18" t="n">
        <v>0</v>
      </c>
      <c r="L48" s="20" t="n">
        <v>0</v>
      </c>
      <c r="M48" s="18" t="n">
        <v>0</v>
      </c>
      <c r="N48" s="20" t="n">
        <v>0</v>
      </c>
      <c r="O48" s="18" t="n">
        <v>0</v>
      </c>
      <c r="P48" s="20" t="n">
        <v>0</v>
      </c>
      <c r="Q48" s="18" t="n">
        <v>7.00373058</v>
      </c>
      <c r="R48" s="20" t="n">
        <v>1.47334576</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(4957.0/B50*100)</f>
        <v/>
      </c>
      <c r="D50" s="19" t="n">
        <v>680</v>
      </c>
      <c r="E50" s="18" t="n">
        <v>39.29206246</v>
      </c>
      <c r="F50" s="20" t="n">
        <v>2.19599132</v>
      </c>
      <c r="G50" s="18" t="n">
        <v>56.2508896</v>
      </c>
      <c r="H50" s="20" t="n">
        <v>2.33745068</v>
      </c>
      <c r="I50" s="18" t="s">
        <v>431</v>
      </c>
      <c r="J50" s="20" t="s">
        <v>431</v>
      </c>
      <c r="K50" s="18" t="n">
        <v>0.28379086</v>
      </c>
      <c r="L50" s="20" t="n">
        <v>0.27478368</v>
      </c>
      <c r="M50" s="18" t="n">
        <v>0.04468403</v>
      </c>
      <c r="N50" s="20" t="n">
        <v>0.04459936</v>
      </c>
      <c r="O50" s="18" t="n">
        <v>0</v>
      </c>
      <c r="P50" s="20" t="n">
        <v>0</v>
      </c>
      <c r="Q50" s="18" t="n">
        <v>4.12857305</v>
      </c>
      <c r="R50" s="20" t="n">
        <v>1.06336934</v>
      </c>
    </row>
    <row r="51" spans="1:18">
      <c r="A51" s="15" t="s">
        <v>475</v>
      </c>
      <c r="B51" s="17" t="n">
        <v>3372</v>
      </c>
      <c r="C51" s="18">
        <f>(3002.0/B51*100)</f>
        <v/>
      </c>
      <c r="D51" s="19" t="n">
        <v>370</v>
      </c>
      <c r="E51" s="18" t="n">
        <v>38.52997753</v>
      </c>
      <c r="F51" s="20" t="n">
        <v>2.86452015</v>
      </c>
      <c r="G51" s="18" t="n">
        <v>57.45736949</v>
      </c>
      <c r="H51" s="20" t="n">
        <v>2.91168414</v>
      </c>
      <c r="I51" s="18" t="s">
        <v>431</v>
      </c>
      <c r="J51" s="20" t="s">
        <v>431</v>
      </c>
      <c r="K51" s="18" t="n">
        <v>0.54829626</v>
      </c>
      <c r="L51" s="20" t="n">
        <v>0.38757658</v>
      </c>
      <c r="M51" s="18" t="n">
        <v>0</v>
      </c>
      <c r="N51" s="20" t="n">
        <v>0</v>
      </c>
      <c r="O51" s="18" t="n">
        <v>0</v>
      </c>
      <c r="P51" s="20" t="n">
        <v>0</v>
      </c>
      <c r="Q51" s="18" t="n">
        <v>3.46435673</v>
      </c>
      <c r="R51" s="20" t="n">
        <v>0.91081839</v>
      </c>
    </row>
    <row r="52" spans="1:18">
      <c r="A52" s="15" t="s">
        <v>476</v>
      </c>
      <c r="B52" s="17" t="n">
        <v>2796</v>
      </c>
      <c r="C52" s="18">
        <f>(2442.0/B52*100)</f>
        <v/>
      </c>
      <c r="D52" s="19" t="n">
        <v>354</v>
      </c>
      <c r="E52" s="18" t="n">
        <v>28.21798622</v>
      </c>
      <c r="F52" s="20" t="n">
        <v>2.0172044</v>
      </c>
      <c r="G52" s="18" t="n">
        <v>67.37567486</v>
      </c>
      <c r="H52" s="20" t="n">
        <v>2.34377684</v>
      </c>
      <c r="I52" s="18" t="s">
        <v>431</v>
      </c>
      <c r="J52" s="20" t="s">
        <v>431</v>
      </c>
      <c r="K52" s="18" t="n">
        <v>0.35679738</v>
      </c>
      <c r="L52" s="20" t="n">
        <v>0.36127451</v>
      </c>
      <c r="M52" s="18" t="n">
        <v>0</v>
      </c>
      <c r="N52" s="20" t="n">
        <v>0</v>
      </c>
      <c r="O52" s="18" t="n">
        <v>0</v>
      </c>
      <c r="P52" s="20" t="n">
        <v>0</v>
      </c>
      <c r="Q52" s="18" t="n">
        <v>4.04954154</v>
      </c>
      <c r="R52" s="20" t="n">
        <v>1.21360202</v>
      </c>
    </row>
    <row r="53" spans="1:18">
      <c r="A53" s="15" t="s">
        <v>477</v>
      </c>
      <c r="B53" s="17" t="n">
        <v>2811</v>
      </c>
      <c r="C53" s="18">
        <f>(2484.0/B53*100)</f>
        <v/>
      </c>
      <c r="D53" s="19" t="n">
        <v>327</v>
      </c>
      <c r="E53" s="18" t="n">
        <v>34.81498091</v>
      </c>
      <c r="F53" s="20" t="n">
        <v>2.5835973</v>
      </c>
      <c r="G53" s="18" t="n">
        <v>40.91734638</v>
      </c>
      <c r="H53" s="20" t="n">
        <v>2.68397401</v>
      </c>
      <c r="I53" s="18" t="s">
        <v>431</v>
      </c>
      <c r="J53" s="20" t="s">
        <v>431</v>
      </c>
      <c r="K53" s="18" t="n">
        <v>0.41220066</v>
      </c>
      <c r="L53" s="20" t="n">
        <v>0.41346086</v>
      </c>
      <c r="M53" s="18" t="n">
        <v>0</v>
      </c>
      <c r="N53" s="20" t="n">
        <v>0</v>
      </c>
      <c r="O53" s="18" t="n">
        <v>0</v>
      </c>
      <c r="P53" s="20" t="n">
        <v>0</v>
      </c>
      <c r="Q53" s="18" t="n">
        <v>23.85547206</v>
      </c>
      <c r="R53" s="20" t="n">
        <v>2.65461831</v>
      </c>
    </row>
    <row r="54" spans="1:18">
      <c r="A54" s="15" t="s">
        <v>478</v>
      </c>
      <c r="B54" s="17" t="n">
        <v>2266</v>
      </c>
      <c r="C54" s="18">
        <f>(1881.0/B54*100)</f>
        <v/>
      </c>
      <c r="D54" s="19" t="n">
        <v>385</v>
      </c>
      <c r="E54" s="18" t="n">
        <v>48.03990971</v>
      </c>
      <c r="F54" s="20" t="n">
        <v>2.83330615</v>
      </c>
      <c r="G54" s="18" t="n">
        <v>17.46344054</v>
      </c>
      <c r="H54" s="20" t="n">
        <v>2.23740819</v>
      </c>
      <c r="I54" s="18" t="s">
        <v>431</v>
      </c>
      <c r="J54" s="20" t="s">
        <v>431</v>
      </c>
      <c r="K54" s="18" t="n">
        <v>2.709846</v>
      </c>
      <c r="L54" s="20" t="n">
        <v>1.05102604</v>
      </c>
      <c r="M54" s="18" t="n">
        <v>0.77873965</v>
      </c>
      <c r="N54" s="20" t="n">
        <v>0.75243775</v>
      </c>
      <c r="O54" s="18" t="n">
        <v>0</v>
      </c>
      <c r="P54" s="20" t="n">
        <v>0</v>
      </c>
      <c r="Q54" s="18" t="n">
        <v>31.00806411</v>
      </c>
      <c r="R54" s="20" t="n">
        <v>3.12890572</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(2357.0/B56*100)</f>
        <v/>
      </c>
      <c r="D56" s="19" t="n">
        <v>327</v>
      </c>
      <c r="E56" s="18" t="n">
        <v>18.79724601</v>
      </c>
      <c r="F56" s="20" t="n">
        <v>2.08035945</v>
      </c>
      <c r="G56" s="18" t="n">
        <v>73.27023833</v>
      </c>
      <c r="H56" s="20" t="n">
        <v>2.70282607</v>
      </c>
      <c r="I56" s="18" t="s">
        <v>431</v>
      </c>
      <c r="J56" s="20" t="s">
        <v>431</v>
      </c>
      <c r="K56" s="18" t="n">
        <v>0</v>
      </c>
      <c r="L56" s="20" t="n">
        <v>0</v>
      </c>
      <c r="M56" s="18" t="n">
        <v>4.19199874</v>
      </c>
      <c r="N56" s="20" t="n">
        <v>1.61556754</v>
      </c>
      <c r="O56" s="18" t="n">
        <v>0</v>
      </c>
      <c r="P56" s="20" t="n">
        <v>0</v>
      </c>
      <c r="Q56" s="18" t="n">
        <v>3.74051692</v>
      </c>
      <c r="R56" s="20" t="n">
        <v>0.91268107</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(2900.0/B61*100)</f>
        <v/>
      </c>
      <c r="D61" s="19" t="n">
        <v>424</v>
      </c>
      <c r="E61" s="18" t="n">
        <v>33.77624986</v>
      </c>
      <c r="F61" s="20" t="n">
        <v>3.09516898</v>
      </c>
      <c r="G61" s="18" t="n">
        <v>55.38444342</v>
      </c>
      <c r="H61" s="20" t="n">
        <v>3.02892926</v>
      </c>
      <c r="I61" s="18" t="s">
        <v>431</v>
      </c>
      <c r="J61" s="20" t="s">
        <v>431</v>
      </c>
      <c r="K61" s="18" t="n">
        <v>0.5214543699999999</v>
      </c>
      <c r="L61" s="20" t="n">
        <v>0.32352233</v>
      </c>
      <c r="M61" s="18" t="n">
        <v>0.62559733</v>
      </c>
      <c r="N61" s="20" t="n">
        <v>0.39545841</v>
      </c>
      <c r="O61" s="18" t="n">
        <v>0</v>
      </c>
      <c r="P61" s="20" t="n">
        <v>0</v>
      </c>
      <c r="Q61" s="18" t="n">
        <v>9.692255019999999</v>
      </c>
      <c r="R61" s="20" t="n">
        <v>1.70776864</v>
      </c>
    </row>
    <row r="62" spans="1:18">
      <c r="A62" s="15" t="s">
        <v>486</v>
      </c>
      <c r="B62" s="17" t="n">
        <v>2246</v>
      </c>
      <c r="C62" s="18">
        <f>(1992.0/B62*100)</f>
        <v/>
      </c>
      <c r="D62" s="19" t="n">
        <v>254</v>
      </c>
      <c r="E62" s="18" t="n">
        <v>23.23092978</v>
      </c>
      <c r="F62" s="20" t="n">
        <v>2.60733647</v>
      </c>
      <c r="G62" s="18" t="n">
        <v>74.79742501</v>
      </c>
      <c r="H62" s="20" t="n">
        <v>2.6122411</v>
      </c>
      <c r="I62" s="18" t="s">
        <v>431</v>
      </c>
      <c r="J62" s="20" t="s">
        <v>431</v>
      </c>
      <c r="K62" s="18" t="n">
        <v>0</v>
      </c>
      <c r="L62" s="20" t="n">
        <v>0</v>
      </c>
      <c r="M62" s="18" t="n">
        <v>0</v>
      </c>
      <c r="N62" s="20" t="n">
        <v>0</v>
      </c>
      <c r="O62" s="18" t="n">
        <v>0</v>
      </c>
      <c r="P62" s="20" t="n">
        <v>0</v>
      </c>
      <c r="Q62" s="18" t="n">
        <v>1.97164521</v>
      </c>
      <c r="R62" s="20" t="n">
        <v>0.83561813</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(2556.0/B66*100)</f>
        <v/>
      </c>
      <c r="D66" s="19" t="n">
        <v>338</v>
      </c>
      <c r="E66" s="18" t="n">
        <v>37.32221937</v>
      </c>
      <c r="F66" s="20" t="n">
        <v>2.70660706</v>
      </c>
      <c r="G66" s="18" t="n">
        <v>36.4697499</v>
      </c>
      <c r="H66" s="20" t="n">
        <v>2.58735224</v>
      </c>
      <c r="I66" s="18" t="s">
        <v>431</v>
      </c>
      <c r="J66" s="20" t="s">
        <v>431</v>
      </c>
      <c r="K66" s="18" t="n">
        <v>0.56924407</v>
      </c>
      <c r="L66" s="20" t="n">
        <v>0.40934564</v>
      </c>
      <c r="M66" s="18" t="n">
        <v>0.57531017</v>
      </c>
      <c r="N66" s="20" t="n">
        <v>0.39959745</v>
      </c>
      <c r="O66" s="18" t="n">
        <v>0</v>
      </c>
      <c r="P66" s="20" t="n">
        <v>0</v>
      </c>
      <c r="Q66" s="18" t="n">
        <v>25.06347648</v>
      </c>
      <c r="R66" s="20" t="n">
        <v>2.38709072</v>
      </c>
    </row>
    <row r="67" spans="1:18">
      <c r="A67" s="15" t="s">
        <v>491</v>
      </c>
      <c r="B67" s="17" t="n">
        <v>3511</v>
      </c>
      <c r="C67" s="18">
        <f>(3085.0/B67*100)</f>
        <v/>
      </c>
      <c r="D67" s="19" t="n">
        <v>426</v>
      </c>
      <c r="E67" s="18" t="n">
        <v>41.73912303</v>
      </c>
      <c r="F67" s="20" t="n">
        <v>2.21426459</v>
      </c>
      <c r="G67" s="18" t="n">
        <v>50.55517857</v>
      </c>
      <c r="H67" s="20" t="n">
        <v>2.16035269</v>
      </c>
      <c r="I67" s="18" t="s">
        <v>431</v>
      </c>
      <c r="J67" s="20" t="s">
        <v>431</v>
      </c>
      <c r="K67" s="18" t="n">
        <v>0</v>
      </c>
      <c r="L67" s="20" t="n">
        <v>0</v>
      </c>
      <c r="M67" s="18" t="n">
        <v>0</v>
      </c>
      <c r="N67" s="20" t="n">
        <v>0</v>
      </c>
      <c r="O67" s="18" t="n">
        <v>0</v>
      </c>
      <c r="P67" s="20" t="n">
        <v>0</v>
      </c>
      <c r="Q67" s="18" t="n">
        <v>7.7056984</v>
      </c>
      <c r="R67" s="20" t="n">
        <v>1.47099452</v>
      </c>
    </row>
    <row r="68" spans="1:18">
      <c r="A68" s="15" t="s">
        <v>492</v>
      </c>
      <c r="B68" s="17" t="n">
        <v>6049</v>
      </c>
      <c r="C68" s="18">
        <f>(5052.0/B68*100)</f>
        <v/>
      </c>
      <c r="D68" s="19" t="n">
        <v>997</v>
      </c>
      <c r="E68" s="18" t="n">
        <v>39.1120943</v>
      </c>
      <c r="F68" s="20" t="n">
        <v>1.62379088</v>
      </c>
      <c r="G68" s="18" t="n">
        <v>45.24247363</v>
      </c>
      <c r="H68" s="20" t="n">
        <v>1.78678751</v>
      </c>
      <c r="I68" s="18" t="s">
        <v>431</v>
      </c>
      <c r="J68" s="20" t="s">
        <v>431</v>
      </c>
      <c r="K68" s="18" t="n">
        <v>1.76687337</v>
      </c>
      <c r="L68" s="20" t="n">
        <v>0.39803585</v>
      </c>
      <c r="M68" s="18" t="n">
        <v>0.09695699000000001</v>
      </c>
      <c r="N68" s="20" t="n">
        <v>0.09687659</v>
      </c>
      <c r="O68" s="18" t="n">
        <v>0</v>
      </c>
      <c r="P68" s="20" t="n">
        <v>0</v>
      </c>
      <c r="Q68" s="18" t="n">
        <v>13.78160171</v>
      </c>
      <c r="R68" s="20" t="n">
        <v>1.16672611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(2597.0/B70*100)</f>
        <v/>
      </c>
      <c r="D70" s="19" t="n">
        <v>332</v>
      </c>
      <c r="E70" s="18" t="n">
        <v>27.86188245</v>
      </c>
      <c r="F70" s="20" t="n">
        <v>2.77959332</v>
      </c>
      <c r="G70" s="18" t="n">
        <v>69.5914678</v>
      </c>
      <c r="H70" s="20" t="n">
        <v>2.76313016</v>
      </c>
      <c r="I70" s="18" t="s">
        <v>431</v>
      </c>
      <c r="J70" s="20" t="s">
        <v>431</v>
      </c>
      <c r="K70" s="18" t="n">
        <v>0</v>
      </c>
      <c r="L70" s="20" t="n">
        <v>0</v>
      </c>
      <c r="M70" s="18" t="n">
        <v>0</v>
      </c>
      <c r="N70" s="20" t="n">
        <v>0</v>
      </c>
      <c r="O70" s="18" t="n">
        <v>0</v>
      </c>
      <c r="P70" s="20" t="n">
        <v>0</v>
      </c>
      <c r="Q70" s="18" t="n">
        <v>2.54664974</v>
      </c>
      <c r="R70" s="20" t="n">
        <v>0.76738659</v>
      </c>
    </row>
    <row r="71" spans="1:18">
      <c r="A71" s="15" t="s">
        <v>495</v>
      </c>
      <c r="B71" s="17" t="n">
        <v>3142</v>
      </c>
      <c r="C71" s="18">
        <f>(2757.0/B71*100)</f>
        <v/>
      </c>
      <c r="D71" s="19" t="n">
        <v>385</v>
      </c>
      <c r="E71" s="18" t="n">
        <v>13.08647739</v>
      </c>
      <c r="F71" s="20" t="n">
        <v>1.83071353</v>
      </c>
      <c r="G71" s="18" t="n">
        <v>83.45752379</v>
      </c>
      <c r="H71" s="20" t="n">
        <v>1.96951293</v>
      </c>
      <c r="I71" s="18" t="s">
        <v>431</v>
      </c>
      <c r="J71" s="20" t="s">
        <v>431</v>
      </c>
      <c r="K71" s="18" t="n">
        <v>0.27585198</v>
      </c>
      <c r="L71" s="20" t="n">
        <v>0.27620877</v>
      </c>
      <c r="M71" s="18" t="n">
        <v>0.13594089</v>
      </c>
      <c r="N71" s="20" t="n">
        <v>0.13903864</v>
      </c>
      <c r="O71" s="18" t="n">
        <v>0</v>
      </c>
      <c r="P71" s="20" t="n">
        <v>0</v>
      </c>
      <c r="Q71" s="18" t="n">
        <v>3.04420594</v>
      </c>
      <c r="R71" s="20" t="n">
        <v>0.88286624</v>
      </c>
    </row>
    <row r="72" spans="1:18">
      <c r="A72" s="15" t="s">
        <v>496</v>
      </c>
      <c r="B72" s="17" t="n">
        <v>3889</v>
      </c>
      <c r="C72" s="18">
        <f>(3393.0/B72*100)</f>
        <v/>
      </c>
      <c r="D72" s="19" t="n">
        <v>496</v>
      </c>
      <c r="E72" s="18" t="n">
        <v>28.0421412</v>
      </c>
      <c r="F72" s="20" t="n">
        <v>2.40284164</v>
      </c>
      <c r="G72" s="18" t="n">
        <v>63.82495029</v>
      </c>
      <c r="H72" s="20" t="n">
        <v>2.47907105</v>
      </c>
      <c r="I72" s="18" t="s">
        <v>431</v>
      </c>
      <c r="J72" s="20" t="s">
        <v>431</v>
      </c>
      <c r="K72" s="18" t="n">
        <v>0.13760512</v>
      </c>
      <c r="L72" s="20" t="n">
        <v>0.14137084</v>
      </c>
      <c r="M72" s="18" t="n">
        <v>0</v>
      </c>
      <c r="N72" s="20" t="n">
        <v>0</v>
      </c>
      <c r="O72" s="18" t="n">
        <v>0</v>
      </c>
      <c r="P72" s="20" t="n">
        <v>0</v>
      </c>
      <c r="Q72" s="18" t="n">
        <v>7.99530339</v>
      </c>
      <c r="R72" s="20" t="n">
        <v>1.4707271</v>
      </c>
    </row>
    <row r="73" spans="1:18">
      <c r="A73" s="15" t="s">
        <v>497</v>
      </c>
      <c r="B73" s="17" t="n">
        <v>3597</v>
      </c>
      <c r="C73" s="18">
        <f>(3158.0/B73*100)</f>
        <v/>
      </c>
      <c r="D73" s="19" t="n">
        <v>439</v>
      </c>
      <c r="E73" s="18" t="n">
        <v>63.29420036</v>
      </c>
      <c r="F73" s="20" t="n">
        <v>2.9262236</v>
      </c>
      <c r="G73" s="18" t="n">
        <v>33.89664866</v>
      </c>
      <c r="H73" s="20" t="n">
        <v>3.02714533</v>
      </c>
      <c r="I73" s="18" t="s">
        <v>431</v>
      </c>
      <c r="J73" s="20" t="s">
        <v>431</v>
      </c>
      <c r="K73" s="18" t="n">
        <v>0</v>
      </c>
      <c r="L73" s="20" t="n">
        <v>0</v>
      </c>
      <c r="M73" s="18" t="n">
        <v>0</v>
      </c>
      <c r="N73" s="20" t="n">
        <v>0</v>
      </c>
      <c r="O73" s="18" t="n">
        <v>0</v>
      </c>
      <c r="P73" s="20" t="n">
        <v>0</v>
      </c>
      <c r="Q73" s="18" t="n">
        <v>2.80915098</v>
      </c>
      <c r="R73" s="20" t="n">
        <v>1.05800196</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(2143.0/B75*100)</f>
        <v/>
      </c>
      <c r="D75" s="19" t="n">
        <v>263</v>
      </c>
      <c r="E75" s="18" t="n">
        <v>55.62206863</v>
      </c>
      <c r="F75" s="20" t="n">
        <v>3.51437314</v>
      </c>
      <c r="G75" s="18" t="n">
        <v>22.61864937</v>
      </c>
      <c r="H75" s="20" t="n">
        <v>2.59485156</v>
      </c>
      <c r="I75" s="18" t="s">
        <v>431</v>
      </c>
      <c r="J75" s="20" t="s">
        <v>431</v>
      </c>
      <c r="K75" s="18" t="n">
        <v>0.72768456</v>
      </c>
      <c r="L75" s="20" t="n">
        <v>0.55726916</v>
      </c>
      <c r="M75" s="18" t="n">
        <v>1.48355168</v>
      </c>
      <c r="N75" s="20" t="n">
        <v>0.85193451</v>
      </c>
      <c r="O75" s="18" t="n">
        <v>0</v>
      </c>
      <c r="P75" s="20" t="n">
        <v>0</v>
      </c>
      <c r="Q75" s="18" t="n">
        <v>19.54804575</v>
      </c>
      <c r="R75" s="20" t="n">
        <v>2.66874639</v>
      </c>
    </row>
    <row r="76" spans="1:18">
      <c r="A76" s="15" t="s">
        <v>500</v>
      </c>
      <c r="B76" s="17" t="n">
        <v>7052</v>
      </c>
      <c r="C76" s="18">
        <f>(6220.0/B76*100)</f>
        <v/>
      </c>
      <c r="D76" s="19" t="n">
        <v>832</v>
      </c>
      <c r="E76" s="18" t="n">
        <v>40.61723458</v>
      </c>
      <c r="F76" s="20" t="n">
        <v>2.71620686</v>
      </c>
      <c r="G76" s="18" t="n">
        <v>44.05362887</v>
      </c>
      <c r="H76" s="20" t="n">
        <v>2.7758649</v>
      </c>
      <c r="I76" s="18" t="s">
        <v>431</v>
      </c>
      <c r="J76" s="20" t="s">
        <v>431</v>
      </c>
      <c r="K76" s="18" t="n">
        <v>0.97862801</v>
      </c>
      <c r="L76" s="20" t="n">
        <v>0.39046961</v>
      </c>
      <c r="M76" s="18" t="n">
        <v>0.34761655</v>
      </c>
      <c r="N76" s="20" t="n">
        <v>0.21399018</v>
      </c>
      <c r="O76" s="18" t="n">
        <v>0</v>
      </c>
      <c r="P76" s="20" t="n">
        <v>0</v>
      </c>
      <c r="Q76" s="18" t="n">
        <v>14.00289199</v>
      </c>
      <c r="R76" s="20" t="n">
        <v>2.26758958</v>
      </c>
    </row>
    <row r="77" spans="1:18">
      <c r="A77" s="15" t="s">
        <v>501</v>
      </c>
      <c r="B77" s="17" t="n">
        <v>2908</v>
      </c>
      <c r="C77" s="18">
        <f>(2542.0/B77*100)</f>
        <v/>
      </c>
      <c r="D77" s="19" t="n">
        <v>366</v>
      </c>
      <c r="E77" s="18" t="n">
        <v>32.55701172</v>
      </c>
      <c r="F77" s="20" t="n">
        <v>2.53174095</v>
      </c>
      <c r="G77" s="18" t="n">
        <v>55.48067901</v>
      </c>
      <c r="H77" s="20" t="n">
        <v>3.49321337</v>
      </c>
      <c r="I77" s="18" t="s">
        <v>431</v>
      </c>
      <c r="J77" s="20" t="s">
        <v>431</v>
      </c>
      <c r="K77" s="18" t="n">
        <v>0.30215102</v>
      </c>
      <c r="L77" s="20" t="n">
        <v>0.30384321</v>
      </c>
      <c r="M77" s="18" t="n">
        <v>0.30215502</v>
      </c>
      <c r="N77" s="20" t="n">
        <v>0.31081785</v>
      </c>
      <c r="O77" s="18" t="n">
        <v>0</v>
      </c>
      <c r="P77" s="20" t="n">
        <v>0</v>
      </c>
      <c r="Q77" s="18" t="n">
        <v>11.35800324</v>
      </c>
      <c r="R77" s="20" t="n">
        <v>2.19969347</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(3661.0/B81*100)</f>
        <v/>
      </c>
      <c r="D81" s="19" t="n">
        <v>502</v>
      </c>
      <c r="E81" s="18" t="n">
        <v>41.20449056</v>
      </c>
      <c r="F81" s="20" t="n">
        <v>3.033485</v>
      </c>
      <c r="G81" s="18" t="n">
        <v>45.77398838</v>
      </c>
      <c r="H81" s="20" t="n">
        <v>3.34187764</v>
      </c>
      <c r="I81" s="18" t="s">
        <v>431</v>
      </c>
      <c r="J81" s="20" t="s">
        <v>431</v>
      </c>
      <c r="K81" s="18" t="n">
        <v>0.4438975</v>
      </c>
      <c r="L81" s="20" t="n">
        <v>0.43783924</v>
      </c>
      <c r="M81" s="18" t="n">
        <v>0</v>
      </c>
      <c r="N81" s="20" t="n">
        <v>0</v>
      </c>
      <c r="O81" s="18" t="n">
        <v>0</v>
      </c>
      <c r="P81" s="20" t="n">
        <v>0</v>
      </c>
      <c r="Q81" s="18" t="n">
        <v>12.57762356</v>
      </c>
      <c r="R81" s="20" t="n">
        <v>2.0484754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(6499.0/B7*100)</f>
        <v/>
      </c>
      <c r="D7" s="19" t="n">
        <v>868</v>
      </c>
      <c r="E7" s="18" t="n">
        <v>39.33513948</v>
      </c>
      <c r="F7" s="20" t="n">
        <v>2.16966186</v>
      </c>
      <c r="G7" s="18" t="n">
        <v>59.44596116</v>
      </c>
      <c r="H7" s="20" t="n">
        <v>2.23322847</v>
      </c>
      <c r="I7" s="18" t="s">
        <v>431</v>
      </c>
      <c r="J7" s="20" t="s">
        <v>431</v>
      </c>
      <c r="K7" s="18" t="n">
        <v>0.17851143</v>
      </c>
      <c r="L7" s="20" t="n">
        <v>0.09636465</v>
      </c>
      <c r="M7" s="18" t="n">
        <v>0</v>
      </c>
      <c r="N7" s="20" t="n">
        <v>0</v>
      </c>
      <c r="O7" s="18" t="n">
        <v>0</v>
      </c>
      <c r="P7" s="20" t="n">
        <v>0</v>
      </c>
      <c r="Q7" s="18" t="n">
        <v>1.04038793</v>
      </c>
      <c r="R7" s="20" t="n">
        <v>0.39133544</v>
      </c>
    </row>
    <row r="8" spans="1:18">
      <c r="A8" s="15" t="s">
        <v>432</v>
      </c>
      <c r="B8" s="17" t="n">
        <v>3564</v>
      </c>
      <c r="C8" s="18">
        <f>(3151.0/B8*100)</f>
        <v/>
      </c>
      <c r="D8" s="19" t="n">
        <v>413</v>
      </c>
      <c r="E8" s="18" t="n">
        <v>31.44177639</v>
      </c>
      <c r="F8" s="20" t="n">
        <v>2.83730782</v>
      </c>
      <c r="G8" s="18" t="n">
        <v>67.00271447999999</v>
      </c>
      <c r="H8" s="20" t="n">
        <v>2.85045811</v>
      </c>
      <c r="I8" s="18" t="s">
        <v>431</v>
      </c>
      <c r="J8" s="20" t="s">
        <v>431</v>
      </c>
      <c r="K8" s="18" t="n">
        <v>0.16643221</v>
      </c>
      <c r="L8" s="20" t="n">
        <v>0.17475891</v>
      </c>
      <c r="M8" s="18" t="n">
        <v>0</v>
      </c>
      <c r="N8" s="20" t="n">
        <v>0</v>
      </c>
      <c r="O8" s="18" t="n">
        <v>0</v>
      </c>
      <c r="P8" s="20" t="n">
        <v>0</v>
      </c>
      <c r="Q8" s="18" t="n">
        <v>1.38907692</v>
      </c>
      <c r="R8" s="20" t="n">
        <v>0.61910752</v>
      </c>
    </row>
    <row r="9" spans="1:18">
      <c r="A9" s="15" t="s">
        <v>433</v>
      </c>
      <c r="B9" s="17" t="n">
        <v>4899</v>
      </c>
      <c r="C9" s="18">
        <f>(4316.0/B9*100)</f>
        <v/>
      </c>
      <c r="D9" s="19" t="n">
        <v>583</v>
      </c>
      <c r="E9" s="18" t="n">
        <v>45.96624251</v>
      </c>
      <c r="F9" s="20" t="n">
        <v>2.37069569</v>
      </c>
      <c r="G9" s="18" t="n">
        <v>52.31358529</v>
      </c>
      <c r="H9" s="20" t="n">
        <v>2.29840244</v>
      </c>
      <c r="I9" s="18" t="s">
        <v>431</v>
      </c>
      <c r="J9" s="20" t="s">
        <v>431</v>
      </c>
      <c r="K9" s="18" t="n">
        <v>0.1526795</v>
      </c>
      <c r="L9" s="20" t="n">
        <v>0.14859863</v>
      </c>
      <c r="M9" s="18" t="n">
        <v>0</v>
      </c>
      <c r="N9" s="20" t="n">
        <v>0</v>
      </c>
      <c r="O9" s="18" t="n">
        <v>0</v>
      </c>
      <c r="P9" s="20" t="n">
        <v>0</v>
      </c>
      <c r="Q9" s="18" t="n">
        <v>1.5674927</v>
      </c>
      <c r="R9" s="20" t="n">
        <v>0.51765257</v>
      </c>
    </row>
    <row r="10" spans="1:18">
      <c r="A10" s="15" t="s">
        <v>434</v>
      </c>
      <c r="B10" s="17" t="n">
        <v>10036</v>
      </c>
      <c r="C10" s="18">
        <f>(8810.0/B10*100)</f>
        <v/>
      </c>
      <c r="D10" s="19" t="n">
        <v>1226</v>
      </c>
      <c r="E10" s="18" t="n">
        <v>36.6816655</v>
      </c>
      <c r="F10" s="20" t="n">
        <v>1.82239184</v>
      </c>
      <c r="G10" s="18" t="n">
        <v>61.93515675</v>
      </c>
      <c r="H10" s="20" t="n">
        <v>1.8721538</v>
      </c>
      <c r="I10" s="18" t="s">
        <v>431</v>
      </c>
      <c r="J10" s="20" t="s">
        <v>431</v>
      </c>
      <c r="K10" s="18" t="n">
        <v>0.699868</v>
      </c>
      <c r="L10" s="20" t="n">
        <v>0.3438754</v>
      </c>
      <c r="M10" s="18" t="n">
        <v>0</v>
      </c>
      <c r="N10" s="20" t="n">
        <v>0</v>
      </c>
      <c r="O10" s="18" t="n">
        <v>0</v>
      </c>
      <c r="P10" s="20" t="n">
        <v>0</v>
      </c>
      <c r="Q10" s="18" t="n">
        <v>0.68330976</v>
      </c>
      <c r="R10" s="20" t="n">
        <v>0.26601362</v>
      </c>
    </row>
    <row r="11" spans="1:18">
      <c r="A11" s="15" t="s">
        <v>435</v>
      </c>
      <c r="B11" s="17" t="n">
        <v>3553</v>
      </c>
      <c r="C11" s="18">
        <f>(3104.0/B11*100)</f>
        <v/>
      </c>
      <c r="D11" s="19" t="n">
        <v>449</v>
      </c>
      <c r="E11" s="18" t="n">
        <v>39.09719769</v>
      </c>
      <c r="F11" s="20" t="n">
        <v>2.62721001</v>
      </c>
      <c r="G11" s="18" t="n">
        <v>57.31523887</v>
      </c>
      <c r="H11" s="20" t="n">
        <v>2.70367598</v>
      </c>
      <c r="I11" s="18" t="s">
        <v>431</v>
      </c>
      <c r="J11" s="20" t="s">
        <v>431</v>
      </c>
      <c r="K11" s="18" t="n">
        <v>0.69965685</v>
      </c>
      <c r="L11" s="20" t="n">
        <v>0.6547124600000001</v>
      </c>
      <c r="M11" s="18" t="n">
        <v>0</v>
      </c>
      <c r="N11" s="20" t="n">
        <v>0</v>
      </c>
      <c r="O11" s="18" t="n">
        <v>0</v>
      </c>
      <c r="P11" s="20" t="n">
        <v>0</v>
      </c>
      <c r="Q11" s="18" t="n">
        <v>2.88790659</v>
      </c>
      <c r="R11" s="20" t="n">
        <v>1.01683148</v>
      </c>
    </row>
    <row r="12" spans="1:18">
      <c r="A12" s="15" t="s">
        <v>436</v>
      </c>
      <c r="B12" s="17" t="n">
        <v>3472</v>
      </c>
      <c r="C12" s="18">
        <f>(3042.0/B12*100)</f>
        <v/>
      </c>
      <c r="D12" s="19" t="n">
        <v>430</v>
      </c>
      <c r="E12" s="18" t="n">
        <v>39.08414572</v>
      </c>
      <c r="F12" s="20" t="n">
        <v>2.85801135</v>
      </c>
      <c r="G12" s="18" t="n">
        <v>60.62316784</v>
      </c>
      <c r="H12" s="20" t="n">
        <v>2.89935247</v>
      </c>
      <c r="I12" s="18" t="s">
        <v>431</v>
      </c>
      <c r="J12" s="20" t="s">
        <v>431</v>
      </c>
      <c r="K12" s="18" t="n">
        <v>0</v>
      </c>
      <c r="L12" s="20" t="n">
        <v>0</v>
      </c>
      <c r="M12" s="18" t="n">
        <v>0</v>
      </c>
      <c r="N12" s="20" t="n">
        <v>0</v>
      </c>
      <c r="O12" s="18" t="n">
        <v>0</v>
      </c>
      <c r="P12" s="20" t="n">
        <v>0</v>
      </c>
      <c r="Q12" s="18" t="n">
        <v>0.29268644</v>
      </c>
      <c r="R12" s="20" t="n">
        <v>0.28970318</v>
      </c>
    </row>
    <row r="13" spans="1:18">
      <c r="A13" s="15" t="s">
        <v>437</v>
      </c>
      <c r="B13" s="17" t="n">
        <v>3559</v>
      </c>
      <c r="C13" s="18">
        <f>(3145.0/B13*100)</f>
        <v/>
      </c>
      <c r="D13" s="19" t="n">
        <v>414</v>
      </c>
      <c r="E13" s="18" t="n">
        <v>25.06826627</v>
      </c>
      <c r="F13" s="20" t="n">
        <v>2.12253192</v>
      </c>
      <c r="G13" s="18" t="n">
        <v>72.8953868</v>
      </c>
      <c r="H13" s="20" t="n">
        <v>2.17584858</v>
      </c>
      <c r="I13" s="18" t="s">
        <v>431</v>
      </c>
      <c r="J13" s="20" t="s">
        <v>431</v>
      </c>
      <c r="K13" s="18" t="n">
        <v>1.23863769</v>
      </c>
      <c r="L13" s="20" t="n">
        <v>0.66751483</v>
      </c>
      <c r="M13" s="18" t="n">
        <v>0</v>
      </c>
      <c r="N13" s="20" t="n">
        <v>0</v>
      </c>
      <c r="O13" s="18" t="n">
        <v>0</v>
      </c>
      <c r="P13" s="20" t="n">
        <v>0</v>
      </c>
      <c r="Q13" s="18" t="n">
        <v>0.79770924</v>
      </c>
      <c r="R13" s="20" t="n">
        <v>0.41424377</v>
      </c>
    </row>
    <row r="14" spans="1:18">
      <c r="A14" s="15" t="s">
        <v>438</v>
      </c>
      <c r="B14" s="17" t="n">
        <v>2799</v>
      </c>
      <c r="C14" s="18">
        <f>(2461.0/B14*100)</f>
        <v/>
      </c>
      <c r="D14" s="19" t="n">
        <v>338</v>
      </c>
      <c r="E14" s="18" t="n">
        <v>35.88322908</v>
      </c>
      <c r="F14" s="20" t="n">
        <v>2.77004477</v>
      </c>
      <c r="G14" s="18" t="n">
        <v>63.8840149</v>
      </c>
      <c r="H14" s="20" t="n">
        <v>2.73789008</v>
      </c>
      <c r="I14" s="18" t="s">
        <v>431</v>
      </c>
      <c r="J14" s="20" t="s">
        <v>431</v>
      </c>
      <c r="K14" s="18" t="n">
        <v>0.23275602</v>
      </c>
      <c r="L14" s="20" t="n">
        <v>0.2441537</v>
      </c>
      <c r="M14" s="18" t="n">
        <v>0</v>
      </c>
      <c r="N14" s="20" t="n">
        <v>0</v>
      </c>
      <c r="O14" s="18" t="n">
        <v>0</v>
      </c>
      <c r="P14" s="20" t="n">
        <v>0</v>
      </c>
      <c r="Q14" s="18" t="n">
        <v>0</v>
      </c>
      <c r="R14" s="20" t="n">
        <v>0</v>
      </c>
    </row>
    <row r="15" spans="1:18">
      <c r="A15" s="15" t="s">
        <v>439</v>
      </c>
      <c r="B15" s="17" t="n">
        <v>3019</v>
      </c>
      <c r="C15" s="18">
        <f>(2644.0/B15*100)</f>
        <v/>
      </c>
      <c r="D15" s="19" t="n">
        <v>375</v>
      </c>
      <c r="E15" s="18" t="n">
        <v>25.10745493</v>
      </c>
      <c r="F15" s="20" t="n">
        <v>2.89797509</v>
      </c>
      <c r="G15" s="18" t="n">
        <v>73.44487373</v>
      </c>
      <c r="H15" s="20" t="n">
        <v>2.84925036</v>
      </c>
      <c r="I15" s="18" t="s">
        <v>431</v>
      </c>
      <c r="J15" s="20" t="s">
        <v>431</v>
      </c>
      <c r="K15" s="18" t="n">
        <v>0.78875576</v>
      </c>
      <c r="L15" s="20" t="n">
        <v>0.45005194</v>
      </c>
      <c r="M15" s="18" t="n">
        <v>0</v>
      </c>
      <c r="N15" s="20" t="n">
        <v>0</v>
      </c>
      <c r="O15" s="18" t="n">
        <v>0</v>
      </c>
      <c r="P15" s="20" t="n">
        <v>0</v>
      </c>
      <c r="Q15" s="18" t="n">
        <v>0.6589155799999999</v>
      </c>
      <c r="R15" s="20" t="n">
        <v>0.47733139</v>
      </c>
    </row>
    <row r="16" spans="1:18">
      <c r="A16" s="15" t="s">
        <v>440</v>
      </c>
      <c r="B16" s="17" t="n">
        <v>2997</v>
      </c>
      <c r="C16" s="18">
        <f>(2617.0/B16*100)</f>
        <v/>
      </c>
      <c r="D16" s="19" t="n">
        <v>380</v>
      </c>
      <c r="E16" s="18" t="n">
        <v>41.88908966</v>
      </c>
      <c r="F16" s="20" t="n">
        <v>2.58908813</v>
      </c>
      <c r="G16" s="18" t="n">
        <v>53.83943364</v>
      </c>
      <c r="H16" s="20" t="n">
        <v>2.59483866</v>
      </c>
      <c r="I16" s="18" t="s">
        <v>431</v>
      </c>
      <c r="J16" s="20" t="s">
        <v>431</v>
      </c>
      <c r="K16" s="18" t="n">
        <v>1.32186727</v>
      </c>
      <c r="L16" s="20" t="n">
        <v>0.66342661</v>
      </c>
      <c r="M16" s="18" t="n">
        <v>0</v>
      </c>
      <c r="N16" s="20" t="n">
        <v>0</v>
      </c>
      <c r="O16" s="18" t="n">
        <v>0</v>
      </c>
      <c r="P16" s="20" t="n">
        <v>0</v>
      </c>
      <c r="Q16" s="18" t="n">
        <v>2.94960943</v>
      </c>
      <c r="R16" s="20" t="n">
        <v>0.88231395</v>
      </c>
    </row>
    <row r="17" spans="1:18">
      <c r="A17" s="15" t="s">
        <v>441</v>
      </c>
      <c r="B17" s="17" t="n">
        <v>3307</v>
      </c>
      <c r="C17" s="18">
        <f>(2904.0/B17*100)</f>
        <v/>
      </c>
      <c r="D17" s="19" t="n">
        <v>403</v>
      </c>
      <c r="E17" s="18" t="n">
        <v>23.90629491</v>
      </c>
      <c r="F17" s="20" t="n">
        <v>2.61146248</v>
      </c>
      <c r="G17" s="18" t="n">
        <v>72.55939732</v>
      </c>
      <c r="H17" s="20" t="n">
        <v>3.13414926</v>
      </c>
      <c r="I17" s="18" t="s">
        <v>431</v>
      </c>
      <c r="J17" s="20" t="s">
        <v>431</v>
      </c>
      <c r="K17" s="18" t="n">
        <v>0.24976989</v>
      </c>
      <c r="L17" s="20" t="n">
        <v>0.25131579</v>
      </c>
      <c r="M17" s="18" t="n">
        <v>0</v>
      </c>
      <c r="N17" s="20" t="n">
        <v>0</v>
      </c>
      <c r="O17" s="18" t="n">
        <v>0</v>
      </c>
      <c r="P17" s="20" t="n">
        <v>0</v>
      </c>
      <c r="Q17" s="18" t="n">
        <v>3.28453788</v>
      </c>
      <c r="R17" s="20" t="n">
        <v>0.921442</v>
      </c>
    </row>
    <row r="18" spans="1:18">
      <c r="A18" s="15" t="s">
        <v>442</v>
      </c>
      <c r="B18" s="17" t="n">
        <v>2826</v>
      </c>
      <c r="C18" s="18">
        <f>(2500.0/B18*100)</f>
        <v/>
      </c>
      <c r="D18" s="19" t="n">
        <v>326</v>
      </c>
      <c r="E18" s="18" t="n">
        <v>41.27801923</v>
      </c>
      <c r="F18" s="20" t="n">
        <v>2.89506815</v>
      </c>
      <c r="G18" s="18" t="n">
        <v>58.08579821</v>
      </c>
      <c r="H18" s="20" t="n">
        <v>2.90880807</v>
      </c>
      <c r="I18" s="18" t="s">
        <v>431</v>
      </c>
      <c r="J18" s="20" t="s">
        <v>431</v>
      </c>
      <c r="K18" s="18" t="n">
        <v>0</v>
      </c>
      <c r="L18" s="20" t="n">
        <v>0</v>
      </c>
      <c r="M18" s="18" t="n">
        <v>0</v>
      </c>
      <c r="N18" s="20" t="n">
        <v>0</v>
      </c>
      <c r="O18" s="18" t="n">
        <v>0</v>
      </c>
      <c r="P18" s="20" t="n">
        <v>0</v>
      </c>
      <c r="Q18" s="18" t="n">
        <v>0.63618256</v>
      </c>
      <c r="R18" s="20" t="n">
        <v>0.46681117</v>
      </c>
    </row>
    <row r="19" spans="1:18">
      <c r="A19" s="15" t="s">
        <v>443</v>
      </c>
      <c r="B19" s="17" t="n">
        <v>2808</v>
      </c>
      <c r="C19" s="18">
        <f>(2465.0/B19*100)</f>
        <v/>
      </c>
      <c r="D19" s="19" t="n">
        <v>343</v>
      </c>
      <c r="E19" s="18" t="n">
        <v>39.51065905</v>
      </c>
      <c r="F19" s="20" t="n">
        <v>2.73272343</v>
      </c>
      <c r="G19" s="18" t="n">
        <v>59.03833281</v>
      </c>
      <c r="H19" s="20" t="n">
        <v>2.62264619</v>
      </c>
      <c r="I19" s="18" t="s">
        <v>431</v>
      </c>
      <c r="J19" s="20" t="s">
        <v>431</v>
      </c>
      <c r="K19" s="18" t="n">
        <v>0.67423694</v>
      </c>
      <c r="L19" s="20" t="n">
        <v>0.63697525</v>
      </c>
      <c r="M19" s="18" t="n">
        <v>0</v>
      </c>
      <c r="N19" s="20" t="n">
        <v>0</v>
      </c>
      <c r="O19" s="18" t="n">
        <v>0</v>
      </c>
      <c r="P19" s="20" t="n">
        <v>0</v>
      </c>
      <c r="Q19" s="18" t="n">
        <v>0.7767712</v>
      </c>
      <c r="R19" s="20" t="n">
        <v>0.43123044</v>
      </c>
    </row>
    <row r="20" spans="1:18">
      <c r="A20" s="15" t="s">
        <v>444</v>
      </c>
      <c r="B20" s="17" t="n">
        <v>1630</v>
      </c>
      <c r="C20" s="18">
        <f>(1424.0/B20*100)</f>
        <v/>
      </c>
      <c r="D20" s="19" t="n">
        <v>206</v>
      </c>
      <c r="E20" s="18" t="n">
        <v>42.45813189</v>
      </c>
      <c r="F20" s="20" t="n">
        <v>3.1219051</v>
      </c>
      <c r="G20" s="18" t="n">
        <v>55.5175355</v>
      </c>
      <c r="H20" s="20" t="n">
        <v>3.21816744</v>
      </c>
      <c r="I20" s="18" t="s">
        <v>431</v>
      </c>
      <c r="J20" s="20" t="s">
        <v>431</v>
      </c>
      <c r="K20" s="18" t="n">
        <v>1.0576119</v>
      </c>
      <c r="L20" s="20" t="n">
        <v>0.71585246</v>
      </c>
      <c r="M20" s="18" t="n">
        <v>0</v>
      </c>
      <c r="N20" s="20" t="n">
        <v>0</v>
      </c>
      <c r="O20" s="18" t="n">
        <v>0</v>
      </c>
      <c r="P20" s="20" t="n">
        <v>0</v>
      </c>
      <c r="Q20" s="18" t="n">
        <v>0.96672071</v>
      </c>
      <c r="R20" s="20" t="n">
        <v>0.67206017</v>
      </c>
    </row>
    <row r="21" spans="1:18">
      <c r="A21" s="15" t="s">
        <v>445</v>
      </c>
      <c r="B21" s="17" t="n">
        <v>2908</v>
      </c>
      <c r="C21" s="18">
        <f>(2433.0/B21*100)</f>
        <v/>
      </c>
      <c r="D21" s="19" t="n">
        <v>475</v>
      </c>
      <c r="E21" s="18" t="n">
        <v>36.20489802</v>
      </c>
      <c r="F21" s="20" t="n">
        <v>2.51809545</v>
      </c>
      <c r="G21" s="18" t="n">
        <v>62.92463907</v>
      </c>
      <c r="H21" s="20" t="n">
        <v>2.54666875</v>
      </c>
      <c r="I21" s="18" t="s">
        <v>431</v>
      </c>
      <c r="J21" s="20" t="s">
        <v>431</v>
      </c>
      <c r="K21" s="18" t="n">
        <v>0.19472746</v>
      </c>
      <c r="L21" s="20" t="n">
        <v>0.17625696</v>
      </c>
      <c r="M21" s="18" t="n">
        <v>0</v>
      </c>
      <c r="N21" s="20" t="n">
        <v>0</v>
      </c>
      <c r="O21" s="18" t="n">
        <v>0</v>
      </c>
      <c r="P21" s="20" t="n">
        <v>0</v>
      </c>
      <c r="Q21" s="18" t="n">
        <v>0.67573545</v>
      </c>
      <c r="R21" s="20" t="n">
        <v>0.40928784</v>
      </c>
    </row>
    <row r="22" spans="1:18">
      <c r="A22" s="15" t="s">
        <v>446</v>
      </c>
      <c r="B22" s="17" t="n">
        <v>2931</v>
      </c>
      <c r="C22" s="18">
        <f>(2559.0/B22*100)</f>
        <v/>
      </c>
      <c r="D22" s="19" t="n">
        <v>372</v>
      </c>
      <c r="E22" s="18" t="n">
        <v>36.04729715</v>
      </c>
      <c r="F22" s="20" t="n">
        <v>2.87597058</v>
      </c>
      <c r="G22" s="18" t="n">
        <v>62.59175415</v>
      </c>
      <c r="H22" s="20" t="n">
        <v>2.78908805</v>
      </c>
      <c r="I22" s="18" t="s">
        <v>431</v>
      </c>
      <c r="J22" s="20" t="s">
        <v>431</v>
      </c>
      <c r="K22" s="18" t="n">
        <v>0</v>
      </c>
      <c r="L22" s="20" t="n">
        <v>0</v>
      </c>
      <c r="M22" s="18" t="n">
        <v>0</v>
      </c>
      <c r="N22" s="20" t="n">
        <v>0</v>
      </c>
      <c r="O22" s="18" t="n">
        <v>0</v>
      </c>
      <c r="P22" s="20" t="n">
        <v>0</v>
      </c>
      <c r="Q22" s="18" t="n">
        <v>1.3609487</v>
      </c>
      <c r="R22" s="20" t="n">
        <v>0.48487828</v>
      </c>
    </row>
    <row r="23" spans="1:18">
      <c r="A23" s="15" t="s">
        <v>447</v>
      </c>
      <c r="B23" s="17" t="n">
        <v>5791</v>
      </c>
      <c r="C23" s="18">
        <f>(5059.0/B23*100)</f>
        <v/>
      </c>
      <c r="D23" s="19" t="n">
        <v>732</v>
      </c>
      <c r="E23" s="18" t="n">
        <v>30.22457218</v>
      </c>
      <c r="F23" s="20" t="n">
        <v>2.48045218</v>
      </c>
      <c r="G23" s="18" t="n">
        <v>68.16597019</v>
      </c>
      <c r="H23" s="20" t="n">
        <v>2.60854749</v>
      </c>
      <c r="I23" s="18" t="s">
        <v>431</v>
      </c>
      <c r="J23" s="20" t="s">
        <v>431</v>
      </c>
      <c r="K23" s="18" t="n">
        <v>0.08074111</v>
      </c>
      <c r="L23" s="20" t="n">
        <v>0.07619335000000001</v>
      </c>
      <c r="M23" s="18" t="n">
        <v>0</v>
      </c>
      <c r="N23" s="20" t="n">
        <v>0</v>
      </c>
      <c r="O23" s="18" t="n">
        <v>0</v>
      </c>
      <c r="P23" s="20" t="n">
        <v>0</v>
      </c>
      <c r="Q23" s="18" t="n">
        <v>1.52871652</v>
      </c>
      <c r="R23" s="20" t="n">
        <v>0.94176917</v>
      </c>
    </row>
    <row r="24" spans="1:18">
      <c r="A24" s="15" t="s">
        <v>448</v>
      </c>
      <c r="B24" s="17" t="n">
        <v>3338</v>
      </c>
      <c r="C24" s="18">
        <f>(2922.0/B24*100)</f>
        <v/>
      </c>
      <c r="D24" s="19" t="n">
        <v>416</v>
      </c>
      <c r="E24" s="18" t="n">
        <v>30.00004766</v>
      </c>
      <c r="F24" s="20" t="n">
        <v>2.42314672</v>
      </c>
      <c r="G24" s="18" t="n">
        <v>69.29126995</v>
      </c>
      <c r="H24" s="20" t="n">
        <v>2.46211717</v>
      </c>
      <c r="I24" s="18" t="s">
        <v>431</v>
      </c>
      <c r="J24" s="20" t="s">
        <v>431</v>
      </c>
      <c r="K24" s="18" t="n">
        <v>0</v>
      </c>
      <c r="L24" s="20" t="n">
        <v>0</v>
      </c>
      <c r="M24" s="18" t="n">
        <v>0</v>
      </c>
      <c r="N24" s="20" t="n">
        <v>0</v>
      </c>
      <c r="O24" s="18" t="n">
        <v>0</v>
      </c>
      <c r="P24" s="20" t="n">
        <v>0</v>
      </c>
      <c r="Q24" s="18" t="n">
        <v>0.7086824</v>
      </c>
      <c r="R24" s="20" t="n">
        <v>0.40801575</v>
      </c>
    </row>
    <row r="25" spans="1:18">
      <c r="A25" s="15" t="s">
        <v>449</v>
      </c>
      <c r="B25" s="17" t="n">
        <v>2912</v>
      </c>
      <c r="C25" s="18">
        <f>(2567.0/B25*100)</f>
        <v/>
      </c>
      <c r="D25" s="19" t="n">
        <v>345</v>
      </c>
      <c r="E25" s="18" t="n">
        <v>24.63426129</v>
      </c>
      <c r="F25" s="20" t="n">
        <v>2.73236156</v>
      </c>
      <c r="G25" s="18" t="n">
        <v>73.92062060000001</v>
      </c>
      <c r="H25" s="20" t="n">
        <v>2.91839342</v>
      </c>
      <c r="I25" s="18" t="s">
        <v>431</v>
      </c>
      <c r="J25" s="20" t="s">
        <v>431</v>
      </c>
      <c r="K25" s="18" t="n">
        <v>0.27989506</v>
      </c>
      <c r="L25" s="20" t="n">
        <v>0.27644211</v>
      </c>
      <c r="M25" s="18" t="n">
        <v>0</v>
      </c>
      <c r="N25" s="20" t="n">
        <v>0</v>
      </c>
      <c r="O25" s="18" t="n">
        <v>0</v>
      </c>
      <c r="P25" s="20" t="n">
        <v>0</v>
      </c>
      <c r="Q25" s="18" t="n">
        <v>1.16522305</v>
      </c>
      <c r="R25" s="20" t="n">
        <v>0.58762363</v>
      </c>
    </row>
    <row r="26" spans="1:18">
      <c r="A26" s="15" t="s">
        <v>450</v>
      </c>
      <c r="B26" s="17" t="n">
        <v>2450</v>
      </c>
      <c r="C26" s="18">
        <f>(2156.0/B26*100)</f>
        <v/>
      </c>
      <c r="D26" s="19" t="n">
        <v>294</v>
      </c>
      <c r="E26" s="18" t="n">
        <v>42.62117686</v>
      </c>
      <c r="F26" s="20" t="n">
        <v>2.98983091</v>
      </c>
      <c r="G26" s="18" t="n">
        <v>56.17420147</v>
      </c>
      <c r="H26" s="20" t="n">
        <v>3.19288094</v>
      </c>
      <c r="I26" s="18" t="s">
        <v>431</v>
      </c>
      <c r="J26" s="20" t="s">
        <v>431</v>
      </c>
      <c r="K26" s="18" t="n">
        <v>0</v>
      </c>
      <c r="L26" s="20" t="n">
        <v>0</v>
      </c>
      <c r="M26" s="18" t="n">
        <v>0</v>
      </c>
      <c r="N26" s="20" t="n">
        <v>0</v>
      </c>
      <c r="O26" s="18" t="n">
        <v>0</v>
      </c>
      <c r="P26" s="20" t="n">
        <v>0</v>
      </c>
      <c r="Q26" s="18" t="n">
        <v>1.20462167</v>
      </c>
      <c r="R26" s="20" t="n">
        <v>0.69422156</v>
      </c>
    </row>
    <row r="27" spans="1:18">
      <c r="A27" s="15" t="s">
        <v>451</v>
      </c>
      <c r="B27" s="17" t="n">
        <v>2616</v>
      </c>
      <c r="C27" s="18">
        <f>(2284.0/B27*100)</f>
        <v/>
      </c>
      <c r="D27" s="19" t="n">
        <v>332</v>
      </c>
      <c r="E27" s="18" t="n">
        <v>41.91430661</v>
      </c>
      <c r="F27" s="20" t="n">
        <v>2.56169697</v>
      </c>
      <c r="G27" s="18" t="n">
        <v>55.37118998</v>
      </c>
      <c r="H27" s="20" t="n">
        <v>2.62369716</v>
      </c>
      <c r="I27" s="18" t="s">
        <v>431</v>
      </c>
      <c r="J27" s="20" t="s">
        <v>431</v>
      </c>
      <c r="K27" s="18" t="n">
        <v>0.29911443</v>
      </c>
      <c r="L27" s="20" t="n">
        <v>0.29768389</v>
      </c>
      <c r="M27" s="18" t="n">
        <v>0</v>
      </c>
      <c r="N27" s="20" t="n">
        <v>0</v>
      </c>
      <c r="O27" s="18" t="n">
        <v>0</v>
      </c>
      <c r="P27" s="20" t="n">
        <v>0</v>
      </c>
      <c r="Q27" s="18" t="n">
        <v>2.41538898</v>
      </c>
      <c r="R27" s="20" t="n">
        <v>0.8175651</v>
      </c>
    </row>
    <row r="28" spans="1:18">
      <c r="A28" s="15" t="s">
        <v>452</v>
      </c>
      <c r="B28" s="17" t="n">
        <v>3765</v>
      </c>
      <c r="C28" s="18">
        <f>(3341.0/B28*100)</f>
        <v/>
      </c>
      <c r="D28" s="19" t="n">
        <v>424</v>
      </c>
      <c r="E28" s="18" t="n">
        <v>59.9085721</v>
      </c>
      <c r="F28" s="20" t="n">
        <v>2.55701627</v>
      </c>
      <c r="G28" s="18" t="n">
        <v>38.50867083</v>
      </c>
      <c r="H28" s="20" t="n">
        <v>2.49635449</v>
      </c>
      <c r="I28" s="18" t="s">
        <v>431</v>
      </c>
      <c r="J28" s="20" t="s">
        <v>431</v>
      </c>
      <c r="K28" s="18" t="n">
        <v>0.23008862</v>
      </c>
      <c r="L28" s="20" t="n">
        <v>0.25056668</v>
      </c>
      <c r="M28" s="18" t="n">
        <v>0</v>
      </c>
      <c r="N28" s="20" t="n">
        <v>0</v>
      </c>
      <c r="O28" s="18" t="n">
        <v>0</v>
      </c>
      <c r="P28" s="20" t="n">
        <v>0</v>
      </c>
      <c r="Q28" s="18" t="n">
        <v>1.35266844</v>
      </c>
      <c r="R28" s="20" t="n">
        <v>0.7163953199999999</v>
      </c>
    </row>
    <row r="29" spans="1:18">
      <c r="A29" s="15" t="s">
        <v>453</v>
      </c>
      <c r="B29" s="17" t="n">
        <v>2685</v>
      </c>
      <c r="C29" s="18">
        <f>(2357.0/B29*100)</f>
        <v/>
      </c>
      <c r="D29" s="19" t="n">
        <v>328</v>
      </c>
      <c r="E29" s="18" t="n">
        <v>36.87469949</v>
      </c>
      <c r="F29" s="20" t="n">
        <v>2.71801495</v>
      </c>
      <c r="G29" s="18" t="n">
        <v>61.32923332</v>
      </c>
      <c r="H29" s="20" t="n">
        <v>2.64781466</v>
      </c>
      <c r="I29" s="18" t="s">
        <v>431</v>
      </c>
      <c r="J29" s="20" t="s">
        <v>431</v>
      </c>
      <c r="K29" s="18" t="n">
        <v>0</v>
      </c>
      <c r="L29" s="20" t="n">
        <v>0</v>
      </c>
      <c r="M29" s="18" t="n">
        <v>0</v>
      </c>
      <c r="N29" s="20" t="n">
        <v>0</v>
      </c>
      <c r="O29" s="18" t="n">
        <v>0</v>
      </c>
      <c r="P29" s="20" t="n">
        <v>0</v>
      </c>
      <c r="Q29" s="18" t="n">
        <v>1.79606719</v>
      </c>
      <c r="R29" s="20" t="n">
        <v>0.77520984</v>
      </c>
    </row>
    <row r="30" spans="1:18">
      <c r="A30" s="15" t="s">
        <v>454</v>
      </c>
      <c r="B30" s="17" t="n">
        <v>2263</v>
      </c>
      <c r="C30" s="18">
        <f>(1974.0/B30*100)</f>
        <v/>
      </c>
      <c r="D30" s="19" t="n">
        <v>289</v>
      </c>
      <c r="E30" s="18" t="n">
        <v>37.11913614</v>
      </c>
      <c r="F30" s="20" t="n">
        <v>2.72050005</v>
      </c>
      <c r="G30" s="18" t="n">
        <v>58.63341141</v>
      </c>
      <c r="H30" s="20" t="n">
        <v>2.81703458</v>
      </c>
      <c r="I30" s="18" t="s">
        <v>431</v>
      </c>
      <c r="J30" s="20" t="s">
        <v>431</v>
      </c>
      <c r="K30" s="18" t="n">
        <v>0.7528222</v>
      </c>
      <c r="L30" s="20" t="n">
        <v>0.15464522</v>
      </c>
      <c r="M30" s="18" t="n">
        <v>0</v>
      </c>
      <c r="N30" s="20" t="n">
        <v>0</v>
      </c>
      <c r="O30" s="18" t="n">
        <v>0</v>
      </c>
      <c r="P30" s="20" t="n">
        <v>0</v>
      </c>
      <c r="Q30" s="18" t="n">
        <v>3.49463025</v>
      </c>
      <c r="R30" s="20" t="n">
        <v>1.30688083</v>
      </c>
    </row>
    <row r="31" spans="1:18">
      <c r="A31" s="15" t="s">
        <v>455</v>
      </c>
      <c r="B31" s="17" t="n">
        <v>2750</v>
      </c>
      <c r="C31" s="18">
        <f>(2422.0/B31*100)</f>
        <v/>
      </c>
      <c r="D31" s="19" t="n">
        <v>328</v>
      </c>
      <c r="E31" s="18" t="n">
        <v>34.21860445</v>
      </c>
      <c r="F31" s="20" t="n">
        <v>2.70083352</v>
      </c>
      <c r="G31" s="18" t="n">
        <v>64.32426408000001</v>
      </c>
      <c r="H31" s="20" t="n">
        <v>2.80116396</v>
      </c>
      <c r="I31" s="18" t="s">
        <v>431</v>
      </c>
      <c r="J31" s="20" t="s">
        <v>431</v>
      </c>
      <c r="K31" s="18" t="n">
        <v>0</v>
      </c>
      <c r="L31" s="20" t="n">
        <v>0</v>
      </c>
      <c r="M31" s="18" t="n">
        <v>0</v>
      </c>
      <c r="N31" s="20" t="n">
        <v>0</v>
      </c>
      <c r="O31" s="18" t="n">
        <v>0</v>
      </c>
      <c r="P31" s="20" t="n">
        <v>0</v>
      </c>
      <c r="Q31" s="18" t="n">
        <v>1.45713147</v>
      </c>
      <c r="R31" s="20" t="n">
        <v>0.65615168</v>
      </c>
    </row>
    <row r="32" spans="1:18">
      <c r="A32" s="15" t="s">
        <v>456</v>
      </c>
      <c r="B32" s="17" t="n">
        <v>2269</v>
      </c>
      <c r="C32" s="18">
        <f>(1910.0/B32*100)</f>
        <v/>
      </c>
      <c r="D32" s="19" t="n">
        <v>359</v>
      </c>
      <c r="E32" s="18" t="n">
        <v>30.48203814</v>
      </c>
      <c r="F32" s="20" t="n">
        <v>2.95918135</v>
      </c>
      <c r="G32" s="18" t="n">
        <v>68.97878866000001</v>
      </c>
      <c r="H32" s="20" t="n">
        <v>2.97268444</v>
      </c>
      <c r="I32" s="18" t="s">
        <v>431</v>
      </c>
      <c r="J32" s="20" t="s">
        <v>431</v>
      </c>
      <c r="K32" s="18" t="n">
        <v>0.2695866</v>
      </c>
      <c r="L32" s="20" t="n">
        <v>0.2525946</v>
      </c>
      <c r="M32" s="18" t="n">
        <v>0</v>
      </c>
      <c r="N32" s="20" t="n">
        <v>0</v>
      </c>
      <c r="O32" s="18" t="n">
        <v>0</v>
      </c>
      <c r="P32" s="20" t="n">
        <v>0</v>
      </c>
      <c r="Q32" s="18" t="n">
        <v>0.2695866</v>
      </c>
      <c r="R32" s="20" t="n">
        <v>0.2525946</v>
      </c>
    </row>
    <row r="33" spans="1:18">
      <c r="A33" s="15" t="s">
        <v>457</v>
      </c>
      <c r="B33" s="17" t="n">
        <v>3674</v>
      </c>
      <c r="C33" s="18">
        <f>(3200.0/B33*100)</f>
        <v/>
      </c>
      <c r="D33" s="19" t="n">
        <v>474</v>
      </c>
      <c r="E33" s="18" t="n">
        <v>46.97100207</v>
      </c>
      <c r="F33" s="20" t="n">
        <v>2.61618478</v>
      </c>
      <c r="G33" s="18" t="n">
        <v>52.49906237</v>
      </c>
      <c r="H33" s="20" t="n">
        <v>2.65469833</v>
      </c>
      <c r="I33" s="18" t="s">
        <v>431</v>
      </c>
      <c r="J33" s="20" t="s">
        <v>431</v>
      </c>
      <c r="K33" s="18" t="n">
        <v>0.30018288</v>
      </c>
      <c r="L33" s="20" t="n">
        <v>0.26455963</v>
      </c>
      <c r="M33" s="18" t="n">
        <v>0</v>
      </c>
      <c r="N33" s="20" t="n">
        <v>0</v>
      </c>
      <c r="O33" s="18" t="n">
        <v>0</v>
      </c>
      <c r="P33" s="20" t="n">
        <v>0</v>
      </c>
      <c r="Q33" s="18" t="n">
        <v>0.22975269</v>
      </c>
      <c r="R33" s="20" t="n">
        <v>0.21200183</v>
      </c>
    </row>
    <row r="34" spans="1:18">
      <c r="A34" s="15" t="s">
        <v>458</v>
      </c>
      <c r="B34" s="17" t="n">
        <v>3315</v>
      </c>
      <c r="C34" s="18">
        <f>(2923.0/B34*100)</f>
        <v/>
      </c>
      <c r="D34" s="19" t="n">
        <v>392</v>
      </c>
      <c r="E34" s="18" t="n">
        <v>46.47033272</v>
      </c>
      <c r="F34" s="20" t="n">
        <v>3.44980819</v>
      </c>
      <c r="G34" s="18" t="n">
        <v>52.25194013</v>
      </c>
      <c r="H34" s="20" t="n">
        <v>3.292583</v>
      </c>
      <c r="I34" s="18" t="s">
        <v>431</v>
      </c>
      <c r="J34" s="20" t="s">
        <v>431</v>
      </c>
      <c r="K34" s="18" t="n">
        <v>0.19727591</v>
      </c>
      <c r="L34" s="20" t="n">
        <v>0.19745824</v>
      </c>
      <c r="M34" s="18" t="n">
        <v>0</v>
      </c>
      <c r="N34" s="20" t="n">
        <v>0</v>
      </c>
      <c r="O34" s="18" t="n">
        <v>0</v>
      </c>
      <c r="P34" s="20" t="n">
        <v>0</v>
      </c>
      <c r="Q34" s="18" t="n">
        <v>1.08045124</v>
      </c>
      <c r="R34" s="20" t="n">
        <v>0.56004604</v>
      </c>
    </row>
    <row r="35" spans="1:18">
      <c r="A35" s="15" t="s">
        <v>459</v>
      </c>
      <c r="B35" s="17" t="n">
        <v>3505</v>
      </c>
      <c r="C35" s="18">
        <f>(3071.0/B35*100)</f>
        <v/>
      </c>
      <c r="D35" s="19" t="n">
        <v>434</v>
      </c>
      <c r="E35" s="18" t="n">
        <v>36.01591182</v>
      </c>
      <c r="F35" s="20" t="n">
        <v>2.85788897</v>
      </c>
      <c r="G35" s="18" t="n">
        <v>62.38004361</v>
      </c>
      <c r="H35" s="20" t="n">
        <v>2.92891034</v>
      </c>
      <c r="I35" s="18" t="s">
        <v>431</v>
      </c>
      <c r="J35" s="20" t="s">
        <v>431</v>
      </c>
      <c r="K35" s="18" t="n">
        <v>0.13117874</v>
      </c>
      <c r="L35" s="20" t="n">
        <v>0.13092447</v>
      </c>
      <c r="M35" s="18" t="n">
        <v>0</v>
      </c>
      <c r="N35" s="20" t="n">
        <v>0</v>
      </c>
      <c r="O35" s="18" t="n">
        <v>0</v>
      </c>
      <c r="P35" s="20" t="n">
        <v>0</v>
      </c>
      <c r="Q35" s="18" t="n">
        <v>1.47286583</v>
      </c>
      <c r="R35" s="20" t="n">
        <v>0.69212823</v>
      </c>
    </row>
    <row r="36" spans="1:18">
      <c r="A36" s="15" t="s">
        <v>460</v>
      </c>
      <c r="B36" s="17" t="n">
        <v>3332</v>
      </c>
      <c r="C36" s="18">
        <f>(2913.0/B36*100)</f>
        <v/>
      </c>
      <c r="D36" s="19" t="n">
        <v>419</v>
      </c>
      <c r="E36" s="18" t="n">
        <v>33.10013279</v>
      </c>
      <c r="F36" s="20" t="n">
        <v>2.1228025</v>
      </c>
      <c r="G36" s="18" t="n">
        <v>64.49018083</v>
      </c>
      <c r="H36" s="20" t="n">
        <v>2.28599945</v>
      </c>
      <c r="I36" s="18" t="s">
        <v>431</v>
      </c>
      <c r="J36" s="20" t="s">
        <v>431</v>
      </c>
      <c r="K36" s="18" t="n">
        <v>0</v>
      </c>
      <c r="L36" s="20" t="n">
        <v>0</v>
      </c>
      <c r="M36" s="18" t="n">
        <v>0</v>
      </c>
      <c r="N36" s="20" t="n">
        <v>0</v>
      </c>
      <c r="O36" s="18" t="n">
        <v>0</v>
      </c>
      <c r="P36" s="20" t="n">
        <v>0</v>
      </c>
      <c r="Q36" s="18" t="n">
        <v>2.40968637</v>
      </c>
      <c r="R36" s="20" t="n">
        <v>0.79571768</v>
      </c>
    </row>
    <row r="37" spans="1:18">
      <c r="A37" s="15" t="s">
        <v>461</v>
      </c>
      <c r="B37" s="17" t="n">
        <v>2727</v>
      </c>
      <c r="C37" s="18">
        <f>(2379.0/B37*100)</f>
        <v/>
      </c>
      <c r="D37" s="19" t="n">
        <v>348</v>
      </c>
      <c r="E37" s="18" t="n">
        <v>26.82694711</v>
      </c>
      <c r="F37" s="20" t="n">
        <v>2.33469646</v>
      </c>
      <c r="G37" s="18" t="n">
        <v>69.60658755</v>
      </c>
      <c r="H37" s="20" t="n">
        <v>2.7373519</v>
      </c>
      <c r="I37" s="18" t="s">
        <v>431</v>
      </c>
      <c r="J37" s="20" t="s">
        <v>431</v>
      </c>
      <c r="K37" s="18" t="n">
        <v>1.42109479</v>
      </c>
      <c r="L37" s="20" t="n">
        <v>0.63811544</v>
      </c>
      <c r="M37" s="18" t="n">
        <v>0</v>
      </c>
      <c r="N37" s="20" t="n">
        <v>0</v>
      </c>
      <c r="O37" s="18" t="n">
        <v>0</v>
      </c>
      <c r="P37" s="20" t="n">
        <v>0</v>
      </c>
      <c r="Q37" s="18" t="n">
        <v>2.14537054</v>
      </c>
      <c r="R37" s="20" t="n">
        <v>0.82398934</v>
      </c>
    </row>
    <row r="38" spans="1:18">
      <c r="A38" s="15" t="s">
        <v>462</v>
      </c>
      <c r="B38" s="17" t="n">
        <v>3053</v>
      </c>
      <c r="C38" s="18">
        <f>(2586.0/B38*100)</f>
        <v/>
      </c>
      <c r="D38" s="19" t="n">
        <v>467</v>
      </c>
      <c r="E38" s="18" t="n">
        <v>36.06142448</v>
      </c>
      <c r="F38" s="20" t="n">
        <v>2.37687391</v>
      </c>
      <c r="G38" s="18" t="n">
        <v>62.86811808</v>
      </c>
      <c r="H38" s="20" t="n">
        <v>2.42820174</v>
      </c>
      <c r="I38" s="18" t="s">
        <v>431</v>
      </c>
      <c r="J38" s="20" t="s">
        <v>431</v>
      </c>
      <c r="K38" s="18" t="n">
        <v>0.38292791</v>
      </c>
      <c r="L38" s="20" t="n">
        <v>0.20808329</v>
      </c>
      <c r="M38" s="18" t="n">
        <v>0</v>
      </c>
      <c r="N38" s="20" t="n">
        <v>0</v>
      </c>
      <c r="O38" s="18" t="n">
        <v>0</v>
      </c>
      <c r="P38" s="20" t="n">
        <v>0</v>
      </c>
      <c r="Q38" s="18" t="n">
        <v>0.6875295300000001</v>
      </c>
      <c r="R38" s="20" t="n">
        <v>0.25281445</v>
      </c>
    </row>
    <row r="39" spans="1:18">
      <c r="A39" s="15" t="s">
        <v>463</v>
      </c>
      <c r="B39" s="17" t="n">
        <v>2957</v>
      </c>
      <c r="C39" s="18">
        <f>(2590.0/B39*100)</f>
        <v/>
      </c>
      <c r="D39" s="19" t="n">
        <v>367</v>
      </c>
      <c r="E39" s="18" t="n">
        <v>46.419577</v>
      </c>
      <c r="F39" s="20" t="n">
        <v>3.31931893</v>
      </c>
      <c r="G39" s="18" t="n">
        <v>51.38331986</v>
      </c>
      <c r="H39" s="20" t="n">
        <v>3.37888382</v>
      </c>
      <c r="I39" s="18" t="s">
        <v>431</v>
      </c>
      <c r="J39" s="20" t="s">
        <v>431</v>
      </c>
      <c r="K39" s="18" t="n">
        <v>0.34303425</v>
      </c>
      <c r="L39" s="20" t="n">
        <v>0.34244493</v>
      </c>
      <c r="M39" s="18" t="n">
        <v>0</v>
      </c>
      <c r="N39" s="20" t="n">
        <v>0</v>
      </c>
      <c r="O39" s="18" t="n">
        <v>0</v>
      </c>
      <c r="P39" s="20" t="n">
        <v>0</v>
      </c>
      <c r="Q39" s="18" t="n">
        <v>1.8540689</v>
      </c>
      <c r="R39" s="20" t="n">
        <v>0.76133114</v>
      </c>
    </row>
    <row r="40" spans="1:18">
      <c r="A40" s="15" t="s">
        <v>464</v>
      </c>
      <c r="B40" s="17" t="n">
        <v>7235</v>
      </c>
      <c r="C40" s="18">
        <f>(6331.0/B40*100)</f>
        <v/>
      </c>
      <c r="D40" s="19" t="n">
        <v>904</v>
      </c>
      <c r="E40" s="18" t="n">
        <v>38.38188853</v>
      </c>
      <c r="F40" s="20" t="n">
        <v>2.23891994</v>
      </c>
      <c r="G40" s="18" t="n">
        <v>60.49903083</v>
      </c>
      <c r="H40" s="20" t="n">
        <v>2.23093471</v>
      </c>
      <c r="I40" s="18" t="s">
        <v>431</v>
      </c>
      <c r="J40" s="20" t="s">
        <v>431</v>
      </c>
      <c r="K40" s="18" t="n">
        <v>0.139083</v>
      </c>
      <c r="L40" s="20" t="n">
        <v>0.08617244</v>
      </c>
      <c r="M40" s="18" t="n">
        <v>0</v>
      </c>
      <c r="N40" s="20" t="n">
        <v>0</v>
      </c>
      <c r="O40" s="18" t="n">
        <v>0</v>
      </c>
      <c r="P40" s="20" t="n">
        <v>0</v>
      </c>
      <c r="Q40" s="18" t="n">
        <v>0.97999764</v>
      </c>
      <c r="R40" s="20" t="n">
        <v>0.48163955</v>
      </c>
    </row>
    <row r="41" spans="1:18">
      <c r="A41" s="15" t="s">
        <v>465</v>
      </c>
      <c r="B41" s="17" t="n">
        <v>2858</v>
      </c>
      <c r="C41" s="18">
        <f>(2523.0/B41*100)</f>
        <v/>
      </c>
      <c r="D41" s="19" t="n">
        <v>335</v>
      </c>
      <c r="E41" s="18" t="n">
        <v>34.24093396</v>
      </c>
      <c r="F41" s="20" t="n">
        <v>3.01079932</v>
      </c>
      <c r="G41" s="18" t="n">
        <v>64.39360795</v>
      </c>
      <c r="H41" s="20" t="n">
        <v>3.02989617</v>
      </c>
      <c r="I41" s="18" t="s">
        <v>431</v>
      </c>
      <c r="J41" s="20" t="s">
        <v>431</v>
      </c>
      <c r="K41" s="18" t="n">
        <v>0</v>
      </c>
      <c r="L41" s="20" t="n">
        <v>0</v>
      </c>
      <c r="M41" s="18" t="n">
        <v>0</v>
      </c>
      <c r="N41" s="20" t="n">
        <v>0</v>
      </c>
      <c r="O41" s="18" t="n">
        <v>0</v>
      </c>
      <c r="P41" s="20" t="n">
        <v>0</v>
      </c>
      <c r="Q41" s="18" t="n">
        <v>1.36545809</v>
      </c>
      <c r="R41" s="20" t="n">
        <v>0.64110793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(9842.0/B46*100)</f>
        <v/>
      </c>
      <c r="D46" s="19" t="n">
        <v>1226</v>
      </c>
      <c r="E46" s="18" t="n">
        <v>60.09873458</v>
      </c>
      <c r="F46" s="20" t="n">
        <v>1.92405871</v>
      </c>
      <c r="G46" s="18" t="n">
        <v>37.09099796</v>
      </c>
      <c r="H46" s="20" t="n">
        <v>2.009333</v>
      </c>
      <c r="I46" s="18" t="s">
        <v>431</v>
      </c>
      <c r="J46" s="20" t="s">
        <v>431</v>
      </c>
      <c r="K46" s="18" t="n">
        <v>0.75712899</v>
      </c>
      <c r="L46" s="20" t="n">
        <v>0.27678456</v>
      </c>
      <c r="M46" s="18" t="n">
        <v>0</v>
      </c>
      <c r="N46" s="20" t="n">
        <v>0</v>
      </c>
      <c r="O46" s="18" t="n">
        <v>0</v>
      </c>
      <c r="P46" s="20" t="n">
        <v>0</v>
      </c>
      <c r="Q46" s="18" t="n">
        <v>2.05313847</v>
      </c>
      <c r="R46" s="20" t="n">
        <v>0.57822231</v>
      </c>
    </row>
    <row r="47" spans="1:18">
      <c r="A47" s="15" t="s">
        <v>471</v>
      </c>
      <c r="B47" s="17" t="n">
        <v>3105</v>
      </c>
      <c r="C47" s="18">
        <f>(2719.0/B47*100)</f>
        <v/>
      </c>
      <c r="D47" s="19" t="n">
        <v>386</v>
      </c>
      <c r="E47" s="18" t="n">
        <v>52.91548231</v>
      </c>
      <c r="F47" s="20" t="n">
        <v>2.63735119</v>
      </c>
      <c r="G47" s="18" t="n">
        <v>45.0435832</v>
      </c>
      <c r="H47" s="20" t="n">
        <v>2.62649634</v>
      </c>
      <c r="I47" s="18" t="s">
        <v>431</v>
      </c>
      <c r="J47" s="20" t="s">
        <v>431</v>
      </c>
      <c r="K47" s="18" t="n">
        <v>1.05699946</v>
      </c>
      <c r="L47" s="20" t="n">
        <v>0.65912125</v>
      </c>
      <c r="M47" s="18" t="n">
        <v>0</v>
      </c>
      <c r="N47" s="20" t="n">
        <v>0</v>
      </c>
      <c r="O47" s="18" t="n">
        <v>0</v>
      </c>
      <c r="P47" s="20" t="n">
        <v>0</v>
      </c>
      <c r="Q47" s="18" t="n">
        <v>0.98393503</v>
      </c>
      <c r="R47" s="20" t="n">
        <v>0.50164878</v>
      </c>
    </row>
    <row r="48" spans="1:18">
      <c r="A48" s="15" t="s">
        <v>472</v>
      </c>
      <c r="B48" s="17" t="n">
        <v>5159</v>
      </c>
      <c r="C48" s="18">
        <f>(4527.0/B48*100)</f>
        <v/>
      </c>
      <c r="D48" s="19" t="n">
        <v>632</v>
      </c>
      <c r="E48" s="18" t="n">
        <v>22.05228582</v>
      </c>
      <c r="F48" s="20" t="n">
        <v>2.63471888</v>
      </c>
      <c r="G48" s="18" t="n">
        <v>76.92801949</v>
      </c>
      <c r="H48" s="20" t="n">
        <v>2.6751579</v>
      </c>
      <c r="I48" s="18" t="s">
        <v>431</v>
      </c>
      <c r="J48" s="20" t="s">
        <v>431</v>
      </c>
      <c r="K48" s="18" t="n">
        <v>0</v>
      </c>
      <c r="L48" s="20" t="n">
        <v>0</v>
      </c>
      <c r="M48" s="18" t="n">
        <v>0</v>
      </c>
      <c r="N48" s="20" t="n">
        <v>0</v>
      </c>
      <c r="O48" s="18" t="n">
        <v>0</v>
      </c>
      <c r="P48" s="20" t="n">
        <v>0</v>
      </c>
      <c r="Q48" s="18" t="n">
        <v>1.01969469</v>
      </c>
      <c r="R48" s="20" t="n">
        <v>0.54788114</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(4958.0/B50*100)</f>
        <v/>
      </c>
      <c r="D50" s="19" t="n">
        <v>679</v>
      </c>
      <c r="E50" s="18" t="n">
        <v>51.63267313</v>
      </c>
      <c r="F50" s="20" t="n">
        <v>2.73890343</v>
      </c>
      <c r="G50" s="18" t="n">
        <v>46.40499912</v>
      </c>
      <c r="H50" s="20" t="n">
        <v>2.71421846</v>
      </c>
      <c r="I50" s="18" t="s">
        <v>431</v>
      </c>
      <c r="J50" s="20" t="s">
        <v>431</v>
      </c>
      <c r="K50" s="18" t="n">
        <v>0.88415992</v>
      </c>
      <c r="L50" s="20" t="n">
        <v>0.66818575</v>
      </c>
      <c r="M50" s="18" t="n">
        <v>0</v>
      </c>
      <c r="N50" s="20" t="n">
        <v>0</v>
      </c>
      <c r="O50" s="18" t="n">
        <v>0</v>
      </c>
      <c r="P50" s="20" t="n">
        <v>0</v>
      </c>
      <c r="Q50" s="18" t="n">
        <v>1.07816783</v>
      </c>
      <c r="R50" s="20" t="n">
        <v>0.54809866</v>
      </c>
    </row>
    <row r="51" spans="1:18">
      <c r="A51" s="15" t="s">
        <v>475</v>
      </c>
      <c r="B51" s="17" t="n">
        <v>3372</v>
      </c>
      <c r="C51" s="18">
        <f>(3003.0/B51*100)</f>
        <v/>
      </c>
      <c r="D51" s="19" t="n">
        <v>369</v>
      </c>
      <c r="E51" s="18" t="n">
        <v>50.784567</v>
      </c>
      <c r="F51" s="20" t="n">
        <v>3.32422301</v>
      </c>
      <c r="G51" s="18" t="n">
        <v>47.28446118</v>
      </c>
      <c r="H51" s="20" t="n">
        <v>3.41264363</v>
      </c>
      <c r="I51" s="18" t="s">
        <v>431</v>
      </c>
      <c r="J51" s="20" t="s">
        <v>431</v>
      </c>
      <c r="K51" s="18" t="n">
        <v>0.54988727</v>
      </c>
      <c r="L51" s="20" t="n">
        <v>0.38870382</v>
      </c>
      <c r="M51" s="18" t="n">
        <v>0</v>
      </c>
      <c r="N51" s="20" t="n">
        <v>0</v>
      </c>
      <c r="O51" s="18" t="n">
        <v>0</v>
      </c>
      <c r="P51" s="20" t="n">
        <v>0</v>
      </c>
      <c r="Q51" s="18" t="n">
        <v>1.38108456</v>
      </c>
      <c r="R51" s="20" t="n">
        <v>0.6315618200000001</v>
      </c>
    </row>
    <row r="52" spans="1:18">
      <c r="A52" s="15" t="s">
        <v>476</v>
      </c>
      <c r="B52" s="17" t="n">
        <v>2796</v>
      </c>
      <c r="C52" s="18">
        <f>(2442.0/B52*100)</f>
        <v/>
      </c>
      <c r="D52" s="19" t="n">
        <v>354</v>
      </c>
      <c r="E52" s="18" t="n">
        <v>45.48523912</v>
      </c>
      <c r="F52" s="20" t="n">
        <v>2.79638647</v>
      </c>
      <c r="G52" s="18" t="n">
        <v>53.10054726</v>
      </c>
      <c r="H52" s="20" t="n">
        <v>2.82904396</v>
      </c>
      <c r="I52" s="18" t="s">
        <v>431</v>
      </c>
      <c r="J52" s="20" t="s">
        <v>431</v>
      </c>
      <c r="K52" s="18" t="n">
        <v>0.35679738</v>
      </c>
      <c r="L52" s="20" t="n">
        <v>0.36127451</v>
      </c>
      <c r="M52" s="18" t="n">
        <v>0</v>
      </c>
      <c r="N52" s="20" t="n">
        <v>0</v>
      </c>
      <c r="O52" s="18" t="n">
        <v>0</v>
      </c>
      <c r="P52" s="20" t="n">
        <v>0</v>
      </c>
      <c r="Q52" s="18" t="n">
        <v>1.05741623</v>
      </c>
      <c r="R52" s="20" t="n">
        <v>0.52735518</v>
      </c>
    </row>
    <row r="53" spans="1:18">
      <c r="A53" s="15" t="s">
        <v>477</v>
      </c>
      <c r="B53" s="17" t="n">
        <v>2811</v>
      </c>
      <c r="C53" s="18">
        <f>(2483.0/B53*100)</f>
        <v/>
      </c>
      <c r="D53" s="19" t="n">
        <v>328</v>
      </c>
      <c r="E53" s="18" t="n">
        <v>53.23437301</v>
      </c>
      <c r="F53" s="20" t="n">
        <v>3.17540234</v>
      </c>
      <c r="G53" s="18" t="n">
        <v>42.65035268</v>
      </c>
      <c r="H53" s="20" t="n">
        <v>3.13914889</v>
      </c>
      <c r="I53" s="18" t="s">
        <v>431</v>
      </c>
      <c r="J53" s="20" t="s">
        <v>431</v>
      </c>
      <c r="K53" s="18" t="n">
        <v>0.63211706</v>
      </c>
      <c r="L53" s="20" t="n">
        <v>0.47328893</v>
      </c>
      <c r="M53" s="18" t="n">
        <v>0</v>
      </c>
      <c r="N53" s="20" t="n">
        <v>0</v>
      </c>
      <c r="O53" s="18" t="n">
        <v>0</v>
      </c>
      <c r="P53" s="20" t="n">
        <v>0</v>
      </c>
      <c r="Q53" s="18" t="n">
        <v>3.48315725</v>
      </c>
      <c r="R53" s="20" t="n">
        <v>0.99653171</v>
      </c>
    </row>
    <row r="54" spans="1:18">
      <c r="A54" s="15" t="s">
        <v>478</v>
      </c>
      <c r="B54" s="17" t="n">
        <v>2266</v>
      </c>
      <c r="C54" s="18">
        <f>(1882.0/B54*100)</f>
        <v/>
      </c>
      <c r="D54" s="19" t="n">
        <v>384</v>
      </c>
      <c r="E54" s="18" t="n">
        <v>62.878897</v>
      </c>
      <c r="F54" s="20" t="n">
        <v>2.91083311</v>
      </c>
      <c r="G54" s="18" t="n">
        <v>28.79821762</v>
      </c>
      <c r="H54" s="20" t="n">
        <v>2.68498541</v>
      </c>
      <c r="I54" s="18" t="s">
        <v>431</v>
      </c>
      <c r="J54" s="20" t="s">
        <v>431</v>
      </c>
      <c r="K54" s="18" t="n">
        <v>4.70016356</v>
      </c>
      <c r="L54" s="20" t="n">
        <v>1.32681569</v>
      </c>
      <c r="M54" s="18" t="n">
        <v>0</v>
      </c>
      <c r="N54" s="20" t="n">
        <v>0</v>
      </c>
      <c r="O54" s="18" t="n">
        <v>0</v>
      </c>
      <c r="P54" s="20" t="n">
        <v>0</v>
      </c>
      <c r="Q54" s="18" t="n">
        <v>3.62272183</v>
      </c>
      <c r="R54" s="20" t="n">
        <v>0.94273758</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(2357.0/B56*100)</f>
        <v/>
      </c>
      <c r="D56" s="19" t="n">
        <v>327</v>
      </c>
      <c r="E56" s="18" t="n">
        <v>19.26877186</v>
      </c>
      <c r="F56" s="20" t="n">
        <v>2.73700961</v>
      </c>
      <c r="G56" s="18" t="n">
        <v>79.93671981999999</v>
      </c>
      <c r="H56" s="20" t="n">
        <v>2.86032747</v>
      </c>
      <c r="I56" s="18" t="s">
        <v>431</v>
      </c>
      <c r="J56" s="20" t="s">
        <v>431</v>
      </c>
      <c r="K56" s="18" t="n">
        <v>0.79450832</v>
      </c>
      <c r="L56" s="20" t="n">
        <v>0.56757046</v>
      </c>
      <c r="M56" s="18" t="n">
        <v>0</v>
      </c>
      <c r="N56" s="20" t="n">
        <v>0</v>
      </c>
      <c r="O56" s="18" t="n">
        <v>0</v>
      </c>
      <c r="P56" s="20" t="n">
        <v>0</v>
      </c>
      <c r="Q56" s="18" t="n">
        <v>0</v>
      </c>
      <c r="R56" s="20" t="n">
        <v>0</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(2900.0/B61*100)</f>
        <v/>
      </c>
      <c r="D61" s="19" t="n">
        <v>424</v>
      </c>
      <c r="E61" s="18" t="n">
        <v>47.59975728</v>
      </c>
      <c r="F61" s="20" t="n">
        <v>3.46628971</v>
      </c>
      <c r="G61" s="18" t="n">
        <v>51.50902726</v>
      </c>
      <c r="H61" s="20" t="n">
        <v>3.40662965</v>
      </c>
      <c r="I61" s="18" t="s">
        <v>431</v>
      </c>
      <c r="J61" s="20" t="s">
        <v>431</v>
      </c>
      <c r="K61" s="18" t="n">
        <v>0.5214543699999999</v>
      </c>
      <c r="L61" s="20" t="n">
        <v>0.32352233</v>
      </c>
      <c r="M61" s="18" t="n">
        <v>0</v>
      </c>
      <c r="N61" s="20" t="n">
        <v>0</v>
      </c>
      <c r="O61" s="18" t="n">
        <v>0</v>
      </c>
      <c r="P61" s="20" t="n">
        <v>0</v>
      </c>
      <c r="Q61" s="18" t="n">
        <v>0.36976109</v>
      </c>
      <c r="R61" s="20" t="n">
        <v>0.27629469</v>
      </c>
    </row>
    <row r="62" spans="1:18">
      <c r="A62" s="15" t="s">
        <v>486</v>
      </c>
      <c r="B62" s="17" t="n">
        <v>2246</v>
      </c>
      <c r="C62" s="18">
        <f>(1992.0/B62*100)</f>
        <v/>
      </c>
      <c r="D62" s="19" t="n">
        <v>254</v>
      </c>
      <c r="E62" s="18" t="n">
        <v>24.48891478</v>
      </c>
      <c r="F62" s="20" t="n">
        <v>2.79406611</v>
      </c>
      <c r="G62" s="18" t="n">
        <v>75.12035326</v>
      </c>
      <c r="H62" s="20" t="n">
        <v>2.82126315</v>
      </c>
      <c r="I62" s="18" t="s">
        <v>431</v>
      </c>
      <c r="J62" s="20" t="s">
        <v>431</v>
      </c>
      <c r="K62" s="18" t="n">
        <v>0</v>
      </c>
      <c r="L62" s="20" t="n">
        <v>0</v>
      </c>
      <c r="M62" s="18" t="n">
        <v>0</v>
      </c>
      <c r="N62" s="20" t="n">
        <v>0</v>
      </c>
      <c r="O62" s="18" t="n">
        <v>0</v>
      </c>
      <c r="P62" s="20" t="n">
        <v>0</v>
      </c>
      <c r="Q62" s="18" t="n">
        <v>0.39073196</v>
      </c>
      <c r="R62" s="20" t="n">
        <v>0.3930174</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(2557.0/B66*100)</f>
        <v/>
      </c>
      <c r="D66" s="19" t="n">
        <v>337</v>
      </c>
      <c r="E66" s="18" t="n">
        <v>56.82567772</v>
      </c>
      <c r="F66" s="20" t="n">
        <v>2.8292941</v>
      </c>
      <c r="G66" s="18" t="n">
        <v>37.51987744</v>
      </c>
      <c r="H66" s="20" t="n">
        <v>2.59536034</v>
      </c>
      <c r="I66" s="18" t="s">
        <v>431</v>
      </c>
      <c r="J66" s="20" t="s">
        <v>431</v>
      </c>
      <c r="K66" s="18" t="n">
        <v>0.57066608</v>
      </c>
      <c r="L66" s="20" t="n">
        <v>0.41052378</v>
      </c>
      <c r="M66" s="18" t="n">
        <v>0</v>
      </c>
      <c r="N66" s="20" t="n">
        <v>0</v>
      </c>
      <c r="O66" s="18" t="n">
        <v>0</v>
      </c>
      <c r="P66" s="20" t="n">
        <v>0</v>
      </c>
      <c r="Q66" s="18" t="n">
        <v>5.08377876</v>
      </c>
      <c r="R66" s="20" t="n">
        <v>1.24381022</v>
      </c>
    </row>
    <row r="67" spans="1:18">
      <c r="A67" s="15" t="s">
        <v>491</v>
      </c>
      <c r="B67" s="17" t="n">
        <v>3511</v>
      </c>
      <c r="C67" s="18">
        <f>(3089.0/B67*100)</f>
        <v/>
      </c>
      <c r="D67" s="19" t="n">
        <v>422</v>
      </c>
      <c r="E67" s="18" t="n">
        <v>49.82442201</v>
      </c>
      <c r="F67" s="20" t="n">
        <v>2.71782932</v>
      </c>
      <c r="G67" s="18" t="n">
        <v>48.89805911</v>
      </c>
      <c r="H67" s="20" t="n">
        <v>2.79334143</v>
      </c>
      <c r="I67" s="18" t="s">
        <v>431</v>
      </c>
      <c r="J67" s="20" t="s">
        <v>431</v>
      </c>
      <c r="K67" s="18" t="n">
        <v>0.19635055</v>
      </c>
      <c r="L67" s="20" t="n">
        <v>0.19710728</v>
      </c>
      <c r="M67" s="18" t="n">
        <v>0</v>
      </c>
      <c r="N67" s="20" t="n">
        <v>0</v>
      </c>
      <c r="O67" s="18" t="n">
        <v>0</v>
      </c>
      <c r="P67" s="20" t="n">
        <v>0</v>
      </c>
      <c r="Q67" s="18" t="n">
        <v>1.08116834</v>
      </c>
      <c r="R67" s="20" t="n">
        <v>0.47351555</v>
      </c>
    </row>
    <row r="68" spans="1:18">
      <c r="A68" s="15" t="s">
        <v>492</v>
      </c>
      <c r="B68" s="17" t="n">
        <v>6049</v>
      </c>
      <c r="C68" s="18">
        <f>(5052.0/B68*100)</f>
        <v/>
      </c>
      <c r="D68" s="19" t="n">
        <v>997</v>
      </c>
      <c r="E68" s="18" t="n">
        <v>55.15937947</v>
      </c>
      <c r="F68" s="20" t="n">
        <v>1.60034153</v>
      </c>
      <c r="G68" s="18" t="n">
        <v>40.24805082</v>
      </c>
      <c r="H68" s="20" t="n">
        <v>1.54044389</v>
      </c>
      <c r="I68" s="18" t="s">
        <v>431</v>
      </c>
      <c r="J68" s="20" t="s">
        <v>431</v>
      </c>
      <c r="K68" s="18" t="n">
        <v>1.9690899</v>
      </c>
      <c r="L68" s="20" t="n">
        <v>0.40149836</v>
      </c>
      <c r="M68" s="18" t="n">
        <v>0</v>
      </c>
      <c r="N68" s="20" t="n">
        <v>0</v>
      </c>
      <c r="O68" s="18" t="n">
        <v>0</v>
      </c>
      <c r="P68" s="20" t="n">
        <v>0</v>
      </c>
      <c r="Q68" s="18" t="n">
        <v>2.62347981</v>
      </c>
      <c r="R68" s="20" t="n">
        <v>0.53105642</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(2601.0/B70*100)</f>
        <v/>
      </c>
      <c r="D70" s="19" t="n">
        <v>328</v>
      </c>
      <c r="E70" s="18" t="n">
        <v>28.56927248</v>
      </c>
      <c r="F70" s="20" t="n">
        <v>2.67138403</v>
      </c>
      <c r="G70" s="18" t="n">
        <v>70.49484366</v>
      </c>
      <c r="H70" s="20" t="n">
        <v>2.86858153</v>
      </c>
      <c r="I70" s="18" t="s">
        <v>431</v>
      </c>
      <c r="J70" s="20" t="s">
        <v>431</v>
      </c>
      <c r="K70" s="18" t="n">
        <v>0</v>
      </c>
      <c r="L70" s="20" t="n">
        <v>0</v>
      </c>
      <c r="M70" s="18" t="n">
        <v>0</v>
      </c>
      <c r="N70" s="20" t="n">
        <v>0</v>
      </c>
      <c r="O70" s="18" t="n">
        <v>0</v>
      </c>
      <c r="P70" s="20" t="n">
        <v>0</v>
      </c>
      <c r="Q70" s="18" t="n">
        <v>0.93588386</v>
      </c>
      <c r="R70" s="20" t="n">
        <v>0.51215381</v>
      </c>
    </row>
    <row r="71" spans="1:18">
      <c r="A71" s="15" t="s">
        <v>495</v>
      </c>
      <c r="B71" s="17" t="n">
        <v>3142</v>
      </c>
      <c r="C71" s="18">
        <f>(2757.0/B71*100)</f>
        <v/>
      </c>
      <c r="D71" s="19" t="n">
        <v>385</v>
      </c>
      <c r="E71" s="18" t="n">
        <v>21.20456713</v>
      </c>
      <c r="F71" s="20" t="n">
        <v>2.31602102</v>
      </c>
      <c r="G71" s="18" t="n">
        <v>77.59198756000001</v>
      </c>
      <c r="H71" s="20" t="n">
        <v>2.38279968</v>
      </c>
      <c r="I71" s="18" t="s">
        <v>431</v>
      </c>
      <c r="J71" s="20" t="s">
        <v>431</v>
      </c>
      <c r="K71" s="18" t="n">
        <v>0.27585198</v>
      </c>
      <c r="L71" s="20" t="n">
        <v>0.27620877</v>
      </c>
      <c r="M71" s="18" t="n">
        <v>0</v>
      </c>
      <c r="N71" s="20" t="n">
        <v>0</v>
      </c>
      <c r="O71" s="18" t="n">
        <v>0</v>
      </c>
      <c r="P71" s="20" t="n">
        <v>0</v>
      </c>
      <c r="Q71" s="18" t="n">
        <v>0.92759333</v>
      </c>
      <c r="R71" s="20" t="n">
        <v>0.48396717</v>
      </c>
    </row>
    <row r="72" spans="1:18">
      <c r="A72" s="15" t="s">
        <v>496</v>
      </c>
      <c r="B72" s="17" t="n">
        <v>3889</v>
      </c>
      <c r="C72" s="18">
        <f>(3393.0/B72*100)</f>
        <v/>
      </c>
      <c r="D72" s="19" t="n">
        <v>496</v>
      </c>
      <c r="E72" s="18" t="n">
        <v>25.71263748</v>
      </c>
      <c r="F72" s="20" t="n">
        <v>2.1402409</v>
      </c>
      <c r="G72" s="18" t="n">
        <v>73.96659639000001</v>
      </c>
      <c r="H72" s="20" t="n">
        <v>2.1251038</v>
      </c>
      <c r="I72" s="18" t="s">
        <v>431</v>
      </c>
      <c r="J72" s="20" t="s">
        <v>431</v>
      </c>
      <c r="K72" s="18" t="n">
        <v>0.13760512</v>
      </c>
      <c r="L72" s="20" t="n">
        <v>0.14137084</v>
      </c>
      <c r="M72" s="18" t="n">
        <v>0</v>
      </c>
      <c r="N72" s="20" t="n">
        <v>0</v>
      </c>
      <c r="O72" s="18" t="n">
        <v>0</v>
      </c>
      <c r="P72" s="20" t="n">
        <v>0</v>
      </c>
      <c r="Q72" s="18" t="n">
        <v>0.18316101</v>
      </c>
      <c r="R72" s="20" t="n">
        <v>0.18907856</v>
      </c>
    </row>
    <row r="73" spans="1:18">
      <c r="A73" s="15" t="s">
        <v>497</v>
      </c>
      <c r="B73" s="17" t="n">
        <v>3597</v>
      </c>
      <c r="C73" s="18">
        <f>(3161.0/B73*100)</f>
        <v/>
      </c>
      <c r="D73" s="19" t="n">
        <v>436</v>
      </c>
      <c r="E73" s="18" t="n">
        <v>50.53622506</v>
      </c>
      <c r="F73" s="20" t="n">
        <v>3.00289206</v>
      </c>
      <c r="G73" s="18" t="n">
        <v>48.51070954</v>
      </c>
      <c r="H73" s="20" t="n">
        <v>2.95738516</v>
      </c>
      <c r="I73" s="18" t="s">
        <v>431</v>
      </c>
      <c r="J73" s="20" t="s">
        <v>431</v>
      </c>
      <c r="K73" s="18" t="n">
        <v>0</v>
      </c>
      <c r="L73" s="20" t="n">
        <v>0</v>
      </c>
      <c r="M73" s="18" t="n">
        <v>0</v>
      </c>
      <c r="N73" s="20" t="n">
        <v>0</v>
      </c>
      <c r="O73" s="18" t="n">
        <v>0</v>
      </c>
      <c r="P73" s="20" t="n">
        <v>0</v>
      </c>
      <c r="Q73" s="18" t="n">
        <v>0.9530654</v>
      </c>
      <c r="R73" s="20" t="n">
        <v>0.53671875</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(2144.0/B75*100)</f>
        <v/>
      </c>
      <c r="D75" s="19" t="n">
        <v>262</v>
      </c>
      <c r="E75" s="18" t="n">
        <v>55.73964966</v>
      </c>
      <c r="F75" s="20" t="n">
        <v>2.90591323</v>
      </c>
      <c r="G75" s="18" t="n">
        <v>41.6939697</v>
      </c>
      <c r="H75" s="20" t="n">
        <v>2.99273751</v>
      </c>
      <c r="I75" s="18" t="s">
        <v>431</v>
      </c>
      <c r="J75" s="20" t="s">
        <v>431</v>
      </c>
      <c r="K75" s="18" t="n">
        <v>0.7303503099999999</v>
      </c>
      <c r="L75" s="20" t="n">
        <v>0.55928668</v>
      </c>
      <c r="M75" s="18" t="n">
        <v>0</v>
      </c>
      <c r="N75" s="20" t="n">
        <v>0</v>
      </c>
      <c r="O75" s="18" t="n">
        <v>0</v>
      </c>
      <c r="P75" s="20" t="n">
        <v>0</v>
      </c>
      <c r="Q75" s="18" t="n">
        <v>1.83603033</v>
      </c>
      <c r="R75" s="20" t="n">
        <v>1.18196208</v>
      </c>
    </row>
    <row r="76" spans="1:18">
      <c r="A76" s="15" t="s">
        <v>500</v>
      </c>
      <c r="B76" s="17" t="n">
        <v>7052</v>
      </c>
      <c r="C76" s="18">
        <f>(6220.0/B76*100)</f>
        <v/>
      </c>
      <c r="D76" s="19" t="n">
        <v>832</v>
      </c>
      <c r="E76" s="18" t="n">
        <v>50.76836924</v>
      </c>
      <c r="F76" s="20" t="n">
        <v>2.35668756</v>
      </c>
      <c r="G76" s="18" t="n">
        <v>46.02959944</v>
      </c>
      <c r="H76" s="20" t="n">
        <v>2.46728026</v>
      </c>
      <c r="I76" s="18" t="s">
        <v>431</v>
      </c>
      <c r="J76" s="20" t="s">
        <v>431</v>
      </c>
      <c r="K76" s="18" t="n">
        <v>1.02214479</v>
      </c>
      <c r="L76" s="20" t="n">
        <v>0.39286087</v>
      </c>
      <c r="M76" s="18" t="n">
        <v>0</v>
      </c>
      <c r="N76" s="20" t="n">
        <v>0</v>
      </c>
      <c r="O76" s="18" t="n">
        <v>0</v>
      </c>
      <c r="P76" s="20" t="n">
        <v>0</v>
      </c>
      <c r="Q76" s="18" t="n">
        <v>2.17988653</v>
      </c>
      <c r="R76" s="20" t="n">
        <v>0.66106204</v>
      </c>
    </row>
    <row r="77" spans="1:18">
      <c r="A77" s="15" t="s">
        <v>501</v>
      </c>
      <c r="B77" s="17" t="n">
        <v>2908</v>
      </c>
      <c r="C77" s="18">
        <f>(2543.0/B77*100)</f>
        <v/>
      </c>
      <c r="D77" s="19" t="n">
        <v>365</v>
      </c>
      <c r="E77" s="18" t="n">
        <v>46.89418881</v>
      </c>
      <c r="F77" s="20" t="n">
        <v>3.06406985</v>
      </c>
      <c r="G77" s="18" t="n">
        <v>51.45998496</v>
      </c>
      <c r="H77" s="20" t="n">
        <v>3.03052615</v>
      </c>
      <c r="I77" s="18" t="s">
        <v>431</v>
      </c>
      <c r="J77" s="20" t="s">
        <v>431</v>
      </c>
      <c r="K77" s="18" t="n">
        <v>0.30308207</v>
      </c>
      <c r="L77" s="20" t="n">
        <v>0.30478803</v>
      </c>
      <c r="M77" s="18" t="n">
        <v>0</v>
      </c>
      <c r="N77" s="20" t="n">
        <v>0</v>
      </c>
      <c r="O77" s="18" t="n">
        <v>0</v>
      </c>
      <c r="P77" s="20" t="n">
        <v>0</v>
      </c>
      <c r="Q77" s="18" t="n">
        <v>1.34274416</v>
      </c>
      <c r="R77" s="20" t="n">
        <v>0.5494474</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(3661.0/B81*100)</f>
        <v/>
      </c>
      <c r="D81" s="19" t="n">
        <v>502</v>
      </c>
      <c r="E81" s="18" t="n">
        <v>42.88586475</v>
      </c>
      <c r="F81" s="20" t="n">
        <v>2.69164302</v>
      </c>
      <c r="G81" s="18" t="n">
        <v>56.10620365</v>
      </c>
      <c r="H81" s="20" t="n">
        <v>2.76107711</v>
      </c>
      <c r="I81" s="18" t="s">
        <v>431</v>
      </c>
      <c r="J81" s="20" t="s">
        <v>431</v>
      </c>
      <c r="K81" s="18" t="n">
        <v>0.4438975</v>
      </c>
      <c r="L81" s="20" t="n">
        <v>0.43783924</v>
      </c>
      <c r="M81" s="18" t="n">
        <v>0</v>
      </c>
      <c r="N81" s="20" t="n">
        <v>0</v>
      </c>
      <c r="O81" s="18" t="n">
        <v>0</v>
      </c>
      <c r="P81" s="20" t="n">
        <v>0</v>
      </c>
      <c r="Q81" s="18" t="n">
        <v>0.56403409</v>
      </c>
      <c r="R81" s="20" t="n">
        <v>0.38016023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543</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(6503.0/B7*100)</f>
        <v/>
      </c>
      <c r="D7" s="19" t="n">
        <v>864</v>
      </c>
      <c r="E7" s="18" t="n">
        <v>32.34454484</v>
      </c>
      <c r="F7" s="20" t="n">
        <v>1.83800232</v>
      </c>
      <c r="G7" s="18" t="n">
        <v>37.21460104</v>
      </c>
      <c r="H7" s="20" t="n">
        <v>1.86665929</v>
      </c>
      <c r="I7" s="18" t="n">
        <v>19.37816022</v>
      </c>
      <c r="J7" s="20" t="n">
        <v>1.32802527</v>
      </c>
      <c r="K7" s="18" t="s">
        <v>431</v>
      </c>
      <c r="L7" s="20" t="s">
        <v>431</v>
      </c>
      <c r="M7" s="18" t="n">
        <v>0.19684426</v>
      </c>
      <c r="N7" s="20" t="n">
        <v>0.09838216</v>
      </c>
      <c r="O7" s="18" t="n">
        <v>0.05287934</v>
      </c>
      <c r="P7" s="20" t="n">
        <v>0.04057322</v>
      </c>
      <c r="Q7" s="18" t="n">
        <v>0</v>
      </c>
      <c r="R7" s="20" t="n">
        <v>0</v>
      </c>
      <c r="S7" s="18" t="n">
        <v>10.8129703</v>
      </c>
      <c r="T7" s="20" t="n">
        <v>1.61679921</v>
      </c>
    </row>
    <row r="8" spans="1:20">
      <c r="A8" s="15" t="s">
        <v>432</v>
      </c>
      <c r="B8" s="17" t="n">
        <v>3564</v>
      </c>
      <c r="C8" s="18">
        <f>(3151.0/B8*100)</f>
        <v/>
      </c>
      <c r="D8" s="19" t="n">
        <v>413</v>
      </c>
      <c r="E8" s="18" t="n">
        <v>43.60012215</v>
      </c>
      <c r="F8" s="20" t="n">
        <v>2.50220989</v>
      </c>
      <c r="G8" s="18" t="n">
        <v>26.61280127</v>
      </c>
      <c r="H8" s="20" t="n">
        <v>2.33537128</v>
      </c>
      <c r="I8" s="18" t="n">
        <v>13.49494664</v>
      </c>
      <c r="J8" s="20" t="n">
        <v>1.88196867</v>
      </c>
      <c r="K8" s="18" t="s">
        <v>431</v>
      </c>
      <c r="L8" s="20" t="s">
        <v>431</v>
      </c>
      <c r="M8" s="18" t="n">
        <v>0.16643221</v>
      </c>
      <c r="N8" s="20" t="n">
        <v>0.17475891</v>
      </c>
      <c r="O8" s="18" t="n">
        <v>0</v>
      </c>
      <c r="P8" s="20" t="n">
        <v>0</v>
      </c>
      <c r="Q8" s="18" t="n">
        <v>0</v>
      </c>
      <c r="R8" s="20" t="n">
        <v>0</v>
      </c>
      <c r="S8" s="18" t="n">
        <v>16.12569773</v>
      </c>
      <c r="T8" s="20" t="n">
        <v>1.93544447</v>
      </c>
    </row>
    <row r="9" spans="1:20">
      <c r="A9" s="15" t="s">
        <v>433</v>
      </c>
      <c r="B9" s="17" t="n">
        <v>4899</v>
      </c>
      <c r="C9" s="18">
        <f>(4317.0/B9*100)</f>
        <v/>
      </c>
      <c r="D9" s="19" t="n">
        <v>582</v>
      </c>
      <c r="E9" s="18" t="n">
        <v>45.26738611</v>
      </c>
      <c r="F9" s="20" t="n">
        <v>2.23980922</v>
      </c>
      <c r="G9" s="18" t="n">
        <v>19.77248334</v>
      </c>
      <c r="H9" s="20" t="n">
        <v>1.59499725</v>
      </c>
      <c r="I9" s="18" t="n">
        <v>18.81519165</v>
      </c>
      <c r="J9" s="20" t="n">
        <v>1.55827276</v>
      </c>
      <c r="K9" s="18" t="s">
        <v>431</v>
      </c>
      <c r="L9" s="20" t="s">
        <v>431</v>
      </c>
      <c r="M9" s="18" t="n">
        <v>0.15301428</v>
      </c>
      <c r="N9" s="20" t="n">
        <v>0.14893282</v>
      </c>
      <c r="O9" s="18" t="n">
        <v>0.29153816</v>
      </c>
      <c r="P9" s="20" t="n">
        <v>0.21023757</v>
      </c>
      <c r="Q9" s="18" t="n">
        <v>0</v>
      </c>
      <c r="R9" s="20" t="n">
        <v>0</v>
      </c>
      <c r="S9" s="18" t="n">
        <v>15.70038646</v>
      </c>
      <c r="T9" s="20" t="n">
        <v>2.0541446</v>
      </c>
    </row>
    <row r="10" spans="1:20">
      <c r="A10" s="15" t="s">
        <v>434</v>
      </c>
      <c r="B10" s="17" t="n">
        <v>10036</v>
      </c>
      <c r="C10" s="18">
        <f>(8812.0/B10*100)</f>
        <v/>
      </c>
      <c r="D10" s="19" t="n">
        <v>1224</v>
      </c>
      <c r="E10" s="18" t="n">
        <v>28.72571129</v>
      </c>
      <c r="F10" s="20" t="n">
        <v>1.7242385</v>
      </c>
      <c r="G10" s="18" t="n">
        <v>36.48928032</v>
      </c>
      <c r="H10" s="20" t="n">
        <v>1.86737899</v>
      </c>
      <c r="I10" s="18" t="n">
        <v>27.46157241</v>
      </c>
      <c r="J10" s="20" t="n">
        <v>1.85209358</v>
      </c>
      <c r="K10" s="18" t="s">
        <v>431</v>
      </c>
      <c r="L10" s="20" t="s">
        <v>431</v>
      </c>
      <c r="M10" s="18" t="n">
        <v>0.6994715500000001</v>
      </c>
      <c r="N10" s="20" t="n">
        <v>0.34364746</v>
      </c>
      <c r="O10" s="18" t="n">
        <v>0</v>
      </c>
      <c r="P10" s="20" t="n">
        <v>0</v>
      </c>
      <c r="Q10" s="18" t="n">
        <v>0</v>
      </c>
      <c r="R10" s="20" t="n">
        <v>0</v>
      </c>
      <c r="S10" s="18" t="n">
        <v>6.62396442</v>
      </c>
      <c r="T10" s="20" t="n">
        <v>1.02259226</v>
      </c>
    </row>
    <row r="11" spans="1:20">
      <c r="A11" s="15" t="s">
        <v>435</v>
      </c>
      <c r="B11" s="17" t="n">
        <v>3553</v>
      </c>
      <c r="C11" s="18">
        <f>(3104.0/B11*100)</f>
        <v/>
      </c>
      <c r="D11" s="19" t="n">
        <v>449</v>
      </c>
      <c r="E11" s="18" t="n">
        <v>33.62237671</v>
      </c>
      <c r="F11" s="20" t="n">
        <v>2.77213733</v>
      </c>
      <c r="G11" s="18" t="n">
        <v>26.97410564</v>
      </c>
      <c r="H11" s="20" t="n">
        <v>2.60095457</v>
      </c>
      <c r="I11" s="18" t="n">
        <v>16.83337676</v>
      </c>
      <c r="J11" s="20" t="n">
        <v>2.02789524</v>
      </c>
      <c r="K11" s="18" t="s">
        <v>431</v>
      </c>
      <c r="L11" s="20" t="s">
        <v>431</v>
      </c>
      <c r="M11" s="18" t="n">
        <v>0.70000177</v>
      </c>
      <c r="N11" s="20" t="n">
        <v>0.65502224</v>
      </c>
      <c r="O11" s="18" t="n">
        <v>0</v>
      </c>
      <c r="P11" s="20" t="n">
        <v>0</v>
      </c>
      <c r="Q11" s="18" t="n">
        <v>0</v>
      </c>
      <c r="R11" s="20" t="n">
        <v>0</v>
      </c>
      <c r="S11" s="18" t="n">
        <v>21.87013912</v>
      </c>
      <c r="T11" s="20" t="n">
        <v>2.07813968</v>
      </c>
    </row>
    <row r="12" spans="1:20">
      <c r="A12" s="15" t="s">
        <v>436</v>
      </c>
      <c r="B12" s="17" t="n">
        <v>3472</v>
      </c>
      <c r="C12" s="18">
        <f>(3042.0/B12*100)</f>
        <v/>
      </c>
      <c r="D12" s="19" t="n">
        <v>430</v>
      </c>
      <c r="E12" s="18" t="n">
        <v>33.2871432</v>
      </c>
      <c r="F12" s="20" t="n">
        <v>2.76790346</v>
      </c>
      <c r="G12" s="18" t="n">
        <v>32.48938887</v>
      </c>
      <c r="H12" s="20" t="n">
        <v>2.34039059</v>
      </c>
      <c r="I12" s="18" t="n">
        <v>11.58872832</v>
      </c>
      <c r="J12" s="20" t="n">
        <v>1.42549498</v>
      </c>
      <c r="K12" s="18" t="s">
        <v>431</v>
      </c>
      <c r="L12" s="20" t="s">
        <v>431</v>
      </c>
      <c r="M12" s="18" t="n">
        <v>0</v>
      </c>
      <c r="N12" s="20" t="n">
        <v>0</v>
      </c>
      <c r="O12" s="18" t="n">
        <v>0.13853796</v>
      </c>
      <c r="P12" s="20" t="n">
        <v>0.18348223</v>
      </c>
      <c r="Q12" s="18" t="n">
        <v>0</v>
      </c>
      <c r="R12" s="20" t="n">
        <v>0</v>
      </c>
      <c r="S12" s="18" t="n">
        <v>22.49620164</v>
      </c>
      <c r="T12" s="20" t="n">
        <v>2.27876491</v>
      </c>
    </row>
    <row r="13" spans="1:20">
      <c r="A13" s="15" t="s">
        <v>437</v>
      </c>
      <c r="B13" s="17" t="n">
        <v>3559</v>
      </c>
      <c r="C13" s="18">
        <f>(3146.0/B13*100)</f>
        <v/>
      </c>
      <c r="D13" s="19" t="n">
        <v>413</v>
      </c>
      <c r="E13" s="18" t="n">
        <v>22.05851529</v>
      </c>
      <c r="F13" s="20" t="n">
        <v>2.17731135</v>
      </c>
      <c r="G13" s="18" t="n">
        <v>50.67474248</v>
      </c>
      <c r="H13" s="20" t="n">
        <v>2.8955393</v>
      </c>
      <c r="I13" s="18" t="n">
        <v>19.26862586</v>
      </c>
      <c r="J13" s="20" t="n">
        <v>2.03595346</v>
      </c>
      <c r="K13" s="18" t="s">
        <v>431</v>
      </c>
      <c r="L13" s="20" t="s">
        <v>431</v>
      </c>
      <c r="M13" s="18" t="n">
        <v>1.23916132</v>
      </c>
      <c r="N13" s="20" t="n">
        <v>0.66779667</v>
      </c>
      <c r="O13" s="18" t="n">
        <v>0</v>
      </c>
      <c r="P13" s="20" t="n">
        <v>0</v>
      </c>
      <c r="Q13" s="18" t="n">
        <v>0</v>
      </c>
      <c r="R13" s="20" t="n">
        <v>0</v>
      </c>
      <c r="S13" s="18" t="n">
        <v>6.75895504</v>
      </c>
      <c r="T13" s="20" t="n">
        <v>1.63023725</v>
      </c>
    </row>
    <row r="14" spans="1:20">
      <c r="A14" s="15" t="s">
        <v>438</v>
      </c>
      <c r="B14" s="17" t="n">
        <v>2799</v>
      </c>
      <c r="C14" s="18">
        <f>(2462.0/B14*100)</f>
        <v/>
      </c>
      <c r="D14" s="19" t="n">
        <v>337</v>
      </c>
      <c r="E14" s="18" t="n">
        <v>32.48212007</v>
      </c>
      <c r="F14" s="20" t="n">
        <v>2.36976633</v>
      </c>
      <c r="G14" s="18" t="n">
        <v>51.32703796</v>
      </c>
      <c r="H14" s="20" t="n">
        <v>2.60223493</v>
      </c>
      <c r="I14" s="18" t="n">
        <v>6.23086241</v>
      </c>
      <c r="J14" s="20" t="n">
        <v>1.52230071</v>
      </c>
      <c r="K14" s="18" t="s">
        <v>431</v>
      </c>
      <c r="L14" s="20" t="s">
        <v>431</v>
      </c>
      <c r="M14" s="18" t="n">
        <v>0.50530297</v>
      </c>
      <c r="N14" s="20" t="n">
        <v>0.36299892</v>
      </c>
      <c r="O14" s="18" t="n">
        <v>0</v>
      </c>
      <c r="P14" s="20" t="n">
        <v>0</v>
      </c>
      <c r="Q14" s="18" t="n">
        <v>0</v>
      </c>
      <c r="R14" s="20" t="n">
        <v>0</v>
      </c>
      <c r="S14" s="18" t="n">
        <v>9.45467659</v>
      </c>
      <c r="T14" s="20" t="n">
        <v>1.69216581</v>
      </c>
    </row>
    <row r="15" spans="1:20">
      <c r="A15" s="15" t="s">
        <v>439</v>
      </c>
      <c r="B15" s="17" t="n">
        <v>3019</v>
      </c>
      <c r="C15" s="18">
        <f>(2644.0/B15*100)</f>
        <v/>
      </c>
      <c r="D15" s="19" t="n">
        <v>375</v>
      </c>
      <c r="E15" s="18" t="n">
        <v>38.50973684</v>
      </c>
      <c r="F15" s="20" t="n">
        <v>2.58179913</v>
      </c>
      <c r="G15" s="18" t="n">
        <v>39.03158616</v>
      </c>
      <c r="H15" s="20" t="n">
        <v>2.77761824</v>
      </c>
      <c r="I15" s="18" t="n">
        <v>11.7829333</v>
      </c>
      <c r="J15" s="20" t="n">
        <v>1.51480196</v>
      </c>
      <c r="K15" s="18" t="s">
        <v>431</v>
      </c>
      <c r="L15" s="20" t="s">
        <v>431</v>
      </c>
      <c r="M15" s="18" t="n">
        <v>0.78875576</v>
      </c>
      <c r="N15" s="20" t="n">
        <v>0.45005194</v>
      </c>
      <c r="O15" s="18" t="n">
        <v>0</v>
      </c>
      <c r="P15" s="20" t="n">
        <v>0</v>
      </c>
      <c r="Q15" s="18" t="n">
        <v>0</v>
      </c>
      <c r="R15" s="20" t="n">
        <v>0</v>
      </c>
      <c r="S15" s="18" t="n">
        <v>9.886987939999999</v>
      </c>
      <c r="T15" s="20" t="n">
        <v>1.7517995</v>
      </c>
    </row>
    <row r="16" spans="1:20">
      <c r="A16" s="15" t="s">
        <v>440</v>
      </c>
      <c r="B16" s="17" t="n">
        <v>2997</v>
      </c>
      <c r="C16" s="18">
        <f>(2615.0/B16*100)</f>
        <v/>
      </c>
      <c r="D16" s="19" t="n">
        <v>382</v>
      </c>
      <c r="E16" s="18" t="n">
        <v>26.64675888</v>
      </c>
      <c r="F16" s="20" t="n">
        <v>2.42222329</v>
      </c>
      <c r="G16" s="18" t="n">
        <v>28.90044645</v>
      </c>
      <c r="H16" s="20" t="n">
        <v>2.13766445</v>
      </c>
      <c r="I16" s="18" t="n">
        <v>12.53852764</v>
      </c>
      <c r="J16" s="20" t="n">
        <v>1.67789494</v>
      </c>
      <c r="K16" s="18" t="s">
        <v>431</v>
      </c>
      <c r="L16" s="20" t="s">
        <v>431</v>
      </c>
      <c r="M16" s="18" t="n">
        <v>1.78166347</v>
      </c>
      <c r="N16" s="20" t="n">
        <v>0.73416369</v>
      </c>
      <c r="O16" s="18" t="n">
        <v>0</v>
      </c>
      <c r="P16" s="20" t="n">
        <v>0</v>
      </c>
      <c r="Q16" s="18" t="n">
        <v>0</v>
      </c>
      <c r="R16" s="20" t="n">
        <v>0</v>
      </c>
      <c r="S16" s="18" t="n">
        <v>30.13260356</v>
      </c>
      <c r="T16" s="20" t="n">
        <v>2.2897576</v>
      </c>
    </row>
    <row r="17" spans="1:20">
      <c r="A17" s="15" t="s">
        <v>441</v>
      </c>
      <c r="B17" s="17" t="n">
        <v>3307</v>
      </c>
      <c r="C17" s="18">
        <f>(2905.0/B17*100)</f>
        <v/>
      </c>
      <c r="D17" s="19" t="n">
        <v>402</v>
      </c>
      <c r="E17" s="18" t="n">
        <v>16.84301129</v>
      </c>
      <c r="F17" s="20" t="n">
        <v>1.7413545</v>
      </c>
      <c r="G17" s="18" t="n">
        <v>48.57342411</v>
      </c>
      <c r="H17" s="20" t="n">
        <v>2.59223424</v>
      </c>
      <c r="I17" s="18" t="n">
        <v>16.1662148</v>
      </c>
      <c r="J17" s="20" t="n">
        <v>1.6993373</v>
      </c>
      <c r="K17" s="18" t="s">
        <v>431</v>
      </c>
      <c r="L17" s="20" t="s">
        <v>431</v>
      </c>
      <c r="M17" s="18" t="n">
        <v>0.2502529</v>
      </c>
      <c r="N17" s="20" t="n">
        <v>0.25180952</v>
      </c>
      <c r="O17" s="18" t="n">
        <v>0</v>
      </c>
      <c r="P17" s="20" t="n">
        <v>0</v>
      </c>
      <c r="Q17" s="18" t="n">
        <v>0</v>
      </c>
      <c r="R17" s="20" t="n">
        <v>0</v>
      </c>
      <c r="S17" s="18" t="n">
        <v>18.16709691</v>
      </c>
      <c r="T17" s="20" t="n">
        <v>2.15597132</v>
      </c>
    </row>
    <row r="18" spans="1:20">
      <c r="A18" s="15" t="s">
        <v>442</v>
      </c>
      <c r="B18" s="17" t="n">
        <v>2826</v>
      </c>
      <c r="C18" s="18">
        <f>(2500.0/B18*100)</f>
        <v/>
      </c>
      <c r="D18" s="19" t="n">
        <v>326</v>
      </c>
      <c r="E18" s="18" t="n">
        <v>34.34492573</v>
      </c>
      <c r="F18" s="20" t="n">
        <v>2.86235201</v>
      </c>
      <c r="G18" s="18" t="n">
        <v>32.67907335</v>
      </c>
      <c r="H18" s="20" t="n">
        <v>2.69554666</v>
      </c>
      <c r="I18" s="18" t="n">
        <v>11.11189941</v>
      </c>
      <c r="J18" s="20" t="n">
        <v>2.01004186</v>
      </c>
      <c r="K18" s="18" t="s">
        <v>431</v>
      </c>
      <c r="L18" s="20" t="s">
        <v>431</v>
      </c>
      <c r="M18" s="18" t="n">
        <v>0.31589747</v>
      </c>
      <c r="N18" s="20" t="n">
        <v>0.3214321</v>
      </c>
      <c r="O18" s="18" t="n">
        <v>0</v>
      </c>
      <c r="P18" s="20" t="n">
        <v>0</v>
      </c>
      <c r="Q18" s="18" t="n">
        <v>0</v>
      </c>
      <c r="R18" s="20" t="n">
        <v>0</v>
      </c>
      <c r="S18" s="18" t="n">
        <v>21.54820404</v>
      </c>
      <c r="T18" s="20" t="n">
        <v>2.66806364</v>
      </c>
    </row>
    <row r="19" spans="1:20">
      <c r="A19" s="15" t="s">
        <v>443</v>
      </c>
      <c r="B19" s="17" t="n">
        <v>2808</v>
      </c>
      <c r="C19" s="18">
        <f>(2467.0/B19*100)</f>
        <v/>
      </c>
      <c r="D19" s="19" t="n">
        <v>341</v>
      </c>
      <c r="E19" s="18" t="n">
        <v>39.02722914</v>
      </c>
      <c r="F19" s="20" t="n">
        <v>2.80669594</v>
      </c>
      <c r="G19" s="18" t="n">
        <v>26.43009449</v>
      </c>
      <c r="H19" s="20" t="n">
        <v>2.45573176</v>
      </c>
      <c r="I19" s="18" t="n">
        <v>12.05432075</v>
      </c>
      <c r="J19" s="20" t="n">
        <v>1.91222881</v>
      </c>
      <c r="K19" s="18" t="s">
        <v>431</v>
      </c>
      <c r="L19" s="20" t="s">
        <v>431</v>
      </c>
      <c r="M19" s="18" t="n">
        <v>0.6804766799999999</v>
      </c>
      <c r="N19" s="20" t="n">
        <v>0.64257096</v>
      </c>
      <c r="O19" s="18" t="n">
        <v>0</v>
      </c>
      <c r="P19" s="20" t="n">
        <v>0</v>
      </c>
      <c r="Q19" s="18" t="n">
        <v>0</v>
      </c>
      <c r="R19" s="20" t="n">
        <v>0</v>
      </c>
      <c r="S19" s="18" t="n">
        <v>21.80787895</v>
      </c>
      <c r="T19" s="20" t="n">
        <v>2.43457683</v>
      </c>
    </row>
    <row r="20" spans="1:20">
      <c r="A20" s="15" t="s">
        <v>444</v>
      </c>
      <c r="B20" s="17" t="n">
        <v>1630</v>
      </c>
      <c r="C20" s="18">
        <f>(1423.0/B20*100)</f>
        <v/>
      </c>
      <c r="D20" s="19" t="n">
        <v>207</v>
      </c>
      <c r="E20" s="18" t="n">
        <v>43.2205315</v>
      </c>
      <c r="F20" s="20" t="n">
        <v>3.31254044</v>
      </c>
      <c r="G20" s="18" t="n">
        <v>37.73515604</v>
      </c>
      <c r="H20" s="20" t="n">
        <v>3.14446119</v>
      </c>
      <c r="I20" s="18" t="n">
        <v>5.29088094</v>
      </c>
      <c r="J20" s="20" t="n">
        <v>1.67433479</v>
      </c>
      <c r="K20" s="18" t="s">
        <v>431</v>
      </c>
      <c r="L20" s="20" t="s">
        <v>431</v>
      </c>
      <c r="M20" s="18" t="n">
        <v>1.48274994</v>
      </c>
      <c r="N20" s="20" t="n">
        <v>0.82911558</v>
      </c>
      <c r="O20" s="18" t="n">
        <v>1.14805052</v>
      </c>
      <c r="P20" s="20" t="n">
        <v>0.66376998</v>
      </c>
      <c r="Q20" s="18" t="n">
        <v>0</v>
      </c>
      <c r="R20" s="20" t="n">
        <v>0</v>
      </c>
      <c r="S20" s="18" t="n">
        <v>11.12263105</v>
      </c>
      <c r="T20" s="20" t="n">
        <v>2.13489608</v>
      </c>
    </row>
    <row r="21" spans="1:20">
      <c r="A21" s="15" t="s">
        <v>445</v>
      </c>
      <c r="B21" s="17" t="n">
        <v>2908</v>
      </c>
      <c r="C21" s="18">
        <f>(2434.0/B21*100)</f>
        <v/>
      </c>
      <c r="D21" s="19" t="n">
        <v>474</v>
      </c>
      <c r="E21" s="18" t="n">
        <v>23.73535332</v>
      </c>
      <c r="F21" s="20" t="n">
        <v>1.44143173</v>
      </c>
      <c r="G21" s="18" t="n">
        <v>41.45714587</v>
      </c>
      <c r="H21" s="20" t="n">
        <v>2.10082913</v>
      </c>
      <c r="I21" s="18" t="n">
        <v>27.97668412</v>
      </c>
      <c r="J21" s="20" t="n">
        <v>2.12440173</v>
      </c>
      <c r="K21" s="18" t="s">
        <v>431</v>
      </c>
      <c r="L21" s="20" t="s">
        <v>431</v>
      </c>
      <c r="M21" s="18" t="n">
        <v>0.19514629</v>
      </c>
      <c r="N21" s="20" t="n">
        <v>0.17665088</v>
      </c>
      <c r="O21" s="18" t="n">
        <v>0</v>
      </c>
      <c r="P21" s="20" t="n">
        <v>0</v>
      </c>
      <c r="Q21" s="18" t="n">
        <v>0</v>
      </c>
      <c r="R21" s="20" t="n">
        <v>0</v>
      </c>
      <c r="S21" s="18" t="n">
        <v>6.6356704</v>
      </c>
      <c r="T21" s="20" t="n">
        <v>1.00355057</v>
      </c>
    </row>
    <row r="22" spans="1:20">
      <c r="A22" s="15" t="s">
        <v>446</v>
      </c>
      <c r="B22" s="17" t="n">
        <v>2931</v>
      </c>
      <c r="C22" s="18">
        <f>(2562.0/B22*100)</f>
        <v/>
      </c>
      <c r="D22" s="19" t="n">
        <v>369</v>
      </c>
      <c r="E22" s="18" t="n">
        <v>37.79085134</v>
      </c>
      <c r="F22" s="20" t="n">
        <v>2.70130126</v>
      </c>
      <c r="G22" s="18" t="n">
        <v>36.85271523</v>
      </c>
      <c r="H22" s="20" t="n">
        <v>3.60841555</v>
      </c>
      <c r="I22" s="18" t="n">
        <v>10.85065071</v>
      </c>
      <c r="J22" s="20" t="n">
        <v>1.81337756</v>
      </c>
      <c r="K22" s="18" t="s">
        <v>431</v>
      </c>
      <c r="L22" s="20" t="s">
        <v>431</v>
      </c>
      <c r="M22" s="18" t="n">
        <v>0.20110685</v>
      </c>
      <c r="N22" s="20" t="n">
        <v>0.2015796</v>
      </c>
      <c r="O22" s="18" t="n">
        <v>0</v>
      </c>
      <c r="P22" s="20" t="n">
        <v>0</v>
      </c>
      <c r="Q22" s="18" t="n">
        <v>0</v>
      </c>
      <c r="R22" s="20" t="n">
        <v>0</v>
      </c>
      <c r="S22" s="18" t="n">
        <v>14.30467588</v>
      </c>
      <c r="T22" s="20" t="n">
        <v>1.90287519</v>
      </c>
    </row>
    <row r="23" spans="1:20">
      <c r="A23" s="15" t="s">
        <v>447</v>
      </c>
      <c r="B23" s="17" t="n">
        <v>5791</v>
      </c>
      <c r="C23" s="18">
        <f>(5061.0/B23*100)</f>
        <v/>
      </c>
      <c r="D23" s="19" t="n">
        <v>730</v>
      </c>
      <c r="E23" s="18" t="n">
        <v>0.2817032</v>
      </c>
      <c r="F23" s="20" t="n">
        <v>0.0554414</v>
      </c>
      <c r="G23" s="18" t="n">
        <v>0.29643047</v>
      </c>
      <c r="H23" s="20" t="n">
        <v>0.05687948</v>
      </c>
      <c r="I23" s="18" t="n">
        <v>0.06744446</v>
      </c>
      <c r="J23" s="20" t="n">
        <v>0.02641612</v>
      </c>
      <c r="K23" s="18" t="s">
        <v>431</v>
      </c>
      <c r="L23" s="20" t="s">
        <v>431</v>
      </c>
      <c r="M23" s="18" t="n">
        <v>0.00719244</v>
      </c>
      <c r="N23" s="20" t="n">
        <v>0.00717987</v>
      </c>
      <c r="O23" s="18" t="n">
        <v>99.29295190000001</v>
      </c>
      <c r="P23" s="20" t="n">
        <v>0.09129762</v>
      </c>
      <c r="Q23" s="18" t="n">
        <v>0</v>
      </c>
      <c r="R23" s="20" t="n">
        <v>0</v>
      </c>
      <c r="S23" s="18" t="n">
        <v>0.05427753</v>
      </c>
      <c r="T23" s="20" t="n">
        <v>0.01568485</v>
      </c>
    </row>
    <row r="24" spans="1:20">
      <c r="A24" s="15" t="s">
        <v>448</v>
      </c>
      <c r="B24" s="17" t="n">
        <v>3338</v>
      </c>
      <c r="C24" s="18">
        <f>(2926.0/B24*100)</f>
        <v/>
      </c>
      <c r="D24" s="19" t="n">
        <v>412</v>
      </c>
      <c r="E24" s="18" t="n">
        <v>18.97136036</v>
      </c>
      <c r="F24" s="20" t="n">
        <v>1.9424858</v>
      </c>
      <c r="G24" s="18" t="n">
        <v>15.51492138</v>
      </c>
      <c r="H24" s="20" t="n">
        <v>1.64978066</v>
      </c>
      <c r="I24" s="18" t="n">
        <v>29.3487103</v>
      </c>
      <c r="J24" s="20" t="n">
        <v>2.0629023</v>
      </c>
      <c r="K24" s="18" t="s">
        <v>431</v>
      </c>
      <c r="L24" s="20" t="s">
        <v>431</v>
      </c>
      <c r="M24" s="18" t="n">
        <v>0.48912222</v>
      </c>
      <c r="N24" s="20" t="n">
        <v>0.34378039</v>
      </c>
      <c r="O24" s="18" t="n">
        <v>0</v>
      </c>
      <c r="P24" s="20" t="n">
        <v>0</v>
      </c>
      <c r="Q24" s="18" t="n">
        <v>0</v>
      </c>
      <c r="R24" s="20" t="n">
        <v>0</v>
      </c>
      <c r="S24" s="18" t="n">
        <v>35.67588573</v>
      </c>
      <c r="T24" s="20" t="n">
        <v>2.21562066</v>
      </c>
    </row>
    <row r="25" spans="1:20">
      <c r="A25" s="15" t="s">
        <v>449</v>
      </c>
      <c r="B25" s="17" t="n">
        <v>2912</v>
      </c>
      <c r="C25" s="18">
        <f>(2567.0/B25*100)</f>
        <v/>
      </c>
      <c r="D25" s="19" t="n">
        <v>345</v>
      </c>
      <c r="E25" s="18" t="n">
        <v>14.40477221</v>
      </c>
      <c r="F25" s="20" t="n">
        <v>2.12593096</v>
      </c>
      <c r="G25" s="18" t="n">
        <v>53.66862252</v>
      </c>
      <c r="H25" s="20" t="n">
        <v>2.63058507</v>
      </c>
      <c r="I25" s="18" t="n">
        <v>13.74647041</v>
      </c>
      <c r="J25" s="20" t="n">
        <v>1.80246429</v>
      </c>
      <c r="K25" s="18" t="s">
        <v>431</v>
      </c>
      <c r="L25" s="20" t="s">
        <v>431</v>
      </c>
      <c r="M25" s="18" t="n">
        <v>0.27989506</v>
      </c>
      <c r="N25" s="20" t="n">
        <v>0.27644211</v>
      </c>
      <c r="O25" s="18" t="n">
        <v>0</v>
      </c>
      <c r="P25" s="20" t="n">
        <v>0</v>
      </c>
      <c r="Q25" s="18" t="n">
        <v>0</v>
      </c>
      <c r="R25" s="20" t="n">
        <v>0</v>
      </c>
      <c r="S25" s="18" t="n">
        <v>17.90023981</v>
      </c>
      <c r="T25" s="20" t="n">
        <v>2.28519542</v>
      </c>
    </row>
    <row r="26" spans="1:20">
      <c r="A26" s="15" t="s">
        <v>450</v>
      </c>
      <c r="B26" s="17" t="n">
        <v>2450</v>
      </c>
      <c r="C26" s="18">
        <f>(2156.0/B26*100)</f>
        <v/>
      </c>
      <c r="D26" s="19" t="n">
        <v>294</v>
      </c>
      <c r="E26" s="18" t="n">
        <v>47.17474053</v>
      </c>
      <c r="F26" s="20" t="n">
        <v>3.58117636</v>
      </c>
      <c r="G26" s="18" t="n">
        <v>26.45597764</v>
      </c>
      <c r="H26" s="20" t="n">
        <v>2.45545949</v>
      </c>
      <c r="I26" s="18" t="n">
        <v>11.95471194</v>
      </c>
      <c r="J26" s="20" t="n">
        <v>2.26366992</v>
      </c>
      <c r="K26" s="18" t="s">
        <v>431</v>
      </c>
      <c r="L26" s="20" t="s">
        <v>431</v>
      </c>
      <c r="M26" s="18" t="n">
        <v>0</v>
      </c>
      <c r="N26" s="20" t="n">
        <v>0</v>
      </c>
      <c r="O26" s="18" t="n">
        <v>0.67741014</v>
      </c>
      <c r="P26" s="20" t="n">
        <v>0.68348042</v>
      </c>
      <c r="Q26" s="18" t="n">
        <v>0</v>
      </c>
      <c r="R26" s="20" t="n">
        <v>0</v>
      </c>
      <c r="S26" s="18" t="n">
        <v>13.73715975</v>
      </c>
      <c r="T26" s="20" t="n">
        <v>2.28524519</v>
      </c>
    </row>
    <row r="27" spans="1:20">
      <c r="A27" s="15" t="s">
        <v>451</v>
      </c>
      <c r="B27" s="17" t="n">
        <v>2616</v>
      </c>
      <c r="C27" s="18">
        <f>(2288.0/B27*100)</f>
        <v/>
      </c>
      <c r="D27" s="19" t="n">
        <v>328</v>
      </c>
      <c r="E27" s="18" t="n">
        <v>33.55139449</v>
      </c>
      <c r="F27" s="20" t="n">
        <v>2.76076746</v>
      </c>
      <c r="G27" s="18" t="n">
        <v>32.35792973</v>
      </c>
      <c r="H27" s="20" t="n">
        <v>2.73424433</v>
      </c>
      <c r="I27" s="18" t="n">
        <v>10.23172153</v>
      </c>
      <c r="J27" s="20" t="n">
        <v>1.91710083</v>
      </c>
      <c r="K27" s="18" t="s">
        <v>431</v>
      </c>
      <c r="L27" s="20" t="s">
        <v>431</v>
      </c>
      <c r="M27" s="18" t="n">
        <v>1.23900643</v>
      </c>
      <c r="N27" s="20" t="n">
        <v>0.62062101</v>
      </c>
      <c r="O27" s="18" t="n">
        <v>0</v>
      </c>
      <c r="P27" s="20" t="n">
        <v>0</v>
      </c>
      <c r="Q27" s="18" t="n">
        <v>0</v>
      </c>
      <c r="R27" s="20" t="n">
        <v>0</v>
      </c>
      <c r="S27" s="18" t="n">
        <v>22.61994782</v>
      </c>
      <c r="T27" s="20" t="n">
        <v>2.24117309</v>
      </c>
    </row>
    <row r="28" spans="1:20">
      <c r="A28" s="15" t="s">
        <v>452</v>
      </c>
      <c r="B28" s="17" t="n">
        <v>3765</v>
      </c>
      <c r="C28" s="18">
        <f>(3348.0/B28*100)</f>
        <v/>
      </c>
      <c r="D28" s="19" t="n">
        <v>417</v>
      </c>
      <c r="E28" s="18" t="n">
        <v>63.71402389</v>
      </c>
      <c r="F28" s="20" t="n">
        <v>2.59308895</v>
      </c>
      <c r="G28" s="18" t="n">
        <v>27.11504528</v>
      </c>
      <c r="H28" s="20" t="n">
        <v>2.37117256</v>
      </c>
      <c r="I28" s="18" t="n">
        <v>1.15475063</v>
      </c>
      <c r="J28" s="20" t="n">
        <v>0.65294918</v>
      </c>
      <c r="K28" s="18" t="s">
        <v>431</v>
      </c>
      <c r="L28" s="20" t="s">
        <v>431</v>
      </c>
      <c r="M28" s="18" t="n">
        <v>0.23279523</v>
      </c>
      <c r="N28" s="20" t="n">
        <v>0.25350593</v>
      </c>
      <c r="O28" s="18" t="n">
        <v>0</v>
      </c>
      <c r="P28" s="20" t="n">
        <v>0</v>
      </c>
      <c r="Q28" s="18" t="n">
        <v>0</v>
      </c>
      <c r="R28" s="20" t="n">
        <v>0</v>
      </c>
      <c r="S28" s="18" t="n">
        <v>7.78338497</v>
      </c>
      <c r="T28" s="20" t="n">
        <v>1.43109649</v>
      </c>
    </row>
    <row r="29" spans="1:20">
      <c r="A29" s="15" t="s">
        <v>453</v>
      </c>
      <c r="B29" s="17" t="n">
        <v>2685</v>
      </c>
      <c r="C29" s="18">
        <f>(2357.0/B29*100)</f>
        <v/>
      </c>
      <c r="D29" s="19" t="n">
        <v>328</v>
      </c>
      <c r="E29" s="18" t="n">
        <v>39.30566491</v>
      </c>
      <c r="F29" s="20" t="n">
        <v>2.78262278</v>
      </c>
      <c r="G29" s="18" t="n">
        <v>30.83649468</v>
      </c>
      <c r="H29" s="20" t="n">
        <v>2.41186285</v>
      </c>
      <c r="I29" s="18" t="n">
        <v>25.55831788</v>
      </c>
      <c r="J29" s="20" t="n">
        <v>2.22495881</v>
      </c>
      <c r="K29" s="18" t="s">
        <v>431</v>
      </c>
      <c r="L29" s="20" t="s">
        <v>431</v>
      </c>
      <c r="M29" s="18" t="n">
        <v>0.30333199</v>
      </c>
      <c r="N29" s="20" t="n">
        <v>0.29896552</v>
      </c>
      <c r="O29" s="18" t="n">
        <v>0</v>
      </c>
      <c r="P29" s="20" t="n">
        <v>0</v>
      </c>
      <c r="Q29" s="18" t="n">
        <v>0</v>
      </c>
      <c r="R29" s="20" t="n">
        <v>0</v>
      </c>
      <c r="S29" s="18" t="n">
        <v>3.99619054</v>
      </c>
      <c r="T29" s="20" t="n">
        <v>1.19365994</v>
      </c>
    </row>
    <row r="30" spans="1:20">
      <c r="A30" s="15" t="s">
        <v>454</v>
      </c>
      <c r="B30" s="17" t="n">
        <v>2263</v>
      </c>
      <c r="C30" s="18">
        <f>(1976.0/B30*100)</f>
        <v/>
      </c>
      <c r="D30" s="19" t="n">
        <v>287</v>
      </c>
      <c r="E30" s="18" t="n">
        <v>29.57392613</v>
      </c>
      <c r="F30" s="20" t="n">
        <v>2.48937154</v>
      </c>
      <c r="G30" s="18" t="n">
        <v>31.13377435</v>
      </c>
      <c r="H30" s="20" t="n">
        <v>2.62629041</v>
      </c>
      <c r="I30" s="18" t="n">
        <v>23.07933351</v>
      </c>
      <c r="J30" s="20" t="n">
        <v>2.50467937</v>
      </c>
      <c r="K30" s="18" t="s">
        <v>431</v>
      </c>
      <c r="L30" s="20" t="s">
        <v>431</v>
      </c>
      <c r="M30" s="18" t="n">
        <v>0.75755242</v>
      </c>
      <c r="N30" s="20" t="n">
        <v>0.15573121</v>
      </c>
      <c r="O30" s="18" t="n">
        <v>0.5093613</v>
      </c>
      <c r="P30" s="20" t="n">
        <v>0.50084978</v>
      </c>
      <c r="Q30" s="18" t="n">
        <v>0</v>
      </c>
      <c r="R30" s="20" t="n">
        <v>0</v>
      </c>
      <c r="S30" s="18" t="n">
        <v>14.94605229</v>
      </c>
      <c r="T30" s="20" t="n">
        <v>1.97218127</v>
      </c>
    </row>
    <row r="31" spans="1:20">
      <c r="A31" s="15" t="s">
        <v>455</v>
      </c>
      <c r="B31" s="17" t="n">
        <v>2750</v>
      </c>
      <c r="C31" s="18">
        <f>(2420.0/B31*100)</f>
        <v/>
      </c>
      <c r="D31" s="19" t="n">
        <v>330</v>
      </c>
      <c r="E31" s="18" t="n">
        <v>37.85879061</v>
      </c>
      <c r="F31" s="20" t="n">
        <v>2.86201337</v>
      </c>
      <c r="G31" s="18" t="n">
        <v>33.49931565</v>
      </c>
      <c r="H31" s="20" t="n">
        <v>2.47721984</v>
      </c>
      <c r="I31" s="18" t="n">
        <v>11.15888536</v>
      </c>
      <c r="J31" s="20" t="n">
        <v>1.75906958</v>
      </c>
      <c r="K31" s="18" t="s">
        <v>431</v>
      </c>
      <c r="L31" s="20" t="s">
        <v>431</v>
      </c>
      <c r="M31" s="18" t="n">
        <v>0.29546133</v>
      </c>
      <c r="N31" s="20" t="n">
        <v>0.31372913</v>
      </c>
      <c r="O31" s="18" t="n">
        <v>0.30292661</v>
      </c>
      <c r="P31" s="20" t="n">
        <v>0.2865241</v>
      </c>
      <c r="Q31" s="18" t="n">
        <v>0</v>
      </c>
      <c r="R31" s="20" t="n">
        <v>0</v>
      </c>
      <c r="S31" s="18" t="n">
        <v>16.88462044</v>
      </c>
      <c r="T31" s="20" t="n">
        <v>2.20815497</v>
      </c>
    </row>
    <row r="32" spans="1:20">
      <c r="A32" s="15" t="s">
        <v>456</v>
      </c>
      <c r="B32" s="17" t="n">
        <v>2269</v>
      </c>
      <c r="C32" s="18">
        <f>(1911.0/B32*100)</f>
        <v/>
      </c>
      <c r="D32" s="19" t="n">
        <v>358</v>
      </c>
      <c r="E32" s="18" t="n">
        <v>31.67070621</v>
      </c>
      <c r="F32" s="20" t="n">
        <v>2.50183651</v>
      </c>
      <c r="G32" s="18" t="n">
        <v>50.9679906</v>
      </c>
      <c r="H32" s="20" t="n">
        <v>2.88612025</v>
      </c>
      <c r="I32" s="18" t="n">
        <v>6.02264204</v>
      </c>
      <c r="J32" s="20" t="n">
        <v>1.22941389</v>
      </c>
      <c r="K32" s="18" t="s">
        <v>431</v>
      </c>
      <c r="L32" s="20" t="s">
        <v>431</v>
      </c>
      <c r="M32" s="18" t="n">
        <v>0.27041975</v>
      </c>
      <c r="N32" s="20" t="n">
        <v>0.25337215</v>
      </c>
      <c r="O32" s="18" t="n">
        <v>0.26346239</v>
      </c>
      <c r="P32" s="20" t="n">
        <v>0.2610246</v>
      </c>
      <c r="Q32" s="18" t="n">
        <v>0</v>
      </c>
      <c r="R32" s="20" t="n">
        <v>0</v>
      </c>
      <c r="S32" s="18" t="n">
        <v>10.80477902</v>
      </c>
      <c r="T32" s="20" t="n">
        <v>1.83208072</v>
      </c>
    </row>
    <row r="33" spans="1:20">
      <c r="A33" s="15" t="s">
        <v>457</v>
      </c>
      <c r="B33" s="17" t="n">
        <v>3674</v>
      </c>
      <c r="C33" s="18">
        <f>(3204.0/B33*100)</f>
        <v/>
      </c>
      <c r="D33" s="19" t="n">
        <v>470</v>
      </c>
      <c r="E33" s="18" t="n">
        <v>25.76563088</v>
      </c>
      <c r="F33" s="20" t="n">
        <v>2.5725945</v>
      </c>
      <c r="G33" s="18" t="n">
        <v>34.79417759</v>
      </c>
      <c r="H33" s="20" t="n">
        <v>2.78486572</v>
      </c>
      <c r="I33" s="18" t="n">
        <v>27.09216543</v>
      </c>
      <c r="J33" s="20" t="n">
        <v>2.18345509</v>
      </c>
      <c r="K33" s="18" t="s">
        <v>431</v>
      </c>
      <c r="L33" s="20" t="s">
        <v>431</v>
      </c>
      <c r="M33" s="18" t="n">
        <v>0.30398041</v>
      </c>
      <c r="N33" s="20" t="n">
        <v>0.26754606</v>
      </c>
      <c r="O33" s="18" t="n">
        <v>0</v>
      </c>
      <c r="P33" s="20" t="n">
        <v>0</v>
      </c>
      <c r="Q33" s="18" t="n">
        <v>0</v>
      </c>
      <c r="R33" s="20" t="n">
        <v>0</v>
      </c>
      <c r="S33" s="18" t="n">
        <v>12.04404569</v>
      </c>
      <c r="T33" s="20" t="n">
        <v>1.5429406</v>
      </c>
    </row>
    <row r="34" spans="1:20">
      <c r="A34" s="15" t="s">
        <v>458</v>
      </c>
      <c r="B34" s="17" t="n">
        <v>3315</v>
      </c>
      <c r="C34" s="18">
        <f>(2923.0/B34*100)</f>
        <v/>
      </c>
      <c r="D34" s="19" t="n">
        <v>392</v>
      </c>
      <c r="E34" s="18" t="n">
        <v>71.40271274</v>
      </c>
      <c r="F34" s="20" t="n">
        <v>2.47508313</v>
      </c>
      <c r="G34" s="18" t="n">
        <v>5.29401135</v>
      </c>
      <c r="H34" s="20" t="n">
        <v>1.25949983</v>
      </c>
      <c r="I34" s="18" t="n">
        <v>3.34373215</v>
      </c>
      <c r="J34" s="20" t="n">
        <v>0.83156766</v>
      </c>
      <c r="K34" s="18" t="s">
        <v>431</v>
      </c>
      <c r="L34" s="20" t="s">
        <v>431</v>
      </c>
      <c r="M34" s="18" t="n">
        <v>0.19727591</v>
      </c>
      <c r="N34" s="20" t="n">
        <v>0.19745824</v>
      </c>
      <c r="O34" s="18" t="n">
        <v>0</v>
      </c>
      <c r="P34" s="20" t="n">
        <v>0</v>
      </c>
      <c r="Q34" s="18" t="n">
        <v>0</v>
      </c>
      <c r="R34" s="20" t="n">
        <v>0</v>
      </c>
      <c r="S34" s="18" t="n">
        <v>19.76226785</v>
      </c>
      <c r="T34" s="20" t="n">
        <v>2.15426266</v>
      </c>
    </row>
    <row r="35" spans="1:20">
      <c r="A35" s="15" t="s">
        <v>459</v>
      </c>
      <c r="B35" s="17" t="n">
        <v>3505</v>
      </c>
      <c r="C35" s="18">
        <f>(3071.0/B35*100)</f>
        <v/>
      </c>
      <c r="D35" s="19" t="n">
        <v>434</v>
      </c>
      <c r="E35" s="18" t="n">
        <v>45.6647955</v>
      </c>
      <c r="F35" s="20" t="n">
        <v>2.7210973</v>
      </c>
      <c r="G35" s="18" t="n">
        <v>32.1562891</v>
      </c>
      <c r="H35" s="20" t="n">
        <v>2.91109308</v>
      </c>
      <c r="I35" s="18" t="n">
        <v>11.39418744</v>
      </c>
      <c r="J35" s="20" t="n">
        <v>2.17166979</v>
      </c>
      <c r="K35" s="18" t="s">
        <v>431</v>
      </c>
      <c r="L35" s="20" t="s">
        <v>431</v>
      </c>
      <c r="M35" s="18" t="n">
        <v>0.13117874</v>
      </c>
      <c r="N35" s="20" t="n">
        <v>0.13092447</v>
      </c>
      <c r="O35" s="18" t="n">
        <v>0</v>
      </c>
      <c r="P35" s="20" t="n">
        <v>0</v>
      </c>
      <c r="Q35" s="18" t="n">
        <v>0</v>
      </c>
      <c r="R35" s="20" t="n">
        <v>0</v>
      </c>
      <c r="S35" s="18" t="n">
        <v>10.65354922</v>
      </c>
      <c r="T35" s="20" t="n">
        <v>1.63734159</v>
      </c>
    </row>
    <row r="36" spans="1:20">
      <c r="A36" s="15" t="s">
        <v>460</v>
      </c>
      <c r="B36" s="17" t="n">
        <v>3332</v>
      </c>
      <c r="C36" s="18">
        <f>(2915.0/B36*100)</f>
        <v/>
      </c>
      <c r="D36" s="19" t="n">
        <v>417</v>
      </c>
      <c r="E36" s="18" t="n">
        <v>28.54023033</v>
      </c>
      <c r="F36" s="20" t="n">
        <v>2.14506899</v>
      </c>
      <c r="G36" s="18" t="n">
        <v>30.74829438</v>
      </c>
      <c r="H36" s="20" t="n">
        <v>2.59338311</v>
      </c>
      <c r="I36" s="18" t="n">
        <v>29.20681186</v>
      </c>
      <c r="J36" s="20" t="n">
        <v>2.25759054</v>
      </c>
      <c r="K36" s="18" t="s">
        <v>431</v>
      </c>
      <c r="L36" s="20" t="s">
        <v>431</v>
      </c>
      <c r="M36" s="18" t="n">
        <v>0</v>
      </c>
      <c r="N36" s="20" t="n">
        <v>0</v>
      </c>
      <c r="O36" s="18" t="n">
        <v>0.73587937</v>
      </c>
      <c r="P36" s="20" t="n">
        <v>0.5360863300000001</v>
      </c>
      <c r="Q36" s="18" t="n">
        <v>0</v>
      </c>
      <c r="R36" s="20" t="n">
        <v>0</v>
      </c>
      <c r="S36" s="18" t="n">
        <v>10.76878406</v>
      </c>
      <c r="T36" s="20" t="n">
        <v>1.57263003</v>
      </c>
    </row>
    <row r="37" spans="1:20">
      <c r="A37" s="15" t="s">
        <v>461</v>
      </c>
      <c r="B37" s="17" t="n">
        <v>2727</v>
      </c>
      <c r="C37" s="18">
        <f>(2380.0/B37*100)</f>
        <v/>
      </c>
      <c r="D37" s="19" t="n">
        <v>347</v>
      </c>
      <c r="E37" s="18" t="n">
        <v>29.39804502</v>
      </c>
      <c r="F37" s="20" t="n">
        <v>2.18007281</v>
      </c>
      <c r="G37" s="18" t="n">
        <v>44.9794389</v>
      </c>
      <c r="H37" s="20" t="n">
        <v>2.41368506</v>
      </c>
      <c r="I37" s="18" t="n">
        <v>12.00739504</v>
      </c>
      <c r="J37" s="20" t="n">
        <v>1.69991819</v>
      </c>
      <c r="K37" s="18" t="s">
        <v>431</v>
      </c>
      <c r="L37" s="20" t="s">
        <v>431</v>
      </c>
      <c r="M37" s="18" t="n">
        <v>1.66163818</v>
      </c>
      <c r="N37" s="20" t="n">
        <v>0.681424</v>
      </c>
      <c r="O37" s="18" t="n">
        <v>0</v>
      </c>
      <c r="P37" s="20" t="n">
        <v>0</v>
      </c>
      <c r="Q37" s="18" t="n">
        <v>0</v>
      </c>
      <c r="R37" s="20" t="n">
        <v>0</v>
      </c>
      <c r="S37" s="18" t="n">
        <v>11.95348287</v>
      </c>
      <c r="T37" s="20" t="n">
        <v>1.98376005</v>
      </c>
    </row>
    <row r="38" spans="1:20">
      <c r="A38" s="15" t="s">
        <v>462</v>
      </c>
      <c r="B38" s="17" t="n">
        <v>3053</v>
      </c>
      <c r="C38" s="18">
        <f>(2587.0/B38*100)</f>
        <v/>
      </c>
      <c r="D38" s="19" t="n">
        <v>466</v>
      </c>
      <c r="E38" s="18" t="n">
        <v>46.68664718</v>
      </c>
      <c r="F38" s="20" t="n">
        <v>2.52296125</v>
      </c>
      <c r="G38" s="18" t="n">
        <v>32.30572043</v>
      </c>
      <c r="H38" s="20" t="n">
        <v>2.26883734</v>
      </c>
      <c r="I38" s="18" t="n">
        <v>7.29196213</v>
      </c>
      <c r="J38" s="20" t="n">
        <v>1.40595271</v>
      </c>
      <c r="K38" s="18" t="s">
        <v>431</v>
      </c>
      <c r="L38" s="20" t="s">
        <v>431</v>
      </c>
      <c r="M38" s="18" t="n">
        <v>0.38369624</v>
      </c>
      <c r="N38" s="20" t="n">
        <v>0.20844798</v>
      </c>
      <c r="O38" s="18" t="n">
        <v>0.41486463</v>
      </c>
      <c r="P38" s="20" t="n">
        <v>0.41290565</v>
      </c>
      <c r="Q38" s="18" t="n">
        <v>0</v>
      </c>
      <c r="R38" s="20" t="n">
        <v>0</v>
      </c>
      <c r="S38" s="18" t="n">
        <v>12.91710938</v>
      </c>
      <c r="T38" s="20" t="n">
        <v>1.63621977</v>
      </c>
    </row>
    <row r="39" spans="1:20">
      <c r="A39" s="15" t="s">
        <v>463</v>
      </c>
      <c r="B39" s="17" t="n">
        <v>2957</v>
      </c>
      <c r="C39" s="18">
        <f>(2590.0/B39*100)</f>
        <v/>
      </c>
      <c r="D39" s="19" t="n">
        <v>367</v>
      </c>
      <c r="E39" s="18" t="n">
        <v>26.08613582</v>
      </c>
      <c r="F39" s="20" t="n">
        <v>2.59952676</v>
      </c>
      <c r="G39" s="18" t="n">
        <v>44.0415198</v>
      </c>
      <c r="H39" s="20" t="n">
        <v>2.92321109</v>
      </c>
      <c r="I39" s="18" t="n">
        <v>12.27602318</v>
      </c>
      <c r="J39" s="20" t="n">
        <v>2.05470932</v>
      </c>
      <c r="K39" s="18" t="s">
        <v>431</v>
      </c>
      <c r="L39" s="20" t="s">
        <v>431</v>
      </c>
      <c r="M39" s="18" t="n">
        <v>0.34303425</v>
      </c>
      <c r="N39" s="20" t="n">
        <v>0.34244493</v>
      </c>
      <c r="O39" s="18" t="n">
        <v>0.23528998</v>
      </c>
      <c r="P39" s="20" t="n">
        <v>0.24228373</v>
      </c>
      <c r="Q39" s="18" t="n">
        <v>0</v>
      </c>
      <c r="R39" s="20" t="n">
        <v>0</v>
      </c>
      <c r="S39" s="18" t="n">
        <v>17.01799698</v>
      </c>
      <c r="T39" s="20" t="n">
        <v>2.14137216</v>
      </c>
    </row>
    <row r="40" spans="1:20">
      <c r="A40" s="15" t="s">
        <v>464</v>
      </c>
      <c r="B40" s="17" t="n">
        <v>7235</v>
      </c>
      <c r="C40" s="18">
        <f>(6332.0/B40*100)</f>
        <v/>
      </c>
      <c r="D40" s="19" t="n">
        <v>903</v>
      </c>
      <c r="E40" s="18" t="n">
        <v>19.90921122</v>
      </c>
      <c r="F40" s="20" t="n">
        <v>1.99820802</v>
      </c>
      <c r="G40" s="18" t="n">
        <v>47.39543304</v>
      </c>
      <c r="H40" s="20" t="n">
        <v>2.4543402</v>
      </c>
      <c r="I40" s="18" t="n">
        <v>19.32551467</v>
      </c>
      <c r="J40" s="20" t="n">
        <v>1.87297483</v>
      </c>
      <c r="K40" s="18" t="s">
        <v>431</v>
      </c>
      <c r="L40" s="20" t="s">
        <v>431</v>
      </c>
      <c r="M40" s="18" t="n">
        <v>0.19282546</v>
      </c>
      <c r="N40" s="20" t="n">
        <v>0.09321538</v>
      </c>
      <c r="O40" s="18" t="n">
        <v>0.55731777</v>
      </c>
      <c r="P40" s="20" t="n">
        <v>0.400753</v>
      </c>
      <c r="Q40" s="18" t="n">
        <v>0</v>
      </c>
      <c r="R40" s="20" t="n">
        <v>0</v>
      </c>
      <c r="S40" s="18" t="n">
        <v>12.61969784</v>
      </c>
      <c r="T40" s="20" t="n">
        <v>1.49753654</v>
      </c>
    </row>
    <row r="41" spans="1:20">
      <c r="A41" s="15" t="s">
        <v>465</v>
      </c>
      <c r="B41" s="17" t="n">
        <v>2858</v>
      </c>
      <c r="C41" s="18">
        <f>(2525.0/B41*100)</f>
        <v/>
      </c>
      <c r="D41" s="19" t="n">
        <v>333</v>
      </c>
      <c r="E41" s="18" t="n">
        <v>20.38304492</v>
      </c>
      <c r="F41" s="20" t="n">
        <v>2.15313198</v>
      </c>
      <c r="G41" s="18" t="n">
        <v>53.70979022</v>
      </c>
      <c r="H41" s="20" t="n">
        <v>2.55968688</v>
      </c>
      <c r="I41" s="18" t="n">
        <v>18.71015919</v>
      </c>
      <c r="J41" s="20" t="n">
        <v>2.07539355</v>
      </c>
      <c r="K41" s="18" t="s">
        <v>431</v>
      </c>
      <c r="L41" s="20" t="s">
        <v>431</v>
      </c>
      <c r="M41" s="18" t="n">
        <v>0</v>
      </c>
      <c r="N41" s="20" t="n">
        <v>0</v>
      </c>
      <c r="O41" s="18" t="n">
        <v>0</v>
      </c>
      <c r="P41" s="20" t="n">
        <v>0</v>
      </c>
      <c r="Q41" s="18" t="n">
        <v>0</v>
      </c>
      <c r="R41" s="20" t="n">
        <v>0</v>
      </c>
      <c r="S41" s="18" t="n">
        <v>7.19700567</v>
      </c>
      <c r="T41" s="20" t="n">
        <v>1.7771524</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11068</v>
      </c>
      <c r="C46" s="18">
        <f>(9900.0/B46*100)</f>
        <v/>
      </c>
      <c r="D46" s="19" t="n">
        <v>1168</v>
      </c>
      <c r="E46" s="18" t="n">
        <v>46.57506564</v>
      </c>
      <c r="F46" s="20" t="n">
        <v>1.87377914</v>
      </c>
      <c r="G46" s="18" t="n">
        <v>28.40627255</v>
      </c>
      <c r="H46" s="20" t="n">
        <v>1.66489902</v>
      </c>
      <c r="I46" s="18" t="n">
        <v>5.33499802</v>
      </c>
      <c r="J46" s="20" t="n">
        <v>0.95125853</v>
      </c>
      <c r="K46" s="18" t="s">
        <v>431</v>
      </c>
      <c r="L46" s="20" t="s">
        <v>431</v>
      </c>
      <c r="M46" s="18" t="n">
        <v>0.88560889</v>
      </c>
      <c r="N46" s="20" t="n">
        <v>0.30219631</v>
      </c>
      <c r="O46" s="18" t="n">
        <v>0.64163864</v>
      </c>
      <c r="P46" s="20" t="n">
        <v>0.25758429</v>
      </c>
      <c r="Q46" s="18" t="n">
        <v>0</v>
      </c>
      <c r="R46" s="20" t="n">
        <v>0</v>
      </c>
      <c r="S46" s="18" t="n">
        <v>18.15641626</v>
      </c>
      <c r="T46" s="20" t="n">
        <v>1.53776897</v>
      </c>
    </row>
    <row r="47" spans="1:20">
      <c r="A47" s="15" t="s">
        <v>471</v>
      </c>
      <c r="B47" s="17" t="n">
        <v>3105</v>
      </c>
      <c r="C47" s="18">
        <f>(2719.0/B47*100)</f>
        <v/>
      </c>
      <c r="D47" s="19" t="n">
        <v>386</v>
      </c>
      <c r="E47" s="18" t="n">
        <v>44.01099703</v>
      </c>
      <c r="F47" s="20" t="n">
        <v>2.6331444</v>
      </c>
      <c r="G47" s="18" t="n">
        <v>20.47861863</v>
      </c>
      <c r="H47" s="20" t="n">
        <v>2.35597525</v>
      </c>
      <c r="I47" s="18" t="n">
        <v>9.08187579</v>
      </c>
      <c r="J47" s="20" t="n">
        <v>1.45380983</v>
      </c>
      <c r="K47" s="18" t="s">
        <v>431</v>
      </c>
      <c r="L47" s="20" t="s">
        <v>431</v>
      </c>
      <c r="M47" s="18" t="n">
        <v>1.05695346</v>
      </c>
      <c r="N47" s="20" t="n">
        <v>0.6595347</v>
      </c>
      <c r="O47" s="18" t="n">
        <v>0</v>
      </c>
      <c r="P47" s="20" t="n">
        <v>0</v>
      </c>
      <c r="Q47" s="18" t="n">
        <v>0</v>
      </c>
      <c r="R47" s="20" t="n">
        <v>0</v>
      </c>
      <c r="S47" s="18" t="n">
        <v>25.37155509</v>
      </c>
      <c r="T47" s="20" t="n">
        <v>2.50237361</v>
      </c>
    </row>
    <row r="48" spans="1:20">
      <c r="A48" s="15" t="s">
        <v>472</v>
      </c>
      <c r="B48" s="17" t="n">
        <v>5159</v>
      </c>
      <c r="C48" s="18">
        <f>(4527.0/B48*100)</f>
        <v/>
      </c>
      <c r="D48" s="19" t="n">
        <v>632</v>
      </c>
      <c r="E48" s="18" t="n">
        <v>50.25317955</v>
      </c>
      <c r="F48" s="20" t="n">
        <v>2.76335482</v>
      </c>
      <c r="G48" s="18" t="n">
        <v>23.68177563</v>
      </c>
      <c r="H48" s="20" t="n">
        <v>2.25743708</v>
      </c>
      <c r="I48" s="18" t="n">
        <v>15.94236758</v>
      </c>
      <c r="J48" s="20" t="n">
        <v>2.02755609</v>
      </c>
      <c r="K48" s="18" t="s">
        <v>431</v>
      </c>
      <c r="L48" s="20" t="s">
        <v>431</v>
      </c>
      <c r="M48" s="18" t="n">
        <v>0</v>
      </c>
      <c r="N48" s="20" t="n">
        <v>0</v>
      </c>
      <c r="O48" s="18" t="n">
        <v>0.00893509</v>
      </c>
      <c r="P48" s="20" t="n">
        <v>0.009024239999999999</v>
      </c>
      <c r="Q48" s="18" t="n">
        <v>0</v>
      </c>
      <c r="R48" s="20" t="n">
        <v>0</v>
      </c>
      <c r="S48" s="18" t="n">
        <v>10.11374215</v>
      </c>
      <c r="T48" s="20" t="n">
        <v>1.59284388</v>
      </c>
    </row>
    <row r="49" spans="1:20">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5637</v>
      </c>
      <c r="C50" s="18">
        <f>(4963.0/B50*100)</f>
        <v/>
      </c>
      <c r="D50" s="19" t="n">
        <v>674</v>
      </c>
      <c r="E50" s="18" t="n">
        <v>46.00206536</v>
      </c>
      <c r="F50" s="20" t="n">
        <v>3.03631994</v>
      </c>
      <c r="G50" s="18" t="n">
        <v>17.4998761</v>
      </c>
      <c r="H50" s="20" t="n">
        <v>1.96031551</v>
      </c>
      <c r="I50" s="18" t="n">
        <v>23.01102001</v>
      </c>
      <c r="J50" s="20" t="n">
        <v>2.10968891</v>
      </c>
      <c r="K50" s="18" t="s">
        <v>431</v>
      </c>
      <c r="L50" s="20" t="s">
        <v>431</v>
      </c>
      <c r="M50" s="18" t="n">
        <v>1.22156945</v>
      </c>
      <c r="N50" s="20" t="n">
        <v>0.74761059</v>
      </c>
      <c r="O50" s="18" t="n">
        <v>0.04500982</v>
      </c>
      <c r="P50" s="20" t="n">
        <v>0.04492302</v>
      </c>
      <c r="Q50" s="18" t="n">
        <v>0</v>
      </c>
      <c r="R50" s="20" t="n">
        <v>0</v>
      </c>
      <c r="S50" s="18" t="n">
        <v>12.22045926</v>
      </c>
      <c r="T50" s="20" t="n">
        <v>1.58974758</v>
      </c>
    </row>
    <row r="51" spans="1:20">
      <c r="A51" s="15" t="s">
        <v>475</v>
      </c>
      <c r="B51" s="17" t="n">
        <v>3372</v>
      </c>
      <c r="C51" s="18">
        <f>(3007.0/B51*100)</f>
        <v/>
      </c>
      <c r="D51" s="19" t="n">
        <v>365</v>
      </c>
      <c r="E51" s="18" t="n">
        <v>42.27697759</v>
      </c>
      <c r="F51" s="20" t="n">
        <v>2.77011389</v>
      </c>
      <c r="G51" s="18" t="n">
        <v>38.9411363</v>
      </c>
      <c r="H51" s="20" t="n">
        <v>2.82510972</v>
      </c>
      <c r="I51" s="18" t="n">
        <v>3.34269366</v>
      </c>
      <c r="J51" s="20" t="n">
        <v>1.11706423</v>
      </c>
      <c r="K51" s="18" t="s">
        <v>431</v>
      </c>
      <c r="L51" s="20" t="s">
        <v>431</v>
      </c>
      <c r="M51" s="18" t="n">
        <v>0.5543425199999999</v>
      </c>
      <c r="N51" s="20" t="n">
        <v>0.39185615</v>
      </c>
      <c r="O51" s="18" t="n">
        <v>0</v>
      </c>
      <c r="P51" s="20" t="n">
        <v>0</v>
      </c>
      <c r="Q51" s="18" t="n">
        <v>0</v>
      </c>
      <c r="R51" s="20" t="n">
        <v>0</v>
      </c>
      <c r="S51" s="18" t="n">
        <v>14.88484993</v>
      </c>
      <c r="T51" s="20" t="n">
        <v>2.04397059</v>
      </c>
    </row>
    <row r="52" spans="1:20">
      <c r="A52" s="15" t="s">
        <v>476</v>
      </c>
      <c r="B52" s="17" t="n">
        <v>2796</v>
      </c>
      <c r="C52" s="18">
        <f>(2442.0/B52*100)</f>
        <v/>
      </c>
      <c r="D52" s="19" t="n">
        <v>354</v>
      </c>
      <c r="E52" s="18" t="n">
        <v>48.24394659</v>
      </c>
      <c r="F52" s="20" t="n">
        <v>2.76750882</v>
      </c>
      <c r="G52" s="18" t="n">
        <v>24.22878655</v>
      </c>
      <c r="H52" s="20" t="n">
        <v>2.39046758</v>
      </c>
      <c r="I52" s="18" t="n">
        <v>8.16867235</v>
      </c>
      <c r="J52" s="20" t="n">
        <v>1.31118424</v>
      </c>
      <c r="K52" s="18" t="s">
        <v>431</v>
      </c>
      <c r="L52" s="20" t="s">
        <v>431</v>
      </c>
      <c r="M52" s="18" t="n">
        <v>0.63632773</v>
      </c>
      <c r="N52" s="20" t="n">
        <v>0.46481225</v>
      </c>
      <c r="O52" s="18" t="n">
        <v>0</v>
      </c>
      <c r="P52" s="20" t="n">
        <v>0</v>
      </c>
      <c r="Q52" s="18" t="n">
        <v>0</v>
      </c>
      <c r="R52" s="20" t="n">
        <v>0</v>
      </c>
      <c r="S52" s="18" t="n">
        <v>18.72226678</v>
      </c>
      <c r="T52" s="20" t="n">
        <v>2.02617663</v>
      </c>
    </row>
    <row r="53" spans="1:20">
      <c r="A53" s="15" t="s">
        <v>477</v>
      </c>
      <c r="B53" s="17" t="n">
        <v>2811</v>
      </c>
      <c r="C53" s="18">
        <f>(2484.0/B53*100)</f>
        <v/>
      </c>
      <c r="D53" s="19" t="n">
        <v>327</v>
      </c>
      <c r="E53" s="18" t="n">
        <v>33.65220498</v>
      </c>
      <c r="F53" s="20" t="n">
        <v>2.55393116</v>
      </c>
      <c r="G53" s="18" t="n">
        <v>28.5883823</v>
      </c>
      <c r="H53" s="20" t="n">
        <v>2.80349725</v>
      </c>
      <c r="I53" s="18" t="n">
        <v>12.29155151</v>
      </c>
      <c r="J53" s="20" t="n">
        <v>1.82040199</v>
      </c>
      <c r="K53" s="18" t="s">
        <v>431</v>
      </c>
      <c r="L53" s="20" t="s">
        <v>431</v>
      </c>
      <c r="M53" s="18" t="n">
        <v>0.63384613</v>
      </c>
      <c r="N53" s="20" t="n">
        <v>0.47458322</v>
      </c>
      <c r="O53" s="18" t="n">
        <v>0</v>
      </c>
      <c r="P53" s="20" t="n">
        <v>0</v>
      </c>
      <c r="Q53" s="18" t="n">
        <v>0</v>
      </c>
      <c r="R53" s="20" t="n">
        <v>0</v>
      </c>
      <c r="S53" s="18" t="n">
        <v>24.83401509</v>
      </c>
      <c r="T53" s="20" t="n">
        <v>2.39909532</v>
      </c>
    </row>
    <row r="54" spans="1:20">
      <c r="A54" s="15" t="s">
        <v>478</v>
      </c>
      <c r="B54" s="17" t="n">
        <v>2266</v>
      </c>
      <c r="C54" s="18">
        <f>(1884.0/B54*100)</f>
        <v/>
      </c>
      <c r="D54" s="19" t="n">
        <v>382</v>
      </c>
      <c r="E54" s="18" t="n">
        <v>47.74459583</v>
      </c>
      <c r="F54" s="20" t="n">
        <v>3.08172581</v>
      </c>
      <c r="G54" s="18" t="n">
        <v>15.81056915</v>
      </c>
      <c r="H54" s="20" t="n">
        <v>1.93058763</v>
      </c>
      <c r="I54" s="18" t="n">
        <v>8.591455890000001</v>
      </c>
      <c r="J54" s="20" t="n">
        <v>1.67448939</v>
      </c>
      <c r="K54" s="18" t="s">
        <v>431</v>
      </c>
      <c r="L54" s="20" t="s">
        <v>431</v>
      </c>
      <c r="M54" s="18" t="n">
        <v>6.44502687</v>
      </c>
      <c r="N54" s="20" t="n">
        <v>1.3107051</v>
      </c>
      <c r="O54" s="18" t="n">
        <v>0.7810289500000001</v>
      </c>
      <c r="P54" s="20" t="n">
        <v>0.75468161</v>
      </c>
      <c r="Q54" s="18" t="n">
        <v>0</v>
      </c>
      <c r="R54" s="20" t="n">
        <v>0</v>
      </c>
      <c r="S54" s="18" t="n">
        <v>20.6273233</v>
      </c>
      <c r="T54" s="20" t="n">
        <v>2.46236302</v>
      </c>
    </row>
    <row r="55" spans="1:20">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2684</v>
      </c>
      <c r="C56" s="18">
        <f>(2358.0/B56*100)</f>
        <v/>
      </c>
      <c r="D56" s="19" t="n">
        <v>326</v>
      </c>
      <c r="E56" s="18" t="n">
        <v>37.7890995</v>
      </c>
      <c r="F56" s="20" t="n">
        <v>3.14246323</v>
      </c>
      <c r="G56" s="18" t="n">
        <v>39.08211412</v>
      </c>
      <c r="H56" s="20" t="n">
        <v>2.86724883</v>
      </c>
      <c r="I56" s="18" t="n">
        <v>11.98479785</v>
      </c>
      <c r="J56" s="20" t="n">
        <v>2.16546612</v>
      </c>
      <c r="K56" s="18" t="s">
        <v>431</v>
      </c>
      <c r="L56" s="20" t="s">
        <v>431</v>
      </c>
      <c r="M56" s="18" t="n">
        <v>0.79707462</v>
      </c>
      <c r="N56" s="20" t="n">
        <v>0.56945623</v>
      </c>
      <c r="O56" s="18" t="n">
        <v>0</v>
      </c>
      <c r="P56" s="20" t="n">
        <v>0</v>
      </c>
      <c r="Q56" s="18" t="n">
        <v>0</v>
      </c>
      <c r="R56" s="20" t="n">
        <v>0</v>
      </c>
      <c r="S56" s="18" t="n">
        <v>10.34691391</v>
      </c>
      <c r="T56" s="20" t="n">
        <v>1.45735129</v>
      </c>
    </row>
    <row r="57" spans="1:20">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3324</v>
      </c>
      <c r="C61" s="18">
        <f>(2902.0/B61*100)</f>
        <v/>
      </c>
      <c r="D61" s="19" t="n">
        <v>422</v>
      </c>
      <c r="E61" s="18" t="n">
        <v>53.05552857</v>
      </c>
      <c r="F61" s="20" t="n">
        <v>2.68037939</v>
      </c>
      <c r="G61" s="18" t="n">
        <v>28.70407711</v>
      </c>
      <c r="H61" s="20" t="n">
        <v>2.30459796</v>
      </c>
      <c r="I61" s="18" t="n">
        <v>3.78186832</v>
      </c>
      <c r="J61" s="20" t="n">
        <v>0.93092482</v>
      </c>
      <c r="K61" s="18" t="s">
        <v>431</v>
      </c>
      <c r="L61" s="20" t="s">
        <v>431</v>
      </c>
      <c r="M61" s="18" t="n">
        <v>0.52206048</v>
      </c>
      <c r="N61" s="20" t="n">
        <v>0.32391429</v>
      </c>
      <c r="O61" s="18" t="n">
        <v>0</v>
      </c>
      <c r="P61" s="20" t="n">
        <v>0</v>
      </c>
      <c r="Q61" s="18" t="n">
        <v>0</v>
      </c>
      <c r="R61" s="20" t="n">
        <v>0</v>
      </c>
      <c r="S61" s="18" t="n">
        <v>13.93646552</v>
      </c>
      <c r="T61" s="20" t="n">
        <v>1.94055861</v>
      </c>
    </row>
    <row r="62" spans="1:20">
      <c r="A62" s="15" t="s">
        <v>486</v>
      </c>
      <c r="B62" s="17" t="n">
        <v>2246</v>
      </c>
      <c r="C62" s="18">
        <f>(1992.0/B62*100)</f>
        <v/>
      </c>
      <c r="D62" s="19" t="n">
        <v>254</v>
      </c>
      <c r="E62" s="18" t="n">
        <v>50.03087955</v>
      </c>
      <c r="F62" s="20" t="n">
        <v>3.13978465</v>
      </c>
      <c r="G62" s="18" t="n">
        <v>23.98717586</v>
      </c>
      <c r="H62" s="20" t="n">
        <v>3.0855814</v>
      </c>
      <c r="I62" s="18" t="n">
        <v>21.25559606</v>
      </c>
      <c r="J62" s="20" t="n">
        <v>2.52230278</v>
      </c>
      <c r="K62" s="18" t="s">
        <v>431</v>
      </c>
      <c r="L62" s="20" t="s">
        <v>431</v>
      </c>
      <c r="M62" s="18" t="n">
        <v>0</v>
      </c>
      <c r="N62" s="20" t="n">
        <v>0</v>
      </c>
      <c r="O62" s="18" t="n">
        <v>0</v>
      </c>
      <c r="P62" s="20" t="n">
        <v>0</v>
      </c>
      <c r="Q62" s="18" t="n">
        <v>0</v>
      </c>
      <c r="R62" s="20" t="n">
        <v>0</v>
      </c>
      <c r="S62" s="18" t="n">
        <v>4.72634853</v>
      </c>
      <c r="T62" s="20" t="n">
        <v>1.21725188</v>
      </c>
    </row>
    <row r="63" spans="1:20">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2894</v>
      </c>
      <c r="C66" s="18">
        <f>(2557.0/B66*100)</f>
        <v/>
      </c>
      <c r="D66" s="19" t="n">
        <v>337</v>
      </c>
      <c r="E66" s="18" t="n">
        <v>32.95027902</v>
      </c>
      <c r="F66" s="20" t="n">
        <v>2.56589681</v>
      </c>
      <c r="G66" s="18" t="n">
        <v>25.59015508</v>
      </c>
      <c r="H66" s="20" t="n">
        <v>2.57181753</v>
      </c>
      <c r="I66" s="18" t="n">
        <v>2.158078</v>
      </c>
      <c r="J66" s="20" t="n">
        <v>0.72976589</v>
      </c>
      <c r="K66" s="18" t="s">
        <v>431</v>
      </c>
      <c r="L66" s="20" t="s">
        <v>431</v>
      </c>
      <c r="M66" s="18" t="n">
        <v>0.8328413099999999</v>
      </c>
      <c r="N66" s="20" t="n">
        <v>0.49192304</v>
      </c>
      <c r="O66" s="18" t="n">
        <v>0.57674733</v>
      </c>
      <c r="P66" s="20" t="n">
        <v>0.40057391</v>
      </c>
      <c r="Q66" s="18" t="n">
        <v>0</v>
      </c>
      <c r="R66" s="20" t="n">
        <v>0</v>
      </c>
      <c r="S66" s="18" t="n">
        <v>37.89189926</v>
      </c>
      <c r="T66" s="20" t="n">
        <v>2.57140263</v>
      </c>
    </row>
    <row r="67" spans="1:20">
      <c r="A67" s="15" t="s">
        <v>491</v>
      </c>
      <c r="B67" s="17" t="n">
        <v>3511</v>
      </c>
      <c r="C67" s="18">
        <f>(3097.0/B67*100)</f>
        <v/>
      </c>
      <c r="D67" s="19" t="n">
        <v>414</v>
      </c>
      <c r="E67" s="18" t="n">
        <v>61.58191937</v>
      </c>
      <c r="F67" s="20" t="n">
        <v>2.40632881</v>
      </c>
      <c r="G67" s="18" t="n">
        <v>17.4673036</v>
      </c>
      <c r="H67" s="20" t="n">
        <v>1.8099206</v>
      </c>
      <c r="I67" s="18" t="n">
        <v>5.16666037</v>
      </c>
      <c r="J67" s="20" t="n">
        <v>1.30813607</v>
      </c>
      <c r="K67" s="18" t="s">
        <v>431</v>
      </c>
      <c r="L67" s="20" t="s">
        <v>431</v>
      </c>
      <c r="M67" s="18" t="n">
        <v>0.20029855</v>
      </c>
      <c r="N67" s="20" t="n">
        <v>0.20110726</v>
      </c>
      <c r="O67" s="18" t="n">
        <v>0</v>
      </c>
      <c r="P67" s="20" t="n">
        <v>0</v>
      </c>
      <c r="Q67" s="18" t="n">
        <v>0</v>
      </c>
      <c r="R67" s="20" t="n">
        <v>0</v>
      </c>
      <c r="S67" s="18" t="n">
        <v>15.58381811</v>
      </c>
      <c r="T67" s="20" t="n">
        <v>2.2040995</v>
      </c>
    </row>
    <row r="68" spans="1:20">
      <c r="A68" s="15" t="s">
        <v>492</v>
      </c>
      <c r="B68" s="17" t="n">
        <v>6049</v>
      </c>
      <c r="C68" s="18">
        <f>(5051.0/B68*100)</f>
        <v/>
      </c>
      <c r="D68" s="19" t="n">
        <v>998</v>
      </c>
      <c r="E68" s="18" t="n">
        <v>50.52228668</v>
      </c>
      <c r="F68" s="20" t="n">
        <v>1.70187342</v>
      </c>
      <c r="G68" s="18" t="n">
        <v>19.93306545</v>
      </c>
      <c r="H68" s="20" t="n">
        <v>1.60636083</v>
      </c>
      <c r="I68" s="18" t="n">
        <v>10.4763007</v>
      </c>
      <c r="J68" s="20" t="n">
        <v>1.02153006</v>
      </c>
      <c r="K68" s="18" t="s">
        <v>431</v>
      </c>
      <c r="L68" s="20" t="s">
        <v>431</v>
      </c>
      <c r="M68" s="18" t="n">
        <v>2.16182848</v>
      </c>
      <c r="N68" s="20" t="n">
        <v>0.42144389</v>
      </c>
      <c r="O68" s="18" t="n">
        <v>0</v>
      </c>
      <c r="P68" s="20" t="n">
        <v>0</v>
      </c>
      <c r="Q68" s="18" t="n">
        <v>0</v>
      </c>
      <c r="R68" s="20" t="n">
        <v>0</v>
      </c>
      <c r="S68" s="18" t="n">
        <v>16.9065187</v>
      </c>
      <c r="T68" s="20" t="n">
        <v>1.32042835</v>
      </c>
    </row>
    <row r="69" spans="1:20">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2929</v>
      </c>
      <c r="C70" s="18">
        <f>(2603.0/B70*100)</f>
        <v/>
      </c>
      <c r="D70" s="19" t="n">
        <v>326</v>
      </c>
      <c r="E70" s="18" t="n">
        <v>67.94727693999999</v>
      </c>
      <c r="F70" s="20" t="n">
        <v>3.41995469</v>
      </c>
      <c r="G70" s="18" t="n">
        <v>15.57647654</v>
      </c>
      <c r="H70" s="20" t="n">
        <v>2.28305362</v>
      </c>
      <c r="I70" s="18" t="n">
        <v>2.54217859</v>
      </c>
      <c r="J70" s="20" t="n">
        <v>0.85966432</v>
      </c>
      <c r="K70" s="18" t="s">
        <v>431</v>
      </c>
      <c r="L70" s="20" t="s">
        <v>431</v>
      </c>
      <c r="M70" s="18" t="n">
        <v>0</v>
      </c>
      <c r="N70" s="20" t="n">
        <v>0</v>
      </c>
      <c r="O70" s="18" t="n">
        <v>0</v>
      </c>
      <c r="P70" s="20" t="n">
        <v>0</v>
      </c>
      <c r="Q70" s="18" t="n">
        <v>0</v>
      </c>
      <c r="R70" s="20" t="n">
        <v>0</v>
      </c>
      <c r="S70" s="18" t="n">
        <v>13.93406792</v>
      </c>
      <c r="T70" s="20" t="n">
        <v>2.51432145</v>
      </c>
    </row>
    <row r="71" spans="1:20">
      <c r="A71" s="15" t="s">
        <v>495</v>
      </c>
      <c r="B71" s="17" t="n">
        <v>3142</v>
      </c>
      <c r="C71" s="18">
        <f>(2757.0/B71*100)</f>
        <v/>
      </c>
      <c r="D71" s="19" t="n">
        <v>385</v>
      </c>
      <c r="E71" s="18" t="n">
        <v>46.73922767</v>
      </c>
      <c r="F71" s="20" t="n">
        <v>2.86919601</v>
      </c>
      <c r="G71" s="18" t="n">
        <v>28.555067</v>
      </c>
      <c r="H71" s="20" t="n">
        <v>2.39683777</v>
      </c>
      <c r="I71" s="18" t="n">
        <v>21.24159164</v>
      </c>
      <c r="J71" s="20" t="n">
        <v>2.39624144</v>
      </c>
      <c r="K71" s="18" t="s">
        <v>431</v>
      </c>
      <c r="L71" s="20" t="s">
        <v>431</v>
      </c>
      <c r="M71" s="18" t="n">
        <v>0.27585198</v>
      </c>
      <c r="N71" s="20" t="n">
        <v>0.27620877</v>
      </c>
      <c r="O71" s="18" t="n">
        <v>0.13594089</v>
      </c>
      <c r="P71" s="20" t="n">
        <v>0.13903864</v>
      </c>
      <c r="Q71" s="18" t="n">
        <v>0</v>
      </c>
      <c r="R71" s="20" t="n">
        <v>0</v>
      </c>
      <c r="S71" s="18" t="n">
        <v>3.05232081</v>
      </c>
      <c r="T71" s="20" t="n">
        <v>0.88221609</v>
      </c>
    </row>
    <row r="72" spans="1:20">
      <c r="A72" s="15" t="s">
        <v>496</v>
      </c>
      <c r="B72" s="17" t="n">
        <v>3889</v>
      </c>
      <c r="C72" s="18">
        <f>(3393.0/B72*100)</f>
        <v/>
      </c>
      <c r="D72" s="19" t="n">
        <v>496</v>
      </c>
      <c r="E72" s="18" t="n">
        <v>32.80685127</v>
      </c>
      <c r="F72" s="20" t="n">
        <v>2.16886728</v>
      </c>
      <c r="G72" s="18" t="n">
        <v>53.52929698</v>
      </c>
      <c r="H72" s="20" t="n">
        <v>2.50091763</v>
      </c>
      <c r="I72" s="18" t="n">
        <v>2.31649337</v>
      </c>
      <c r="J72" s="20" t="n">
        <v>0.60774257</v>
      </c>
      <c r="K72" s="18" t="s">
        <v>431</v>
      </c>
      <c r="L72" s="20" t="s">
        <v>431</v>
      </c>
      <c r="M72" s="18" t="n">
        <v>0.13760512</v>
      </c>
      <c r="N72" s="20" t="n">
        <v>0.14137084</v>
      </c>
      <c r="O72" s="18" t="n">
        <v>0</v>
      </c>
      <c r="P72" s="20" t="n">
        <v>0</v>
      </c>
      <c r="Q72" s="18" t="n">
        <v>0</v>
      </c>
      <c r="R72" s="20" t="n">
        <v>0</v>
      </c>
      <c r="S72" s="18" t="n">
        <v>11.20975326</v>
      </c>
      <c r="T72" s="20" t="n">
        <v>1.51747495</v>
      </c>
    </row>
    <row r="73" spans="1:20">
      <c r="A73" s="15" t="s">
        <v>497</v>
      </c>
      <c r="B73" s="17" t="n">
        <v>3597</v>
      </c>
      <c r="C73" s="18">
        <f>(3166.0/B73*100)</f>
        <v/>
      </c>
      <c r="D73" s="19" t="n">
        <v>431</v>
      </c>
      <c r="E73" s="18" t="n">
        <v>80.33969591</v>
      </c>
      <c r="F73" s="20" t="n">
        <v>2.38839658</v>
      </c>
      <c r="G73" s="18" t="n">
        <v>12.5013479</v>
      </c>
      <c r="H73" s="20" t="n">
        <v>2.04370095</v>
      </c>
      <c r="I73" s="18" t="n">
        <v>2.98859502</v>
      </c>
      <c r="J73" s="20" t="n">
        <v>1.05567178</v>
      </c>
      <c r="K73" s="18" t="s">
        <v>431</v>
      </c>
      <c r="L73" s="20" t="s">
        <v>431</v>
      </c>
      <c r="M73" s="18" t="n">
        <v>0</v>
      </c>
      <c r="N73" s="20" t="n">
        <v>0</v>
      </c>
      <c r="O73" s="18" t="n">
        <v>0</v>
      </c>
      <c r="P73" s="20" t="n">
        <v>0</v>
      </c>
      <c r="Q73" s="18" t="n">
        <v>0</v>
      </c>
      <c r="R73" s="20" t="n">
        <v>0</v>
      </c>
      <c r="S73" s="18" t="n">
        <v>4.17036117</v>
      </c>
      <c r="T73" s="20" t="n">
        <v>0.8976447</v>
      </c>
    </row>
    <row r="74" spans="1:20">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2406</v>
      </c>
      <c r="C75" s="18">
        <f>(2146.0/B75*100)</f>
        <v/>
      </c>
      <c r="D75" s="19" t="n">
        <v>260</v>
      </c>
      <c r="E75" s="18" t="n">
        <v>47.58812077</v>
      </c>
      <c r="F75" s="20" t="n">
        <v>3.24350016</v>
      </c>
      <c r="G75" s="18" t="n">
        <v>7.0610537</v>
      </c>
      <c r="H75" s="20" t="n">
        <v>1.59481457</v>
      </c>
      <c r="I75" s="18" t="n">
        <v>3.90545621</v>
      </c>
      <c r="J75" s="20" t="n">
        <v>1.35804355</v>
      </c>
      <c r="K75" s="18" t="s">
        <v>431</v>
      </c>
      <c r="L75" s="20" t="s">
        <v>431</v>
      </c>
      <c r="M75" s="18" t="n">
        <v>0.7375213900000001</v>
      </c>
      <c r="N75" s="20" t="n">
        <v>0.56471692</v>
      </c>
      <c r="O75" s="18" t="n">
        <v>1.5036063</v>
      </c>
      <c r="P75" s="20" t="n">
        <v>0.86327924</v>
      </c>
      <c r="Q75" s="18" t="n">
        <v>0</v>
      </c>
      <c r="R75" s="20" t="n">
        <v>0</v>
      </c>
      <c r="S75" s="18" t="n">
        <v>39.20424164</v>
      </c>
      <c r="T75" s="20" t="n">
        <v>3.08212727</v>
      </c>
    </row>
    <row r="76" spans="1:20">
      <c r="A76" s="15" t="s">
        <v>500</v>
      </c>
      <c r="B76" s="17" t="n">
        <v>7052</v>
      </c>
      <c r="C76" s="18">
        <f>(6220.0/B76*100)</f>
        <v/>
      </c>
      <c r="D76" s="19" t="n">
        <v>832</v>
      </c>
      <c r="E76" s="18" t="n">
        <v>46.84201722</v>
      </c>
      <c r="F76" s="20" t="n">
        <v>1.94005648</v>
      </c>
      <c r="G76" s="18" t="n">
        <v>26.49455982</v>
      </c>
      <c r="H76" s="20" t="n">
        <v>1.87486694</v>
      </c>
      <c r="I76" s="18" t="n">
        <v>15.93804141</v>
      </c>
      <c r="J76" s="20" t="n">
        <v>1.61463046</v>
      </c>
      <c r="K76" s="18" t="s">
        <v>431</v>
      </c>
      <c r="L76" s="20" t="s">
        <v>431</v>
      </c>
      <c r="M76" s="18" t="n">
        <v>1.1119459</v>
      </c>
      <c r="N76" s="20" t="n">
        <v>0.42604211</v>
      </c>
      <c r="O76" s="18" t="n">
        <v>0.274409</v>
      </c>
      <c r="P76" s="20" t="n">
        <v>0.20110026</v>
      </c>
      <c r="Q76" s="18" t="n">
        <v>0</v>
      </c>
      <c r="R76" s="20" t="n">
        <v>0</v>
      </c>
      <c r="S76" s="18" t="n">
        <v>9.33902664</v>
      </c>
      <c r="T76" s="20" t="n">
        <v>1.40117787</v>
      </c>
    </row>
    <row r="77" spans="1:20">
      <c r="A77" s="15" t="s">
        <v>501</v>
      </c>
      <c r="B77" s="17" t="n">
        <v>2908</v>
      </c>
      <c r="C77" s="18">
        <f>(2545.0/B77*100)</f>
        <v/>
      </c>
      <c r="D77" s="19" t="n">
        <v>363</v>
      </c>
      <c r="E77" s="18" t="n">
        <v>40.86775398</v>
      </c>
      <c r="F77" s="20" t="n">
        <v>3.03855215</v>
      </c>
      <c r="G77" s="18" t="n">
        <v>15.84903111</v>
      </c>
      <c r="H77" s="20" t="n">
        <v>2.21785712</v>
      </c>
      <c r="I77" s="18" t="n">
        <v>11.0627973</v>
      </c>
      <c r="J77" s="20" t="n">
        <v>1.58597151</v>
      </c>
      <c r="K77" s="18" t="s">
        <v>431</v>
      </c>
      <c r="L77" s="20" t="s">
        <v>431</v>
      </c>
      <c r="M77" s="18" t="n">
        <v>0.30479833</v>
      </c>
      <c r="N77" s="20" t="n">
        <v>0.3065632</v>
      </c>
      <c r="O77" s="18" t="n">
        <v>0.30480236</v>
      </c>
      <c r="P77" s="20" t="n">
        <v>0.31349808</v>
      </c>
      <c r="Q77" s="18" t="n">
        <v>0</v>
      </c>
      <c r="R77" s="20" t="n">
        <v>0</v>
      </c>
      <c r="S77" s="18" t="n">
        <v>31.61081693</v>
      </c>
      <c r="T77" s="20" t="n">
        <v>2.86699935</v>
      </c>
    </row>
    <row r="78" spans="1:20">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(3661.0/B81*100)</f>
        <v/>
      </c>
      <c r="D81" s="19" t="n">
        <v>502</v>
      </c>
      <c r="E81" s="18" t="n">
        <v>49.06377655</v>
      </c>
      <c r="F81" s="20" t="n">
        <v>3.16219371</v>
      </c>
      <c r="G81" s="18" t="n">
        <v>32.36604485</v>
      </c>
      <c r="H81" s="20" t="n">
        <v>2.74015417</v>
      </c>
      <c r="I81" s="18" t="n">
        <v>14.89796479</v>
      </c>
      <c r="J81" s="20" t="n">
        <v>1.72245624</v>
      </c>
      <c r="K81" s="18" t="s">
        <v>431</v>
      </c>
      <c r="L81" s="20" t="s">
        <v>431</v>
      </c>
      <c r="M81" s="18" t="n">
        <v>0.4438975</v>
      </c>
      <c r="N81" s="20" t="n">
        <v>0.43783924</v>
      </c>
      <c r="O81" s="18" t="n">
        <v>0</v>
      </c>
      <c r="P81" s="20" t="n">
        <v>0</v>
      </c>
      <c r="Q81" s="18" t="n">
        <v>0</v>
      </c>
      <c r="R81" s="20" t="n">
        <v>0</v>
      </c>
      <c r="S81" s="18" t="n">
        <v>3.2283163</v>
      </c>
      <c r="T81" s="20" t="n">
        <v>0.94070761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544</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(6503.0/B7*100)</f>
        <v/>
      </c>
      <c r="D7" s="19" t="n">
        <v>864</v>
      </c>
      <c r="E7" s="18" t="n">
        <v>45.48321766</v>
      </c>
      <c r="F7" s="20" t="n">
        <v>2.1408033</v>
      </c>
      <c r="G7" s="18" t="n">
        <v>24.03192681</v>
      </c>
      <c r="H7" s="20" t="n">
        <v>1.64162105</v>
      </c>
      <c r="I7" s="18" t="n">
        <v>25.05430562</v>
      </c>
      <c r="J7" s="20" t="n">
        <v>1.81173761</v>
      </c>
      <c r="K7" s="18" t="s">
        <v>431</v>
      </c>
      <c r="L7" s="20" t="s">
        <v>431</v>
      </c>
      <c r="M7" s="18" t="n">
        <v>0.19684426</v>
      </c>
      <c r="N7" s="20" t="n">
        <v>0.09838216</v>
      </c>
      <c r="O7" s="18" t="n">
        <v>0.05287934</v>
      </c>
      <c r="P7" s="20" t="n">
        <v>0.04057322</v>
      </c>
      <c r="Q7" s="18" t="n">
        <v>0</v>
      </c>
      <c r="R7" s="20" t="n">
        <v>0</v>
      </c>
      <c r="S7" s="18" t="n">
        <v>5.18082631</v>
      </c>
      <c r="T7" s="20" t="n">
        <v>0.75768391</v>
      </c>
    </row>
    <row r="8" spans="1:20">
      <c r="A8" s="15" t="s">
        <v>432</v>
      </c>
      <c r="B8" s="17" t="n">
        <v>3564</v>
      </c>
      <c r="C8" s="18">
        <f>(3151.0/B8*100)</f>
        <v/>
      </c>
      <c r="D8" s="19" t="n">
        <v>413</v>
      </c>
      <c r="E8" s="18" t="n">
        <v>36.96699218</v>
      </c>
      <c r="F8" s="20" t="n">
        <v>2.46449933</v>
      </c>
      <c r="G8" s="18" t="n">
        <v>10.07388362</v>
      </c>
      <c r="H8" s="20" t="n">
        <v>1.45352383</v>
      </c>
      <c r="I8" s="18" t="n">
        <v>22.77974083</v>
      </c>
      <c r="J8" s="20" t="n">
        <v>1.79352768</v>
      </c>
      <c r="K8" s="18" t="s">
        <v>431</v>
      </c>
      <c r="L8" s="20" t="s">
        <v>431</v>
      </c>
      <c r="M8" s="18" t="n">
        <v>0.16643221</v>
      </c>
      <c r="N8" s="20" t="n">
        <v>0.17475891</v>
      </c>
      <c r="O8" s="18" t="n">
        <v>0</v>
      </c>
      <c r="P8" s="20" t="n">
        <v>0</v>
      </c>
      <c r="Q8" s="18" t="n">
        <v>0</v>
      </c>
      <c r="R8" s="20" t="n">
        <v>0</v>
      </c>
      <c r="S8" s="18" t="n">
        <v>30.01295117</v>
      </c>
      <c r="T8" s="20" t="n">
        <v>2.60143077</v>
      </c>
    </row>
    <row r="9" spans="1:20">
      <c r="A9" s="15" t="s">
        <v>433</v>
      </c>
      <c r="B9" s="17" t="n">
        <v>4899</v>
      </c>
      <c r="C9" s="18">
        <f>(4317.0/B9*100)</f>
        <v/>
      </c>
      <c r="D9" s="19" t="n">
        <v>582</v>
      </c>
      <c r="E9" s="18" t="n">
        <v>44.90552223</v>
      </c>
      <c r="F9" s="20" t="n">
        <v>1.89123791</v>
      </c>
      <c r="G9" s="18" t="n">
        <v>16.36745248</v>
      </c>
      <c r="H9" s="20" t="n">
        <v>1.60081967</v>
      </c>
      <c r="I9" s="18" t="n">
        <v>23.51478173</v>
      </c>
      <c r="J9" s="20" t="n">
        <v>1.56582962</v>
      </c>
      <c r="K9" s="18" t="s">
        <v>431</v>
      </c>
      <c r="L9" s="20" t="s">
        <v>431</v>
      </c>
      <c r="M9" s="18" t="n">
        <v>0.15301428</v>
      </c>
      <c r="N9" s="20" t="n">
        <v>0.14893282</v>
      </c>
      <c r="O9" s="18" t="n">
        <v>0.29153816</v>
      </c>
      <c r="P9" s="20" t="n">
        <v>0.21023757</v>
      </c>
      <c r="Q9" s="18" t="n">
        <v>0</v>
      </c>
      <c r="R9" s="20" t="n">
        <v>0</v>
      </c>
      <c r="S9" s="18" t="n">
        <v>14.76769111</v>
      </c>
      <c r="T9" s="20" t="n">
        <v>1.88598243</v>
      </c>
    </row>
    <row r="10" spans="1:20">
      <c r="A10" s="15" t="s">
        <v>434</v>
      </c>
      <c r="B10" s="17" t="n">
        <v>10036</v>
      </c>
      <c r="C10" s="18">
        <f>(8812.0/B10*100)</f>
        <v/>
      </c>
      <c r="D10" s="19" t="n">
        <v>1224</v>
      </c>
      <c r="E10" s="18" t="n">
        <v>35.57543938</v>
      </c>
      <c r="F10" s="20" t="n">
        <v>1.76407981</v>
      </c>
      <c r="G10" s="18" t="n">
        <v>29.12407071</v>
      </c>
      <c r="H10" s="20" t="n">
        <v>1.74341188</v>
      </c>
      <c r="I10" s="18" t="n">
        <v>32.91434151</v>
      </c>
      <c r="J10" s="20" t="n">
        <v>2.01454175</v>
      </c>
      <c r="K10" s="18" t="s">
        <v>431</v>
      </c>
      <c r="L10" s="20" t="s">
        <v>431</v>
      </c>
      <c r="M10" s="18" t="n">
        <v>0.6994715500000001</v>
      </c>
      <c r="N10" s="20" t="n">
        <v>0.34364746</v>
      </c>
      <c r="O10" s="18" t="n">
        <v>0</v>
      </c>
      <c r="P10" s="20" t="n">
        <v>0</v>
      </c>
      <c r="Q10" s="18" t="n">
        <v>0</v>
      </c>
      <c r="R10" s="20" t="n">
        <v>0</v>
      </c>
      <c r="S10" s="18" t="n">
        <v>1.68667685</v>
      </c>
      <c r="T10" s="20" t="n">
        <v>0.54912652</v>
      </c>
    </row>
    <row r="11" spans="1:20">
      <c r="A11" s="15" t="s">
        <v>435</v>
      </c>
      <c r="B11" s="17" t="n">
        <v>3553</v>
      </c>
      <c r="C11" s="18">
        <f>(3104.0/B11*100)</f>
        <v/>
      </c>
      <c r="D11" s="19" t="n">
        <v>449</v>
      </c>
      <c r="E11" s="18" t="n">
        <v>30.68789965</v>
      </c>
      <c r="F11" s="20" t="n">
        <v>2.34634917</v>
      </c>
      <c r="G11" s="18" t="n">
        <v>29.29814779</v>
      </c>
      <c r="H11" s="20" t="n">
        <v>2.24815859</v>
      </c>
      <c r="I11" s="18" t="n">
        <v>22.90648155</v>
      </c>
      <c r="J11" s="20" t="n">
        <v>1.97915688</v>
      </c>
      <c r="K11" s="18" t="s">
        <v>431</v>
      </c>
      <c r="L11" s="20" t="s">
        <v>431</v>
      </c>
      <c r="M11" s="18" t="n">
        <v>0.76749851</v>
      </c>
      <c r="N11" s="20" t="n">
        <v>0.65909277</v>
      </c>
      <c r="O11" s="18" t="n">
        <v>0</v>
      </c>
      <c r="P11" s="20" t="n">
        <v>0</v>
      </c>
      <c r="Q11" s="18" t="n">
        <v>0</v>
      </c>
      <c r="R11" s="20" t="n">
        <v>0</v>
      </c>
      <c r="S11" s="18" t="n">
        <v>16.3399725</v>
      </c>
      <c r="T11" s="20" t="n">
        <v>2.16744222</v>
      </c>
    </row>
    <row r="12" spans="1:20">
      <c r="A12" s="15" t="s">
        <v>436</v>
      </c>
      <c r="B12" s="17" t="n">
        <v>3472</v>
      </c>
      <c r="C12" s="18">
        <f>(3042.0/B12*100)</f>
        <v/>
      </c>
      <c r="D12" s="19" t="n">
        <v>430</v>
      </c>
      <c r="E12" s="18" t="n">
        <v>24.57608752</v>
      </c>
      <c r="F12" s="20" t="n">
        <v>2.4045528</v>
      </c>
      <c r="G12" s="18" t="n">
        <v>14.33514434</v>
      </c>
      <c r="H12" s="20" t="n">
        <v>1.96101846</v>
      </c>
      <c r="I12" s="18" t="n">
        <v>30.92398464</v>
      </c>
      <c r="J12" s="20" t="n">
        <v>2.74462752</v>
      </c>
      <c r="K12" s="18" t="s">
        <v>431</v>
      </c>
      <c r="L12" s="20" t="s">
        <v>431</v>
      </c>
      <c r="M12" s="18" t="n">
        <v>0</v>
      </c>
      <c r="N12" s="20" t="n">
        <v>0</v>
      </c>
      <c r="O12" s="18" t="n">
        <v>0.13853796</v>
      </c>
      <c r="P12" s="20" t="n">
        <v>0.18348223</v>
      </c>
      <c r="Q12" s="18" t="n">
        <v>0</v>
      </c>
      <c r="R12" s="20" t="n">
        <v>0</v>
      </c>
      <c r="S12" s="18" t="n">
        <v>30.02624554</v>
      </c>
      <c r="T12" s="20" t="n">
        <v>2.5613053</v>
      </c>
    </row>
    <row r="13" spans="1:20">
      <c r="A13" s="15" t="s">
        <v>437</v>
      </c>
      <c r="B13" s="17" t="n">
        <v>3559</v>
      </c>
      <c r="C13" s="18">
        <f>(3146.0/B13*100)</f>
        <v/>
      </c>
      <c r="D13" s="19" t="n">
        <v>413</v>
      </c>
      <c r="E13" s="18" t="n">
        <v>54.3966212</v>
      </c>
      <c r="F13" s="20" t="n">
        <v>2.39107042</v>
      </c>
      <c r="G13" s="18" t="n">
        <v>9.87045232</v>
      </c>
      <c r="H13" s="20" t="n">
        <v>1.82787566</v>
      </c>
      <c r="I13" s="18" t="n">
        <v>32.08948474</v>
      </c>
      <c r="J13" s="20" t="n">
        <v>2.63406331</v>
      </c>
      <c r="K13" s="18" t="s">
        <v>431</v>
      </c>
      <c r="L13" s="20" t="s">
        <v>431</v>
      </c>
      <c r="M13" s="18" t="n">
        <v>1.23916132</v>
      </c>
      <c r="N13" s="20" t="n">
        <v>0.66779667</v>
      </c>
      <c r="O13" s="18" t="n">
        <v>0</v>
      </c>
      <c r="P13" s="20" t="n">
        <v>0</v>
      </c>
      <c r="Q13" s="18" t="n">
        <v>0</v>
      </c>
      <c r="R13" s="20" t="n">
        <v>0</v>
      </c>
      <c r="S13" s="18" t="n">
        <v>2.40428043</v>
      </c>
      <c r="T13" s="20" t="n">
        <v>1.04169274</v>
      </c>
    </row>
    <row r="14" spans="1:20">
      <c r="A14" s="15" t="s">
        <v>438</v>
      </c>
      <c r="B14" s="17" t="n">
        <v>2799</v>
      </c>
      <c r="C14" s="18">
        <f>(2462.0/B14*100)</f>
        <v/>
      </c>
      <c r="D14" s="19" t="n">
        <v>337</v>
      </c>
      <c r="E14" s="18" t="n">
        <v>38.22200901</v>
      </c>
      <c r="F14" s="20" t="n">
        <v>3.05710201</v>
      </c>
      <c r="G14" s="18" t="n">
        <v>19.72259203</v>
      </c>
      <c r="H14" s="20" t="n">
        <v>2.09641979</v>
      </c>
      <c r="I14" s="18" t="n">
        <v>33.00242464</v>
      </c>
      <c r="J14" s="20" t="n">
        <v>2.83137018</v>
      </c>
      <c r="K14" s="18" t="s">
        <v>431</v>
      </c>
      <c r="L14" s="20" t="s">
        <v>431</v>
      </c>
      <c r="M14" s="18" t="n">
        <v>0.50530297</v>
      </c>
      <c r="N14" s="20" t="n">
        <v>0.36299892</v>
      </c>
      <c r="O14" s="18" t="n">
        <v>0</v>
      </c>
      <c r="P14" s="20" t="n">
        <v>0</v>
      </c>
      <c r="Q14" s="18" t="n">
        <v>0</v>
      </c>
      <c r="R14" s="20" t="n">
        <v>0</v>
      </c>
      <c r="S14" s="18" t="n">
        <v>8.547671340000001</v>
      </c>
      <c r="T14" s="20" t="n">
        <v>1.69004314</v>
      </c>
    </row>
    <row r="15" spans="1:20">
      <c r="A15" s="15" t="s">
        <v>439</v>
      </c>
      <c r="B15" s="17" t="n">
        <v>3019</v>
      </c>
      <c r="C15" s="18">
        <f>(2644.0/B15*100)</f>
        <v/>
      </c>
      <c r="D15" s="19" t="n">
        <v>375</v>
      </c>
      <c r="E15" s="18" t="n">
        <v>48.39994649</v>
      </c>
      <c r="F15" s="20" t="n">
        <v>2.02630379</v>
      </c>
      <c r="G15" s="18" t="n">
        <v>21.2563439</v>
      </c>
      <c r="H15" s="20" t="n">
        <v>1.93141499</v>
      </c>
      <c r="I15" s="18" t="n">
        <v>27.90835985</v>
      </c>
      <c r="J15" s="20" t="n">
        <v>2.45766371</v>
      </c>
      <c r="K15" s="18" t="s">
        <v>431</v>
      </c>
      <c r="L15" s="20" t="s">
        <v>431</v>
      </c>
      <c r="M15" s="18" t="n">
        <v>0.78875576</v>
      </c>
      <c r="N15" s="20" t="n">
        <v>0.45005194</v>
      </c>
      <c r="O15" s="18" t="n">
        <v>0</v>
      </c>
      <c r="P15" s="20" t="n">
        <v>0</v>
      </c>
      <c r="Q15" s="18" t="n">
        <v>0</v>
      </c>
      <c r="R15" s="20" t="n">
        <v>0</v>
      </c>
      <c r="S15" s="18" t="n">
        <v>1.646594</v>
      </c>
      <c r="T15" s="20" t="n">
        <v>0.61108212</v>
      </c>
    </row>
    <row r="16" spans="1:20">
      <c r="A16" s="15" t="s">
        <v>440</v>
      </c>
      <c r="B16" s="17" t="n">
        <v>2997</v>
      </c>
      <c r="C16" s="18">
        <f>(2615.0/B16*100)</f>
        <v/>
      </c>
      <c r="D16" s="19" t="n">
        <v>382</v>
      </c>
      <c r="E16" s="18" t="n">
        <v>21.47406134</v>
      </c>
      <c r="F16" s="20" t="n">
        <v>2.20738215</v>
      </c>
      <c r="G16" s="18" t="n">
        <v>22.54923894</v>
      </c>
      <c r="H16" s="20" t="n">
        <v>1.92327094</v>
      </c>
      <c r="I16" s="18" t="n">
        <v>18.44400603</v>
      </c>
      <c r="J16" s="20" t="n">
        <v>2.04482024</v>
      </c>
      <c r="K16" s="18" t="s">
        <v>431</v>
      </c>
      <c r="L16" s="20" t="s">
        <v>431</v>
      </c>
      <c r="M16" s="18" t="n">
        <v>1.78166347</v>
      </c>
      <c r="N16" s="20" t="n">
        <v>0.73416369</v>
      </c>
      <c r="O16" s="18" t="n">
        <v>0.29150627</v>
      </c>
      <c r="P16" s="20" t="n">
        <v>0.29335046</v>
      </c>
      <c r="Q16" s="18" t="n">
        <v>0</v>
      </c>
      <c r="R16" s="20" t="n">
        <v>0</v>
      </c>
      <c r="S16" s="18" t="n">
        <v>35.45952395</v>
      </c>
      <c r="T16" s="20" t="n">
        <v>2.17129272</v>
      </c>
    </row>
    <row r="17" spans="1:20">
      <c r="A17" s="15" t="s">
        <v>441</v>
      </c>
      <c r="B17" s="17" t="n">
        <v>3307</v>
      </c>
      <c r="C17" s="18">
        <f>(2905.0/B17*100)</f>
        <v/>
      </c>
      <c r="D17" s="19" t="n">
        <v>402</v>
      </c>
      <c r="E17" s="18" t="n">
        <v>35.90468417</v>
      </c>
      <c r="F17" s="20" t="n">
        <v>2.81680036</v>
      </c>
      <c r="G17" s="18" t="n">
        <v>25.2884263</v>
      </c>
      <c r="H17" s="20" t="n">
        <v>2.43700664</v>
      </c>
      <c r="I17" s="18" t="n">
        <v>35.58095754</v>
      </c>
      <c r="J17" s="20" t="n">
        <v>2.72671252</v>
      </c>
      <c r="K17" s="18" t="s">
        <v>431</v>
      </c>
      <c r="L17" s="20" t="s">
        <v>431</v>
      </c>
      <c r="M17" s="18" t="n">
        <v>0.2502529</v>
      </c>
      <c r="N17" s="20" t="n">
        <v>0.25180952</v>
      </c>
      <c r="O17" s="18" t="n">
        <v>0</v>
      </c>
      <c r="P17" s="20" t="n">
        <v>0</v>
      </c>
      <c r="Q17" s="18" t="n">
        <v>0</v>
      </c>
      <c r="R17" s="20" t="n">
        <v>0</v>
      </c>
      <c r="S17" s="18" t="n">
        <v>2.9756791</v>
      </c>
      <c r="T17" s="20" t="n">
        <v>0.9303399</v>
      </c>
    </row>
    <row r="18" spans="1:20">
      <c r="A18" s="15" t="s">
        <v>442</v>
      </c>
      <c r="B18" s="17" t="n">
        <v>2826</v>
      </c>
      <c r="C18" s="18">
        <f>(2500.0/B18*100)</f>
        <v/>
      </c>
      <c r="D18" s="19" t="n">
        <v>326</v>
      </c>
      <c r="E18" s="18" t="n">
        <v>39.83490704</v>
      </c>
      <c r="F18" s="20" t="n">
        <v>2.87773935</v>
      </c>
      <c r="G18" s="18" t="n">
        <v>18.0974584</v>
      </c>
      <c r="H18" s="20" t="n">
        <v>2.32391358</v>
      </c>
      <c r="I18" s="18" t="n">
        <v>15.50917811</v>
      </c>
      <c r="J18" s="20" t="n">
        <v>2.25883246</v>
      </c>
      <c r="K18" s="18" t="s">
        <v>431</v>
      </c>
      <c r="L18" s="20" t="s">
        <v>431</v>
      </c>
      <c r="M18" s="18" t="n">
        <v>0.31589747</v>
      </c>
      <c r="N18" s="20" t="n">
        <v>0.3214321</v>
      </c>
      <c r="O18" s="18" t="n">
        <v>0</v>
      </c>
      <c r="P18" s="20" t="n">
        <v>0</v>
      </c>
      <c r="Q18" s="18" t="n">
        <v>0</v>
      </c>
      <c r="R18" s="20" t="n">
        <v>0</v>
      </c>
      <c r="S18" s="18" t="n">
        <v>26.24255898</v>
      </c>
      <c r="T18" s="20" t="n">
        <v>2.38638559</v>
      </c>
    </row>
    <row r="19" spans="1:20">
      <c r="A19" s="15" t="s">
        <v>443</v>
      </c>
      <c r="B19" s="17" t="n">
        <v>2808</v>
      </c>
      <c r="C19" s="18">
        <f>(2467.0/B19*100)</f>
        <v/>
      </c>
      <c r="D19" s="19" t="n">
        <v>341</v>
      </c>
      <c r="E19" s="18" t="n">
        <v>24.78104085</v>
      </c>
      <c r="F19" s="20" t="n">
        <v>2.48270395</v>
      </c>
      <c r="G19" s="18" t="n">
        <v>15.89629508</v>
      </c>
      <c r="H19" s="20" t="n">
        <v>2.07024133</v>
      </c>
      <c r="I19" s="18" t="n">
        <v>31.09733439</v>
      </c>
      <c r="J19" s="20" t="n">
        <v>2.57356182</v>
      </c>
      <c r="K19" s="18" t="s">
        <v>431</v>
      </c>
      <c r="L19" s="20" t="s">
        <v>431</v>
      </c>
      <c r="M19" s="18" t="n">
        <v>0.6804766799999999</v>
      </c>
      <c r="N19" s="20" t="n">
        <v>0.64257096</v>
      </c>
      <c r="O19" s="18" t="n">
        <v>0</v>
      </c>
      <c r="P19" s="20" t="n">
        <v>0</v>
      </c>
      <c r="Q19" s="18" t="n">
        <v>0</v>
      </c>
      <c r="R19" s="20" t="n">
        <v>0</v>
      </c>
      <c r="S19" s="18" t="n">
        <v>27.544853</v>
      </c>
      <c r="T19" s="20" t="n">
        <v>2.80424347</v>
      </c>
    </row>
    <row r="20" spans="1:20">
      <c r="A20" s="15" t="s">
        <v>444</v>
      </c>
      <c r="B20" s="17" t="n">
        <v>1630</v>
      </c>
      <c r="C20" s="18">
        <f>(1423.0/B20*100)</f>
        <v/>
      </c>
      <c r="D20" s="19" t="n">
        <v>207</v>
      </c>
      <c r="E20" s="18" t="n">
        <v>58.74921074</v>
      </c>
      <c r="F20" s="20" t="n">
        <v>2.89604302</v>
      </c>
      <c r="G20" s="18" t="n">
        <v>10.4944776</v>
      </c>
      <c r="H20" s="20" t="n">
        <v>1.83108405</v>
      </c>
      <c r="I20" s="18" t="n">
        <v>27.71685777</v>
      </c>
      <c r="J20" s="20" t="n">
        <v>2.71429113</v>
      </c>
      <c r="K20" s="18" t="s">
        <v>431</v>
      </c>
      <c r="L20" s="20" t="s">
        <v>431</v>
      </c>
      <c r="M20" s="18" t="n">
        <v>1.48274994</v>
      </c>
      <c r="N20" s="20" t="n">
        <v>0.82911558</v>
      </c>
      <c r="O20" s="18" t="n">
        <v>1.14805052</v>
      </c>
      <c r="P20" s="20" t="n">
        <v>0.66376998</v>
      </c>
      <c r="Q20" s="18" t="n">
        <v>0</v>
      </c>
      <c r="R20" s="20" t="n">
        <v>0</v>
      </c>
      <c r="S20" s="18" t="n">
        <v>0.40865343</v>
      </c>
      <c r="T20" s="20" t="n">
        <v>0.40256458</v>
      </c>
    </row>
    <row r="21" spans="1:20">
      <c r="A21" s="15" t="s">
        <v>445</v>
      </c>
      <c r="B21" s="17" t="n">
        <v>2908</v>
      </c>
      <c r="C21" s="18">
        <f>(2434.0/B21*100)</f>
        <v/>
      </c>
      <c r="D21" s="19" t="n">
        <v>474</v>
      </c>
      <c r="E21" s="18" t="n">
        <v>21.57720324</v>
      </c>
      <c r="F21" s="20" t="n">
        <v>2.08613369</v>
      </c>
      <c r="G21" s="18" t="n">
        <v>26.02845544</v>
      </c>
      <c r="H21" s="20" t="n">
        <v>1.97978319</v>
      </c>
      <c r="I21" s="18" t="n">
        <v>36.69255492</v>
      </c>
      <c r="J21" s="20" t="n">
        <v>2.04409209</v>
      </c>
      <c r="K21" s="18" t="s">
        <v>431</v>
      </c>
      <c r="L21" s="20" t="s">
        <v>431</v>
      </c>
      <c r="M21" s="18" t="n">
        <v>0.47541903</v>
      </c>
      <c r="N21" s="20" t="n">
        <v>0.30420859</v>
      </c>
      <c r="O21" s="18" t="n">
        <v>0</v>
      </c>
      <c r="P21" s="20" t="n">
        <v>0</v>
      </c>
      <c r="Q21" s="18" t="n">
        <v>0</v>
      </c>
      <c r="R21" s="20" t="n">
        <v>0</v>
      </c>
      <c r="S21" s="18" t="n">
        <v>15.22636738</v>
      </c>
      <c r="T21" s="20" t="n">
        <v>1.56569186</v>
      </c>
    </row>
    <row r="22" spans="1:20">
      <c r="A22" s="15" t="s">
        <v>446</v>
      </c>
      <c r="B22" s="17" t="n">
        <v>2931</v>
      </c>
      <c r="C22" s="18">
        <f>(2562.0/B22*100)</f>
        <v/>
      </c>
      <c r="D22" s="19" t="n">
        <v>369</v>
      </c>
      <c r="E22" s="18" t="n">
        <v>53.20871817</v>
      </c>
      <c r="F22" s="20" t="n">
        <v>3.22228335</v>
      </c>
      <c r="G22" s="18" t="n">
        <v>11.48316438</v>
      </c>
      <c r="H22" s="20" t="n">
        <v>1.80425523</v>
      </c>
      <c r="I22" s="18" t="n">
        <v>33.09368661</v>
      </c>
      <c r="J22" s="20" t="n">
        <v>3.12919232</v>
      </c>
      <c r="K22" s="18" t="s">
        <v>431</v>
      </c>
      <c r="L22" s="20" t="s">
        <v>431</v>
      </c>
      <c r="M22" s="18" t="n">
        <v>0.20110685</v>
      </c>
      <c r="N22" s="20" t="n">
        <v>0.2015796</v>
      </c>
      <c r="O22" s="18" t="n">
        <v>0</v>
      </c>
      <c r="P22" s="20" t="n">
        <v>0</v>
      </c>
      <c r="Q22" s="18" t="n">
        <v>0</v>
      </c>
      <c r="R22" s="20" t="n">
        <v>0</v>
      </c>
      <c r="S22" s="18" t="n">
        <v>2.01332399</v>
      </c>
      <c r="T22" s="20" t="n">
        <v>0.71548957</v>
      </c>
    </row>
    <row r="23" spans="1:20">
      <c r="A23" s="15" t="s">
        <v>447</v>
      </c>
      <c r="B23" s="17" t="n">
        <v>5791</v>
      </c>
      <c r="C23" s="18">
        <f>(5060.0/B23*100)</f>
        <v/>
      </c>
      <c r="D23" s="19" t="n">
        <v>731</v>
      </c>
      <c r="E23" s="18" t="n">
        <v>27.42547634</v>
      </c>
      <c r="F23" s="20" t="n">
        <v>2.11002318</v>
      </c>
      <c r="G23" s="18" t="n">
        <v>23.9440583</v>
      </c>
      <c r="H23" s="20" t="n">
        <v>2.70681638</v>
      </c>
      <c r="I23" s="18" t="n">
        <v>26.11742206</v>
      </c>
      <c r="J23" s="20" t="n">
        <v>2.18890232</v>
      </c>
      <c r="K23" s="18" t="s">
        <v>431</v>
      </c>
      <c r="L23" s="20" t="s">
        <v>431</v>
      </c>
      <c r="M23" s="18" t="n">
        <v>0.9933543500000001</v>
      </c>
      <c r="N23" s="20" t="n">
        <v>0.99468958</v>
      </c>
      <c r="O23" s="18" t="n">
        <v>0.82618333</v>
      </c>
      <c r="P23" s="20" t="n">
        <v>0.52218282</v>
      </c>
      <c r="Q23" s="18" t="n">
        <v>0</v>
      </c>
      <c r="R23" s="20" t="n">
        <v>0</v>
      </c>
      <c r="S23" s="18" t="n">
        <v>20.69350562</v>
      </c>
      <c r="T23" s="20" t="n">
        <v>2.51828671</v>
      </c>
    </row>
    <row r="24" spans="1:20">
      <c r="A24" s="15" t="s">
        <v>448</v>
      </c>
      <c r="B24" s="17" t="n">
        <v>3338</v>
      </c>
      <c r="C24" s="18">
        <f>(2926.0/B24*100)</f>
        <v/>
      </c>
      <c r="D24" s="19" t="n">
        <v>412</v>
      </c>
      <c r="E24" s="18" t="n">
        <v>24.41107651</v>
      </c>
      <c r="F24" s="20" t="n">
        <v>2.00496432</v>
      </c>
      <c r="G24" s="18" t="n">
        <v>4.43212174</v>
      </c>
      <c r="H24" s="20" t="n">
        <v>0.98429554</v>
      </c>
      <c r="I24" s="18" t="n">
        <v>53.23573697</v>
      </c>
      <c r="J24" s="20" t="n">
        <v>2.41880836</v>
      </c>
      <c r="K24" s="18" t="s">
        <v>431</v>
      </c>
      <c r="L24" s="20" t="s">
        <v>431</v>
      </c>
      <c r="M24" s="18" t="n">
        <v>0.48912222</v>
      </c>
      <c r="N24" s="20" t="n">
        <v>0.34378039</v>
      </c>
      <c r="O24" s="18" t="n">
        <v>0</v>
      </c>
      <c r="P24" s="20" t="n">
        <v>0</v>
      </c>
      <c r="Q24" s="18" t="n">
        <v>0</v>
      </c>
      <c r="R24" s="20" t="n">
        <v>0</v>
      </c>
      <c r="S24" s="18" t="n">
        <v>17.43194255</v>
      </c>
      <c r="T24" s="20" t="n">
        <v>1.73533017</v>
      </c>
    </row>
    <row r="25" spans="1:20">
      <c r="A25" s="15" t="s">
        <v>449</v>
      </c>
      <c r="B25" s="17" t="n">
        <v>2912</v>
      </c>
      <c r="C25" s="18">
        <f>(2567.0/B25*100)</f>
        <v/>
      </c>
      <c r="D25" s="19" t="n">
        <v>345</v>
      </c>
      <c r="E25" s="18" t="n">
        <v>38.87602507</v>
      </c>
      <c r="F25" s="20" t="n">
        <v>2.80315591</v>
      </c>
      <c r="G25" s="18" t="n">
        <v>5.81293875</v>
      </c>
      <c r="H25" s="20" t="n">
        <v>1.20558832</v>
      </c>
      <c r="I25" s="18" t="n">
        <v>39.62406397</v>
      </c>
      <c r="J25" s="20" t="n">
        <v>3.10402984</v>
      </c>
      <c r="K25" s="18" t="s">
        <v>431</v>
      </c>
      <c r="L25" s="20" t="s">
        <v>431</v>
      </c>
      <c r="M25" s="18" t="n">
        <v>0.27989506</v>
      </c>
      <c r="N25" s="20" t="n">
        <v>0.27644211</v>
      </c>
      <c r="O25" s="18" t="n">
        <v>0</v>
      </c>
      <c r="P25" s="20" t="n">
        <v>0</v>
      </c>
      <c r="Q25" s="18" t="n">
        <v>0</v>
      </c>
      <c r="R25" s="20" t="n">
        <v>0</v>
      </c>
      <c r="S25" s="18" t="n">
        <v>15.40707715</v>
      </c>
      <c r="T25" s="20" t="n">
        <v>2.10206949</v>
      </c>
    </row>
    <row r="26" spans="1:20">
      <c r="A26" s="15" t="s">
        <v>450</v>
      </c>
      <c r="B26" s="17" t="n">
        <v>2450</v>
      </c>
      <c r="C26" s="18">
        <f>(2156.0/B26*100)</f>
        <v/>
      </c>
      <c r="D26" s="19" t="n">
        <v>294</v>
      </c>
      <c r="E26" s="18" t="n">
        <v>62.23152855</v>
      </c>
      <c r="F26" s="20" t="n">
        <v>3.18710643</v>
      </c>
      <c r="G26" s="18" t="n">
        <v>20.8375892</v>
      </c>
      <c r="H26" s="20" t="n">
        <v>2.71647535</v>
      </c>
      <c r="I26" s="18" t="n">
        <v>12.2275949</v>
      </c>
      <c r="J26" s="20" t="n">
        <v>1.90429279</v>
      </c>
      <c r="K26" s="18" t="s">
        <v>431</v>
      </c>
      <c r="L26" s="20" t="s">
        <v>431</v>
      </c>
      <c r="M26" s="18" t="n">
        <v>0</v>
      </c>
      <c r="N26" s="20" t="n">
        <v>0</v>
      </c>
      <c r="O26" s="18" t="n">
        <v>0.67741014</v>
      </c>
      <c r="P26" s="20" t="n">
        <v>0.68348042</v>
      </c>
      <c r="Q26" s="18" t="n">
        <v>0</v>
      </c>
      <c r="R26" s="20" t="n">
        <v>0</v>
      </c>
      <c r="S26" s="18" t="n">
        <v>4.02587721</v>
      </c>
      <c r="T26" s="20" t="n">
        <v>1.38257223</v>
      </c>
    </row>
    <row r="27" spans="1:20">
      <c r="A27" s="15" t="s">
        <v>451</v>
      </c>
      <c r="B27" s="17" t="n">
        <v>2616</v>
      </c>
      <c r="C27" s="18">
        <f>(2288.0/B27*100)</f>
        <v/>
      </c>
      <c r="D27" s="19" t="n">
        <v>328</v>
      </c>
      <c r="E27" s="18" t="n">
        <v>34.62127722</v>
      </c>
      <c r="F27" s="20" t="n">
        <v>2.85999389</v>
      </c>
      <c r="G27" s="18" t="n">
        <v>10.97120177</v>
      </c>
      <c r="H27" s="20" t="n">
        <v>1.73238149</v>
      </c>
      <c r="I27" s="18" t="n">
        <v>26.1915376</v>
      </c>
      <c r="J27" s="20" t="n">
        <v>2.41028338</v>
      </c>
      <c r="K27" s="18" t="s">
        <v>431</v>
      </c>
      <c r="L27" s="20" t="s">
        <v>431</v>
      </c>
      <c r="M27" s="18" t="n">
        <v>1.23900643</v>
      </c>
      <c r="N27" s="20" t="n">
        <v>0.62062101</v>
      </c>
      <c r="O27" s="18" t="n">
        <v>0</v>
      </c>
      <c r="P27" s="20" t="n">
        <v>0</v>
      </c>
      <c r="Q27" s="18" t="n">
        <v>0</v>
      </c>
      <c r="R27" s="20" t="n">
        <v>0</v>
      </c>
      <c r="S27" s="18" t="n">
        <v>26.97697698</v>
      </c>
      <c r="T27" s="20" t="n">
        <v>2.49140074</v>
      </c>
    </row>
    <row r="28" spans="1:20">
      <c r="A28" s="15" t="s">
        <v>452</v>
      </c>
      <c r="B28" s="17" t="n">
        <v>3765</v>
      </c>
      <c r="C28" s="18">
        <f>(3348.0/B28*100)</f>
        <v/>
      </c>
      <c r="D28" s="19" t="n">
        <v>417</v>
      </c>
      <c r="E28" s="18" t="n">
        <v>50.23640148</v>
      </c>
      <c r="F28" s="20" t="n">
        <v>2.75634446</v>
      </c>
      <c r="G28" s="18" t="n">
        <v>21.61240162</v>
      </c>
      <c r="H28" s="20" t="n">
        <v>2.13236625</v>
      </c>
      <c r="I28" s="18" t="n">
        <v>13.81205306</v>
      </c>
      <c r="J28" s="20" t="n">
        <v>1.89643811</v>
      </c>
      <c r="K28" s="18" t="s">
        <v>431</v>
      </c>
      <c r="L28" s="20" t="s">
        <v>431</v>
      </c>
      <c r="M28" s="18" t="n">
        <v>0.23279523</v>
      </c>
      <c r="N28" s="20" t="n">
        <v>0.25350593</v>
      </c>
      <c r="O28" s="18" t="n">
        <v>0</v>
      </c>
      <c r="P28" s="20" t="n">
        <v>0</v>
      </c>
      <c r="Q28" s="18" t="n">
        <v>0</v>
      </c>
      <c r="R28" s="20" t="n">
        <v>0</v>
      </c>
      <c r="S28" s="18" t="n">
        <v>14.10634861</v>
      </c>
      <c r="T28" s="20" t="n">
        <v>1.69514446</v>
      </c>
    </row>
    <row r="29" spans="1:20">
      <c r="A29" s="15" t="s">
        <v>453</v>
      </c>
      <c r="B29" s="17" t="n">
        <v>2685</v>
      </c>
      <c r="C29" s="18">
        <f>(2357.0/B29*100)</f>
        <v/>
      </c>
      <c r="D29" s="19" t="n">
        <v>328</v>
      </c>
      <c r="E29" s="18" t="n">
        <v>44.40577835</v>
      </c>
      <c r="F29" s="20" t="n">
        <v>2.81605734</v>
      </c>
      <c r="G29" s="18" t="n">
        <v>22.61850561</v>
      </c>
      <c r="H29" s="20" t="n">
        <v>2.28599716</v>
      </c>
      <c r="I29" s="18" t="n">
        <v>30.59522347</v>
      </c>
      <c r="J29" s="20" t="n">
        <v>2.49631088</v>
      </c>
      <c r="K29" s="18" t="s">
        <v>431</v>
      </c>
      <c r="L29" s="20" t="s">
        <v>431</v>
      </c>
      <c r="M29" s="18" t="n">
        <v>0.55703544</v>
      </c>
      <c r="N29" s="20" t="n">
        <v>0.37861385</v>
      </c>
      <c r="O29" s="18" t="n">
        <v>0</v>
      </c>
      <c r="P29" s="20" t="n">
        <v>0</v>
      </c>
      <c r="Q29" s="18" t="n">
        <v>0</v>
      </c>
      <c r="R29" s="20" t="n">
        <v>0</v>
      </c>
      <c r="S29" s="18" t="n">
        <v>1.82345713</v>
      </c>
      <c r="T29" s="20" t="n">
        <v>0.76070935</v>
      </c>
    </row>
    <row r="30" spans="1:20">
      <c r="A30" s="15" t="s">
        <v>454</v>
      </c>
      <c r="B30" s="17" t="n">
        <v>2263</v>
      </c>
      <c r="C30" s="18">
        <f>(1976.0/B30*100)</f>
        <v/>
      </c>
      <c r="D30" s="19" t="n">
        <v>287</v>
      </c>
      <c r="E30" s="18" t="n">
        <v>22.40174882</v>
      </c>
      <c r="F30" s="20" t="n">
        <v>2.1371498</v>
      </c>
      <c r="G30" s="18" t="n">
        <v>20.37950171</v>
      </c>
      <c r="H30" s="20" t="n">
        <v>2.52074491</v>
      </c>
      <c r="I30" s="18" t="n">
        <v>32.64782169</v>
      </c>
      <c r="J30" s="20" t="n">
        <v>2.79755546</v>
      </c>
      <c r="K30" s="18" t="s">
        <v>431</v>
      </c>
      <c r="L30" s="20" t="s">
        <v>431</v>
      </c>
      <c r="M30" s="18" t="n">
        <v>0.75755242</v>
      </c>
      <c r="N30" s="20" t="n">
        <v>0.15573121</v>
      </c>
      <c r="O30" s="18" t="n">
        <v>0.5093613</v>
      </c>
      <c r="P30" s="20" t="n">
        <v>0.50084978</v>
      </c>
      <c r="Q30" s="18" t="n">
        <v>0</v>
      </c>
      <c r="R30" s="20" t="n">
        <v>0</v>
      </c>
      <c r="S30" s="18" t="n">
        <v>23.30401406</v>
      </c>
      <c r="T30" s="20" t="n">
        <v>2.48328347</v>
      </c>
    </row>
    <row r="31" spans="1:20">
      <c r="A31" s="15" t="s">
        <v>455</v>
      </c>
      <c r="B31" s="17" t="n">
        <v>2750</v>
      </c>
      <c r="C31" s="18">
        <f>(2420.0/B31*100)</f>
        <v/>
      </c>
      <c r="D31" s="19" t="n">
        <v>330</v>
      </c>
      <c r="E31" s="18" t="n">
        <v>29.12699293</v>
      </c>
      <c r="F31" s="20" t="n">
        <v>2.43033461</v>
      </c>
      <c r="G31" s="18" t="n">
        <v>6.8507432</v>
      </c>
      <c r="H31" s="20" t="n">
        <v>1.50773529</v>
      </c>
      <c r="I31" s="18" t="n">
        <v>37.25905023</v>
      </c>
      <c r="J31" s="20" t="n">
        <v>2.92438781</v>
      </c>
      <c r="K31" s="18" t="s">
        <v>431</v>
      </c>
      <c r="L31" s="20" t="s">
        <v>431</v>
      </c>
      <c r="M31" s="18" t="n">
        <v>0.29546133</v>
      </c>
      <c r="N31" s="20" t="n">
        <v>0.31372913</v>
      </c>
      <c r="O31" s="18" t="n">
        <v>0.30292661</v>
      </c>
      <c r="P31" s="20" t="n">
        <v>0.2865241</v>
      </c>
      <c r="Q31" s="18" t="n">
        <v>0</v>
      </c>
      <c r="R31" s="20" t="n">
        <v>0</v>
      </c>
      <c r="S31" s="18" t="n">
        <v>26.1648257</v>
      </c>
      <c r="T31" s="20" t="n">
        <v>2.45546754</v>
      </c>
    </row>
    <row r="32" spans="1:20">
      <c r="A32" s="15" t="s">
        <v>456</v>
      </c>
      <c r="B32" s="17" t="n">
        <v>2269</v>
      </c>
      <c r="C32" s="18">
        <f>(1911.0/B32*100)</f>
        <v/>
      </c>
      <c r="D32" s="19" t="n">
        <v>358</v>
      </c>
      <c r="E32" s="18" t="n">
        <v>29.54372885</v>
      </c>
      <c r="F32" s="20" t="n">
        <v>2.33018107</v>
      </c>
      <c r="G32" s="18" t="n">
        <v>17.08112318</v>
      </c>
      <c r="H32" s="20" t="n">
        <v>2.01417081</v>
      </c>
      <c r="I32" s="18" t="n">
        <v>32.16000002</v>
      </c>
      <c r="J32" s="20" t="n">
        <v>2.3386568</v>
      </c>
      <c r="K32" s="18" t="s">
        <v>431</v>
      </c>
      <c r="L32" s="20" t="s">
        <v>431</v>
      </c>
      <c r="M32" s="18" t="n">
        <v>0.27041975</v>
      </c>
      <c r="N32" s="20" t="n">
        <v>0.25337215</v>
      </c>
      <c r="O32" s="18" t="n">
        <v>0.26346239</v>
      </c>
      <c r="P32" s="20" t="n">
        <v>0.2610246</v>
      </c>
      <c r="Q32" s="18" t="n">
        <v>0</v>
      </c>
      <c r="R32" s="20" t="n">
        <v>0</v>
      </c>
      <c r="S32" s="18" t="n">
        <v>20.68126581</v>
      </c>
      <c r="T32" s="20" t="n">
        <v>2.42312683</v>
      </c>
    </row>
    <row r="33" spans="1:20">
      <c r="A33" s="15" t="s">
        <v>457</v>
      </c>
      <c r="B33" s="17" t="n">
        <v>3674</v>
      </c>
      <c r="C33" s="18">
        <f>(3204.0/B33*100)</f>
        <v/>
      </c>
      <c r="D33" s="19" t="n">
        <v>470</v>
      </c>
      <c r="E33" s="18" t="n">
        <v>29.06613975</v>
      </c>
      <c r="F33" s="20" t="n">
        <v>2.1444738</v>
      </c>
      <c r="G33" s="18" t="n">
        <v>12.79237242</v>
      </c>
      <c r="H33" s="20" t="n">
        <v>1.85199112</v>
      </c>
      <c r="I33" s="18" t="n">
        <v>31.94613158</v>
      </c>
      <c r="J33" s="20" t="n">
        <v>2.3188973</v>
      </c>
      <c r="K33" s="18" t="s">
        <v>431</v>
      </c>
      <c r="L33" s="20" t="s">
        <v>431</v>
      </c>
      <c r="M33" s="18" t="n">
        <v>0.30398041</v>
      </c>
      <c r="N33" s="20" t="n">
        <v>0.26754606</v>
      </c>
      <c r="O33" s="18" t="n">
        <v>0</v>
      </c>
      <c r="P33" s="20" t="n">
        <v>0</v>
      </c>
      <c r="Q33" s="18" t="n">
        <v>0</v>
      </c>
      <c r="R33" s="20" t="n">
        <v>0</v>
      </c>
      <c r="S33" s="18" t="n">
        <v>25.89137584</v>
      </c>
      <c r="T33" s="20" t="n">
        <v>2.35706881</v>
      </c>
    </row>
    <row r="34" spans="1:20">
      <c r="A34" s="15" t="s">
        <v>458</v>
      </c>
      <c r="B34" s="17" t="n">
        <v>3315</v>
      </c>
      <c r="C34" s="18">
        <f>(2923.0/B34*100)</f>
        <v/>
      </c>
      <c r="D34" s="19" t="n">
        <v>392</v>
      </c>
      <c r="E34" s="18" t="n">
        <v>41.72547497</v>
      </c>
      <c r="F34" s="20" t="n">
        <v>2.55305817</v>
      </c>
      <c r="G34" s="18" t="n">
        <v>10.02145154</v>
      </c>
      <c r="H34" s="20" t="n">
        <v>1.64278263</v>
      </c>
      <c r="I34" s="18" t="n">
        <v>14.81885336</v>
      </c>
      <c r="J34" s="20" t="n">
        <v>2.12344102</v>
      </c>
      <c r="K34" s="18" t="s">
        <v>431</v>
      </c>
      <c r="L34" s="20" t="s">
        <v>431</v>
      </c>
      <c r="M34" s="18" t="n">
        <v>0.19727591</v>
      </c>
      <c r="N34" s="20" t="n">
        <v>0.19745824</v>
      </c>
      <c r="O34" s="18" t="n">
        <v>0</v>
      </c>
      <c r="P34" s="20" t="n">
        <v>0</v>
      </c>
      <c r="Q34" s="18" t="n">
        <v>0</v>
      </c>
      <c r="R34" s="20" t="n">
        <v>0</v>
      </c>
      <c r="S34" s="18" t="n">
        <v>33.23694422</v>
      </c>
      <c r="T34" s="20" t="n">
        <v>2.22493503</v>
      </c>
    </row>
    <row r="35" spans="1:20">
      <c r="A35" s="15" t="s">
        <v>459</v>
      </c>
      <c r="B35" s="17" t="n">
        <v>3505</v>
      </c>
      <c r="C35" s="18">
        <f>(3071.0/B35*100)</f>
        <v/>
      </c>
      <c r="D35" s="19" t="n">
        <v>434</v>
      </c>
      <c r="E35" s="18" t="n">
        <v>54.58983653</v>
      </c>
      <c r="F35" s="20" t="n">
        <v>3.00701459</v>
      </c>
      <c r="G35" s="18" t="n">
        <v>15.49761703</v>
      </c>
      <c r="H35" s="20" t="n">
        <v>2.22003382</v>
      </c>
      <c r="I35" s="18" t="n">
        <v>28.601959</v>
      </c>
      <c r="J35" s="20" t="n">
        <v>2.75630689</v>
      </c>
      <c r="K35" s="18" t="s">
        <v>431</v>
      </c>
      <c r="L35" s="20" t="s">
        <v>431</v>
      </c>
      <c r="M35" s="18" t="n">
        <v>0.13117874</v>
      </c>
      <c r="N35" s="20" t="n">
        <v>0.13092447</v>
      </c>
      <c r="O35" s="18" t="n">
        <v>0</v>
      </c>
      <c r="P35" s="20" t="n">
        <v>0</v>
      </c>
      <c r="Q35" s="18" t="n">
        <v>0</v>
      </c>
      <c r="R35" s="20" t="n">
        <v>0</v>
      </c>
      <c r="S35" s="18" t="n">
        <v>1.1794087</v>
      </c>
      <c r="T35" s="20" t="n">
        <v>0.51928789</v>
      </c>
    </row>
    <row r="36" spans="1:20">
      <c r="A36" s="15" t="s">
        <v>460</v>
      </c>
      <c r="B36" s="17" t="n">
        <v>3332</v>
      </c>
      <c r="C36" s="18">
        <f>(2915.0/B36*100)</f>
        <v/>
      </c>
      <c r="D36" s="19" t="n">
        <v>417</v>
      </c>
      <c r="E36" s="18" t="n">
        <v>27.69922512</v>
      </c>
      <c r="F36" s="20" t="n">
        <v>2.48385737</v>
      </c>
      <c r="G36" s="18" t="n">
        <v>31.35708851</v>
      </c>
      <c r="H36" s="20" t="n">
        <v>2.24898512</v>
      </c>
      <c r="I36" s="18" t="n">
        <v>35.8997959</v>
      </c>
      <c r="J36" s="20" t="n">
        <v>2.57957903</v>
      </c>
      <c r="K36" s="18" t="s">
        <v>431</v>
      </c>
      <c r="L36" s="20" t="s">
        <v>431</v>
      </c>
      <c r="M36" s="18" t="n">
        <v>0</v>
      </c>
      <c r="N36" s="20" t="n">
        <v>0</v>
      </c>
      <c r="O36" s="18" t="n">
        <v>0.73587937</v>
      </c>
      <c r="P36" s="20" t="n">
        <v>0.5360863300000001</v>
      </c>
      <c r="Q36" s="18" t="n">
        <v>0</v>
      </c>
      <c r="R36" s="20" t="n">
        <v>0</v>
      </c>
      <c r="S36" s="18" t="n">
        <v>4.3080111</v>
      </c>
      <c r="T36" s="20" t="n">
        <v>1.01683665</v>
      </c>
    </row>
    <row r="37" spans="1:20">
      <c r="A37" s="15" t="s">
        <v>461</v>
      </c>
      <c r="B37" s="17" t="n">
        <v>2727</v>
      </c>
      <c r="C37" s="18">
        <f>(2380.0/B37*100)</f>
        <v/>
      </c>
      <c r="D37" s="19" t="n">
        <v>347</v>
      </c>
      <c r="E37" s="18" t="n">
        <v>56.66926461</v>
      </c>
      <c r="F37" s="20" t="n">
        <v>2.60778182</v>
      </c>
      <c r="G37" s="18" t="n">
        <v>14.50850748</v>
      </c>
      <c r="H37" s="20" t="n">
        <v>1.91194619</v>
      </c>
      <c r="I37" s="18" t="n">
        <v>24.78865304</v>
      </c>
      <c r="J37" s="20" t="n">
        <v>2.26256452</v>
      </c>
      <c r="K37" s="18" t="s">
        <v>431</v>
      </c>
      <c r="L37" s="20" t="s">
        <v>431</v>
      </c>
      <c r="M37" s="18" t="n">
        <v>1.66163818</v>
      </c>
      <c r="N37" s="20" t="n">
        <v>0.681424</v>
      </c>
      <c r="O37" s="18" t="n">
        <v>0</v>
      </c>
      <c r="P37" s="20" t="n">
        <v>0</v>
      </c>
      <c r="Q37" s="18" t="n">
        <v>0</v>
      </c>
      <c r="R37" s="20" t="n">
        <v>0</v>
      </c>
      <c r="S37" s="18" t="n">
        <v>2.37193668</v>
      </c>
      <c r="T37" s="20" t="n">
        <v>0.91593961</v>
      </c>
    </row>
    <row r="38" spans="1:20">
      <c r="A38" s="15" t="s">
        <v>462</v>
      </c>
      <c r="B38" s="17" t="n">
        <v>3053</v>
      </c>
      <c r="C38" s="18">
        <f>(2587.0/B38*100)</f>
        <v/>
      </c>
      <c r="D38" s="19" t="n">
        <v>466</v>
      </c>
      <c r="E38" s="18" t="n">
        <v>46.21777943</v>
      </c>
      <c r="F38" s="20" t="n">
        <v>2.62089302</v>
      </c>
      <c r="G38" s="18" t="n">
        <v>10.52601818</v>
      </c>
      <c r="H38" s="20" t="n">
        <v>1.96441094</v>
      </c>
      <c r="I38" s="18" t="n">
        <v>24.29185516</v>
      </c>
      <c r="J38" s="20" t="n">
        <v>2.2799478</v>
      </c>
      <c r="K38" s="18" t="s">
        <v>431</v>
      </c>
      <c r="L38" s="20" t="s">
        <v>431</v>
      </c>
      <c r="M38" s="18" t="n">
        <v>0.38369624</v>
      </c>
      <c r="N38" s="20" t="n">
        <v>0.20844798</v>
      </c>
      <c r="O38" s="18" t="n">
        <v>0.41486463</v>
      </c>
      <c r="P38" s="20" t="n">
        <v>0.41290565</v>
      </c>
      <c r="Q38" s="18" t="n">
        <v>0</v>
      </c>
      <c r="R38" s="20" t="n">
        <v>0</v>
      </c>
      <c r="S38" s="18" t="n">
        <v>18.16578636</v>
      </c>
      <c r="T38" s="20" t="n">
        <v>1.94526701</v>
      </c>
    </row>
    <row r="39" spans="1:20">
      <c r="A39" s="15" t="s">
        <v>463</v>
      </c>
      <c r="B39" s="17" t="n">
        <v>2957</v>
      </c>
      <c r="C39" s="18">
        <f>(2590.0/B39*100)</f>
        <v/>
      </c>
      <c r="D39" s="19" t="n">
        <v>367</v>
      </c>
      <c r="E39" s="18" t="n">
        <v>36.36528523</v>
      </c>
      <c r="F39" s="20" t="n">
        <v>2.59649549</v>
      </c>
      <c r="G39" s="18" t="n">
        <v>18.65561585</v>
      </c>
      <c r="H39" s="20" t="n">
        <v>2.35657063</v>
      </c>
      <c r="I39" s="18" t="n">
        <v>14.2203066</v>
      </c>
      <c r="J39" s="20" t="n">
        <v>2.66323853</v>
      </c>
      <c r="K39" s="18" t="s">
        <v>431</v>
      </c>
      <c r="L39" s="20" t="s">
        <v>431</v>
      </c>
      <c r="M39" s="18" t="n">
        <v>0.34303425</v>
      </c>
      <c r="N39" s="20" t="n">
        <v>0.34244493</v>
      </c>
      <c r="O39" s="18" t="n">
        <v>0.23528998</v>
      </c>
      <c r="P39" s="20" t="n">
        <v>0.24228373</v>
      </c>
      <c r="Q39" s="18" t="n">
        <v>0</v>
      </c>
      <c r="R39" s="20" t="n">
        <v>0</v>
      </c>
      <c r="S39" s="18" t="n">
        <v>30.18046809</v>
      </c>
      <c r="T39" s="20" t="n">
        <v>2.81726191</v>
      </c>
    </row>
    <row r="40" spans="1:20">
      <c r="A40" s="15" t="s">
        <v>464</v>
      </c>
      <c r="B40" s="17" t="n">
        <v>7235</v>
      </c>
      <c r="C40" s="18">
        <f>(6332.0/B40*100)</f>
        <v/>
      </c>
      <c r="D40" s="19" t="n">
        <v>903</v>
      </c>
      <c r="E40" s="18" t="n">
        <v>34.09134678</v>
      </c>
      <c r="F40" s="20" t="n">
        <v>2.3120789</v>
      </c>
      <c r="G40" s="18" t="n">
        <v>22.28485189</v>
      </c>
      <c r="H40" s="20" t="n">
        <v>2.58630876</v>
      </c>
      <c r="I40" s="18" t="n">
        <v>22.19290087</v>
      </c>
      <c r="J40" s="20" t="n">
        <v>2.220618</v>
      </c>
      <c r="K40" s="18" t="s">
        <v>431</v>
      </c>
      <c r="L40" s="20" t="s">
        <v>431</v>
      </c>
      <c r="M40" s="18" t="n">
        <v>0.23886278</v>
      </c>
      <c r="N40" s="20" t="n">
        <v>0.10418111</v>
      </c>
      <c r="O40" s="18" t="n">
        <v>0.55731777</v>
      </c>
      <c r="P40" s="20" t="n">
        <v>0.400753</v>
      </c>
      <c r="Q40" s="18" t="n">
        <v>0</v>
      </c>
      <c r="R40" s="20" t="n">
        <v>0</v>
      </c>
      <c r="S40" s="18" t="n">
        <v>20.6347199</v>
      </c>
      <c r="T40" s="20" t="n">
        <v>1.81062455</v>
      </c>
    </row>
    <row r="41" spans="1:20">
      <c r="A41" s="15" t="s">
        <v>465</v>
      </c>
      <c r="B41" s="17" t="n">
        <v>2858</v>
      </c>
      <c r="C41" s="18">
        <f>(2525.0/B41*100)</f>
        <v/>
      </c>
      <c r="D41" s="19" t="n">
        <v>333</v>
      </c>
      <c r="E41" s="18" t="n">
        <v>46.69834628</v>
      </c>
      <c r="F41" s="20" t="n">
        <v>3.02972272</v>
      </c>
      <c r="G41" s="18" t="n">
        <v>25.37691371</v>
      </c>
      <c r="H41" s="20" t="n">
        <v>2.35911887</v>
      </c>
      <c r="I41" s="18" t="n">
        <v>26.08796852</v>
      </c>
      <c r="J41" s="20" t="n">
        <v>2.75349023</v>
      </c>
      <c r="K41" s="18" t="s">
        <v>431</v>
      </c>
      <c r="L41" s="20" t="s">
        <v>431</v>
      </c>
      <c r="M41" s="18" t="n">
        <v>0</v>
      </c>
      <c r="N41" s="20" t="n">
        <v>0</v>
      </c>
      <c r="O41" s="18" t="n">
        <v>0</v>
      </c>
      <c r="P41" s="20" t="n">
        <v>0</v>
      </c>
      <c r="Q41" s="18" t="n">
        <v>0</v>
      </c>
      <c r="R41" s="20" t="n">
        <v>0</v>
      </c>
      <c r="S41" s="18" t="n">
        <v>1.83677148</v>
      </c>
      <c r="T41" s="20" t="n">
        <v>0.64589436</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11068</v>
      </c>
      <c r="C46" s="18">
        <f>(9899.0/B46*100)</f>
        <v/>
      </c>
      <c r="D46" s="19" t="n">
        <v>1169</v>
      </c>
      <c r="E46" s="18" t="n">
        <v>40.68128141</v>
      </c>
      <c r="F46" s="20" t="n">
        <v>1.78710657</v>
      </c>
      <c r="G46" s="18" t="n">
        <v>22.28087053</v>
      </c>
      <c r="H46" s="20" t="n">
        <v>1.67458961</v>
      </c>
      <c r="I46" s="18" t="n">
        <v>9.857697249999999</v>
      </c>
      <c r="J46" s="20" t="n">
        <v>1.29302846</v>
      </c>
      <c r="K46" s="18" t="s">
        <v>431</v>
      </c>
      <c r="L46" s="20" t="s">
        <v>431</v>
      </c>
      <c r="M46" s="18" t="n">
        <v>0.9694435</v>
      </c>
      <c r="N46" s="20" t="n">
        <v>0.31162504</v>
      </c>
      <c r="O46" s="18" t="n">
        <v>0.64152071</v>
      </c>
      <c r="P46" s="20" t="n">
        <v>0.25753246</v>
      </c>
      <c r="Q46" s="18" t="n">
        <v>0</v>
      </c>
      <c r="R46" s="20" t="n">
        <v>0</v>
      </c>
      <c r="S46" s="18" t="n">
        <v>25.5691866</v>
      </c>
      <c r="T46" s="20" t="n">
        <v>1.76217653</v>
      </c>
    </row>
    <row r="47" spans="1:20">
      <c r="A47" s="15" t="s">
        <v>471</v>
      </c>
      <c r="B47" s="17" t="n">
        <v>3105</v>
      </c>
      <c r="C47" s="18">
        <f>(2719.0/B47*100)</f>
        <v/>
      </c>
      <c r="D47" s="19" t="n">
        <v>386</v>
      </c>
      <c r="E47" s="18" t="n">
        <v>66.03389912999999</v>
      </c>
      <c r="F47" s="20" t="n">
        <v>2.22042186</v>
      </c>
      <c r="G47" s="18" t="n">
        <v>11.60449536</v>
      </c>
      <c r="H47" s="20" t="n">
        <v>1.72019035</v>
      </c>
      <c r="I47" s="18" t="n">
        <v>10.4773305</v>
      </c>
      <c r="J47" s="20" t="n">
        <v>1.74881274</v>
      </c>
      <c r="K47" s="18" t="s">
        <v>431</v>
      </c>
      <c r="L47" s="20" t="s">
        <v>431</v>
      </c>
      <c r="M47" s="18" t="n">
        <v>1.05695346</v>
      </c>
      <c r="N47" s="20" t="n">
        <v>0.6595347</v>
      </c>
      <c r="O47" s="18" t="n">
        <v>0</v>
      </c>
      <c r="P47" s="20" t="n">
        <v>0</v>
      </c>
      <c r="Q47" s="18" t="n">
        <v>0</v>
      </c>
      <c r="R47" s="20" t="n">
        <v>0</v>
      </c>
      <c r="S47" s="18" t="n">
        <v>10.82732155</v>
      </c>
      <c r="T47" s="20" t="n">
        <v>1.42032544</v>
      </c>
    </row>
    <row r="48" spans="1:20">
      <c r="A48" s="15" t="s">
        <v>472</v>
      </c>
      <c r="B48" s="17" t="n">
        <v>5159</v>
      </c>
      <c r="C48" s="18">
        <f>(4527.0/B48*100)</f>
        <v/>
      </c>
      <c r="D48" s="19" t="n">
        <v>632</v>
      </c>
      <c r="E48" s="18" t="n">
        <v>52.37125988</v>
      </c>
      <c r="F48" s="20" t="n">
        <v>2.6954796</v>
      </c>
      <c r="G48" s="18" t="n">
        <v>13.37534705</v>
      </c>
      <c r="H48" s="20" t="n">
        <v>1.50368924</v>
      </c>
      <c r="I48" s="18" t="n">
        <v>20.24814991</v>
      </c>
      <c r="J48" s="20" t="n">
        <v>1.85505764</v>
      </c>
      <c r="K48" s="18" t="s">
        <v>431</v>
      </c>
      <c r="L48" s="20" t="s">
        <v>431</v>
      </c>
      <c r="M48" s="18" t="n">
        <v>0</v>
      </c>
      <c r="N48" s="20" t="n">
        <v>0</v>
      </c>
      <c r="O48" s="18" t="n">
        <v>0.00893509</v>
      </c>
      <c r="P48" s="20" t="n">
        <v>0.009024239999999999</v>
      </c>
      <c r="Q48" s="18" t="n">
        <v>0</v>
      </c>
      <c r="R48" s="20" t="n">
        <v>0</v>
      </c>
      <c r="S48" s="18" t="n">
        <v>13.99630807</v>
      </c>
      <c r="T48" s="20" t="n">
        <v>1.80073155</v>
      </c>
    </row>
    <row r="49" spans="1:20">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5637</v>
      </c>
      <c r="C50" s="18">
        <f>(4963.0/B50*100)</f>
        <v/>
      </c>
      <c r="D50" s="19" t="n">
        <v>674</v>
      </c>
      <c r="E50" s="18" t="n">
        <v>50.32175005</v>
      </c>
      <c r="F50" s="20" t="n">
        <v>2.32754982</v>
      </c>
      <c r="G50" s="18" t="n">
        <v>18.05442175</v>
      </c>
      <c r="H50" s="20" t="n">
        <v>1.8260483</v>
      </c>
      <c r="I50" s="18" t="n">
        <v>15.25120196</v>
      </c>
      <c r="J50" s="20" t="n">
        <v>1.69447326</v>
      </c>
      <c r="K50" s="18" t="s">
        <v>431</v>
      </c>
      <c r="L50" s="20" t="s">
        <v>431</v>
      </c>
      <c r="M50" s="18" t="n">
        <v>1.65024748</v>
      </c>
      <c r="N50" s="20" t="n">
        <v>0.81489747</v>
      </c>
      <c r="O50" s="18" t="n">
        <v>0.04500982</v>
      </c>
      <c r="P50" s="20" t="n">
        <v>0.04492302</v>
      </c>
      <c r="Q50" s="18" t="n">
        <v>0</v>
      </c>
      <c r="R50" s="20" t="n">
        <v>0</v>
      </c>
      <c r="S50" s="18" t="n">
        <v>14.67736894</v>
      </c>
      <c r="T50" s="20" t="n">
        <v>1.7295616</v>
      </c>
    </row>
    <row r="51" spans="1:20">
      <c r="A51" s="15" t="s">
        <v>475</v>
      </c>
      <c r="B51" s="17" t="n">
        <v>3372</v>
      </c>
      <c r="C51" s="18">
        <f>(3007.0/B51*100)</f>
        <v/>
      </c>
      <c r="D51" s="19" t="n">
        <v>365</v>
      </c>
      <c r="E51" s="18" t="n">
        <v>21.22074432</v>
      </c>
      <c r="F51" s="20" t="n">
        <v>2.26501155</v>
      </c>
      <c r="G51" s="18" t="n">
        <v>35.98754568</v>
      </c>
      <c r="H51" s="20" t="n">
        <v>2.67696866</v>
      </c>
      <c r="I51" s="18" t="n">
        <v>26.30771386</v>
      </c>
      <c r="J51" s="20" t="n">
        <v>2.79454368</v>
      </c>
      <c r="K51" s="18" t="s">
        <v>431</v>
      </c>
      <c r="L51" s="20" t="s">
        <v>431</v>
      </c>
      <c r="M51" s="18" t="n">
        <v>0.5543425199999999</v>
      </c>
      <c r="N51" s="20" t="n">
        <v>0.39185615</v>
      </c>
      <c r="O51" s="18" t="n">
        <v>0</v>
      </c>
      <c r="P51" s="20" t="n">
        <v>0</v>
      </c>
      <c r="Q51" s="18" t="n">
        <v>0</v>
      </c>
      <c r="R51" s="20" t="n">
        <v>0</v>
      </c>
      <c r="S51" s="18" t="n">
        <v>15.92965361</v>
      </c>
      <c r="T51" s="20" t="n">
        <v>2.14913171</v>
      </c>
    </row>
    <row r="52" spans="1:20">
      <c r="A52" s="15" t="s">
        <v>476</v>
      </c>
      <c r="B52" s="17" t="n">
        <v>2796</v>
      </c>
      <c r="C52" s="18">
        <f>(2442.0/B52*100)</f>
        <v/>
      </c>
      <c r="D52" s="19" t="n">
        <v>354</v>
      </c>
      <c r="E52" s="18" t="n">
        <v>63.82338402</v>
      </c>
      <c r="F52" s="20" t="n">
        <v>2.57693618</v>
      </c>
      <c r="G52" s="18" t="n">
        <v>13.07802614</v>
      </c>
      <c r="H52" s="20" t="n">
        <v>1.65827839</v>
      </c>
      <c r="I52" s="18" t="n">
        <v>21.08663548</v>
      </c>
      <c r="J52" s="20" t="n">
        <v>2.06829066</v>
      </c>
      <c r="K52" s="18" t="s">
        <v>431</v>
      </c>
      <c r="L52" s="20" t="s">
        <v>431</v>
      </c>
      <c r="M52" s="18" t="n">
        <v>0.63632773</v>
      </c>
      <c r="N52" s="20" t="n">
        <v>0.46481225</v>
      </c>
      <c r="O52" s="18" t="n">
        <v>0</v>
      </c>
      <c r="P52" s="20" t="n">
        <v>0</v>
      </c>
      <c r="Q52" s="18" t="n">
        <v>0</v>
      </c>
      <c r="R52" s="20" t="n">
        <v>0</v>
      </c>
      <c r="S52" s="18" t="n">
        <v>1.37562662</v>
      </c>
      <c r="T52" s="20" t="n">
        <v>0.6021467700000001</v>
      </c>
    </row>
    <row r="53" spans="1:20">
      <c r="A53" s="15" t="s">
        <v>477</v>
      </c>
      <c r="B53" s="17" t="n">
        <v>2811</v>
      </c>
      <c r="C53" s="18">
        <f>(2484.0/B53*100)</f>
        <v/>
      </c>
      <c r="D53" s="19" t="n">
        <v>327</v>
      </c>
      <c r="E53" s="18" t="n">
        <v>69.98021701</v>
      </c>
      <c r="F53" s="20" t="n">
        <v>2.97210893</v>
      </c>
      <c r="G53" s="18" t="n">
        <v>8.20823987</v>
      </c>
      <c r="H53" s="20" t="n">
        <v>1.60895097</v>
      </c>
      <c r="I53" s="18" t="n">
        <v>17.32189665</v>
      </c>
      <c r="J53" s="20" t="n">
        <v>2.54765402</v>
      </c>
      <c r="K53" s="18" t="s">
        <v>431</v>
      </c>
      <c r="L53" s="20" t="s">
        <v>431</v>
      </c>
      <c r="M53" s="18" t="n">
        <v>0.9711059399999999</v>
      </c>
      <c r="N53" s="20" t="n">
        <v>0.58601622</v>
      </c>
      <c r="O53" s="18" t="n">
        <v>0</v>
      </c>
      <c r="P53" s="20" t="n">
        <v>0</v>
      </c>
      <c r="Q53" s="18" t="n">
        <v>0</v>
      </c>
      <c r="R53" s="20" t="n">
        <v>0</v>
      </c>
      <c r="S53" s="18" t="n">
        <v>3.51854053</v>
      </c>
      <c r="T53" s="20" t="n">
        <v>1.23587466</v>
      </c>
    </row>
    <row r="54" spans="1:20">
      <c r="A54" s="15" t="s">
        <v>478</v>
      </c>
      <c r="B54" s="17" t="n">
        <v>2266</v>
      </c>
      <c r="C54" s="18">
        <f>(1884.0/B54*100)</f>
        <v/>
      </c>
      <c r="D54" s="19" t="n">
        <v>382</v>
      </c>
      <c r="E54" s="18" t="n">
        <v>47.56980638</v>
      </c>
      <c r="F54" s="20" t="n">
        <v>2.53988413</v>
      </c>
      <c r="G54" s="18" t="n">
        <v>32.71917534</v>
      </c>
      <c r="H54" s="20" t="n">
        <v>2.18332275</v>
      </c>
      <c r="I54" s="18" t="n">
        <v>7.68056526</v>
      </c>
      <c r="J54" s="20" t="n">
        <v>1.40222565</v>
      </c>
      <c r="K54" s="18" t="s">
        <v>431</v>
      </c>
      <c r="L54" s="20" t="s">
        <v>431</v>
      </c>
      <c r="M54" s="18" t="n">
        <v>6.63958955</v>
      </c>
      <c r="N54" s="20" t="n">
        <v>1.3022875</v>
      </c>
      <c r="O54" s="18" t="n">
        <v>0.7810289500000001</v>
      </c>
      <c r="P54" s="20" t="n">
        <v>0.75468161</v>
      </c>
      <c r="Q54" s="18" t="n">
        <v>0</v>
      </c>
      <c r="R54" s="20" t="n">
        <v>0</v>
      </c>
      <c r="S54" s="18" t="n">
        <v>4.60983453</v>
      </c>
      <c r="T54" s="20" t="n">
        <v>1.0325897</v>
      </c>
    </row>
    <row r="55" spans="1:20">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2684</v>
      </c>
      <c r="C56" s="18">
        <f>(2358.0/B56*100)</f>
        <v/>
      </c>
      <c r="D56" s="19" t="n">
        <v>326</v>
      </c>
      <c r="E56" s="18" t="n">
        <v>47.52175935</v>
      </c>
      <c r="F56" s="20" t="n">
        <v>2.66701196</v>
      </c>
      <c r="G56" s="18" t="n">
        <v>17.77865251</v>
      </c>
      <c r="H56" s="20" t="n">
        <v>2.14693379</v>
      </c>
      <c r="I56" s="18" t="n">
        <v>30.38901071</v>
      </c>
      <c r="J56" s="20" t="n">
        <v>2.74021091</v>
      </c>
      <c r="K56" s="18" t="s">
        <v>431</v>
      </c>
      <c r="L56" s="20" t="s">
        <v>431</v>
      </c>
      <c r="M56" s="18" t="n">
        <v>0.79707462</v>
      </c>
      <c r="N56" s="20" t="n">
        <v>0.56945623</v>
      </c>
      <c r="O56" s="18" t="n">
        <v>0</v>
      </c>
      <c r="P56" s="20" t="n">
        <v>0</v>
      </c>
      <c r="Q56" s="18" t="n">
        <v>0</v>
      </c>
      <c r="R56" s="20" t="n">
        <v>0</v>
      </c>
      <c r="S56" s="18" t="n">
        <v>3.5135028</v>
      </c>
      <c r="T56" s="20" t="n">
        <v>1.0671104</v>
      </c>
    </row>
    <row r="57" spans="1:20">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3324</v>
      </c>
      <c r="C61" s="18">
        <f>(2902.0/B61*100)</f>
        <v/>
      </c>
      <c r="D61" s="19" t="n">
        <v>422</v>
      </c>
      <c r="E61" s="18" t="n">
        <v>38.9160916</v>
      </c>
      <c r="F61" s="20" t="n">
        <v>2.62657839</v>
      </c>
      <c r="G61" s="18" t="n">
        <v>14.11807955</v>
      </c>
      <c r="H61" s="20" t="n">
        <v>1.72317521</v>
      </c>
      <c r="I61" s="18" t="n">
        <v>19.83323968</v>
      </c>
      <c r="J61" s="20" t="n">
        <v>2.20523209</v>
      </c>
      <c r="K61" s="18" t="s">
        <v>431</v>
      </c>
      <c r="L61" s="20" t="s">
        <v>431</v>
      </c>
      <c r="M61" s="18" t="n">
        <v>0.52206048</v>
      </c>
      <c r="N61" s="20" t="n">
        <v>0.32391429</v>
      </c>
      <c r="O61" s="18" t="n">
        <v>0</v>
      </c>
      <c r="P61" s="20" t="n">
        <v>0</v>
      </c>
      <c r="Q61" s="18" t="n">
        <v>0</v>
      </c>
      <c r="R61" s="20" t="n">
        <v>0</v>
      </c>
      <c r="S61" s="18" t="n">
        <v>26.6105287</v>
      </c>
      <c r="T61" s="20" t="n">
        <v>2.34719624</v>
      </c>
    </row>
    <row r="62" spans="1:20">
      <c r="A62" s="15" t="s">
        <v>486</v>
      </c>
      <c r="B62" s="17" t="n">
        <v>2246</v>
      </c>
      <c r="C62" s="18">
        <f>(1992.0/B62*100)</f>
        <v/>
      </c>
      <c r="D62" s="19" t="n">
        <v>254</v>
      </c>
      <c r="E62" s="18" t="n">
        <v>53.97649482</v>
      </c>
      <c r="F62" s="20" t="n">
        <v>2.81965378</v>
      </c>
      <c r="G62" s="18" t="n">
        <v>16.89229614</v>
      </c>
      <c r="H62" s="20" t="n">
        <v>2.52762651</v>
      </c>
      <c r="I62" s="18" t="n">
        <v>25.55462448</v>
      </c>
      <c r="J62" s="20" t="n">
        <v>2.62778976</v>
      </c>
      <c r="K62" s="18" t="s">
        <v>431</v>
      </c>
      <c r="L62" s="20" t="s">
        <v>431</v>
      </c>
      <c r="M62" s="18" t="n">
        <v>0</v>
      </c>
      <c r="N62" s="20" t="n">
        <v>0</v>
      </c>
      <c r="O62" s="18" t="n">
        <v>0</v>
      </c>
      <c r="P62" s="20" t="n">
        <v>0</v>
      </c>
      <c r="Q62" s="18" t="n">
        <v>0</v>
      </c>
      <c r="R62" s="20" t="n">
        <v>0</v>
      </c>
      <c r="S62" s="18" t="n">
        <v>3.57658456</v>
      </c>
      <c r="T62" s="20" t="n">
        <v>1.11755875</v>
      </c>
    </row>
    <row r="63" spans="1:20">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2894</v>
      </c>
      <c r="C66" s="18">
        <f>(2557.0/B66*100)</f>
        <v/>
      </c>
      <c r="D66" s="19" t="n">
        <v>337</v>
      </c>
      <c r="E66" s="18" t="n">
        <v>22.80169133</v>
      </c>
      <c r="F66" s="20" t="n">
        <v>2.15639976</v>
      </c>
      <c r="G66" s="18" t="n">
        <v>9.5780802</v>
      </c>
      <c r="H66" s="20" t="n">
        <v>1.83239309</v>
      </c>
      <c r="I66" s="18" t="n">
        <v>13.15504714</v>
      </c>
      <c r="J66" s="20" t="n">
        <v>1.99390946</v>
      </c>
      <c r="K66" s="18" t="s">
        <v>431</v>
      </c>
      <c r="L66" s="20" t="s">
        <v>431</v>
      </c>
      <c r="M66" s="18" t="n">
        <v>0.8328413099999999</v>
      </c>
      <c r="N66" s="20" t="n">
        <v>0.49192304</v>
      </c>
      <c r="O66" s="18" t="n">
        <v>0.57674733</v>
      </c>
      <c r="P66" s="20" t="n">
        <v>0.40057391</v>
      </c>
      <c r="Q66" s="18" t="n">
        <v>0</v>
      </c>
      <c r="R66" s="20" t="n">
        <v>0</v>
      </c>
      <c r="S66" s="18" t="n">
        <v>53.05559269</v>
      </c>
      <c r="T66" s="20" t="n">
        <v>2.59251076</v>
      </c>
    </row>
    <row r="67" spans="1:20">
      <c r="A67" s="15" t="s">
        <v>491</v>
      </c>
      <c r="B67" s="17" t="n">
        <v>3511</v>
      </c>
      <c r="C67" s="18">
        <f>(3097.0/B67*100)</f>
        <v/>
      </c>
      <c r="D67" s="19" t="n">
        <v>414</v>
      </c>
      <c r="E67" s="18" t="n">
        <v>80.84235400999999</v>
      </c>
      <c r="F67" s="20" t="n">
        <v>2.14295217</v>
      </c>
      <c r="G67" s="18" t="n">
        <v>11.43175777</v>
      </c>
      <c r="H67" s="20" t="n">
        <v>1.50529772</v>
      </c>
      <c r="I67" s="18" t="n">
        <v>5.37391801</v>
      </c>
      <c r="J67" s="20" t="n">
        <v>1.3684515</v>
      </c>
      <c r="K67" s="18" t="s">
        <v>431</v>
      </c>
      <c r="L67" s="20" t="s">
        <v>431</v>
      </c>
      <c r="M67" s="18" t="n">
        <v>0.20029855</v>
      </c>
      <c r="N67" s="20" t="n">
        <v>0.20110726</v>
      </c>
      <c r="O67" s="18" t="n">
        <v>0</v>
      </c>
      <c r="P67" s="20" t="n">
        <v>0</v>
      </c>
      <c r="Q67" s="18" t="n">
        <v>0</v>
      </c>
      <c r="R67" s="20" t="n">
        <v>0</v>
      </c>
      <c r="S67" s="18" t="n">
        <v>2.15167166</v>
      </c>
      <c r="T67" s="20" t="n">
        <v>0.74263983</v>
      </c>
    </row>
    <row r="68" spans="1:20">
      <c r="A68" s="15" t="s">
        <v>492</v>
      </c>
      <c r="B68" s="17" t="n">
        <v>6049</v>
      </c>
      <c r="C68" s="18">
        <f>(5051.0/B68*100)</f>
        <v/>
      </c>
      <c r="D68" s="19" t="n">
        <v>998</v>
      </c>
      <c r="E68" s="18" t="n">
        <v>78.20710284</v>
      </c>
      <c r="F68" s="20" t="n">
        <v>1.28480362</v>
      </c>
      <c r="G68" s="18" t="n">
        <v>7.65301489</v>
      </c>
      <c r="H68" s="20" t="n">
        <v>0.83310016</v>
      </c>
      <c r="I68" s="18" t="n">
        <v>9.046056</v>
      </c>
      <c r="J68" s="20" t="n">
        <v>0.86951226</v>
      </c>
      <c r="K68" s="18" t="s">
        <v>431</v>
      </c>
      <c r="L68" s="20" t="s">
        <v>431</v>
      </c>
      <c r="M68" s="18" t="n">
        <v>2.25292663</v>
      </c>
      <c r="N68" s="20" t="n">
        <v>0.43009749</v>
      </c>
      <c r="O68" s="18" t="n">
        <v>0</v>
      </c>
      <c r="P68" s="20" t="n">
        <v>0</v>
      </c>
      <c r="Q68" s="18" t="n">
        <v>0</v>
      </c>
      <c r="R68" s="20" t="n">
        <v>0</v>
      </c>
      <c r="S68" s="18" t="n">
        <v>2.84089964</v>
      </c>
      <c r="T68" s="20" t="n">
        <v>0.46053629</v>
      </c>
    </row>
    <row r="69" spans="1:20">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2929</v>
      </c>
      <c r="C70" s="18">
        <f>(2603.0/B70*100)</f>
        <v/>
      </c>
      <c r="D70" s="19" t="n">
        <v>326</v>
      </c>
      <c r="E70" s="18" t="n">
        <v>87.29890776000001</v>
      </c>
      <c r="F70" s="20" t="n">
        <v>1.94312167</v>
      </c>
      <c r="G70" s="18" t="n">
        <v>4.32320358</v>
      </c>
      <c r="H70" s="20" t="n">
        <v>1.15746645</v>
      </c>
      <c r="I70" s="18" t="n">
        <v>7.80818647</v>
      </c>
      <c r="J70" s="20" t="n">
        <v>1.72388926</v>
      </c>
      <c r="K70" s="18" t="s">
        <v>431</v>
      </c>
      <c r="L70" s="20" t="s">
        <v>431</v>
      </c>
      <c r="M70" s="18" t="n">
        <v>0</v>
      </c>
      <c r="N70" s="20" t="n">
        <v>0</v>
      </c>
      <c r="O70" s="18" t="n">
        <v>0</v>
      </c>
      <c r="P70" s="20" t="n">
        <v>0</v>
      </c>
      <c r="Q70" s="18" t="n">
        <v>0</v>
      </c>
      <c r="R70" s="20" t="n">
        <v>0</v>
      </c>
      <c r="S70" s="18" t="n">
        <v>0.56970219</v>
      </c>
      <c r="T70" s="20" t="n">
        <v>0.43321447</v>
      </c>
    </row>
    <row r="71" spans="1:20">
      <c r="A71" s="15" t="s">
        <v>495</v>
      </c>
      <c r="B71" s="17" t="n">
        <v>3142</v>
      </c>
      <c r="C71" s="18">
        <f>(2757.0/B71*100)</f>
        <v/>
      </c>
      <c r="D71" s="19" t="n">
        <v>385</v>
      </c>
      <c r="E71" s="18" t="n">
        <v>47.0342693</v>
      </c>
      <c r="F71" s="20" t="n">
        <v>2.98791719</v>
      </c>
      <c r="G71" s="18" t="n">
        <v>10.87267006</v>
      </c>
      <c r="H71" s="20" t="n">
        <v>1.57416896</v>
      </c>
      <c r="I71" s="18" t="n">
        <v>34.21077573</v>
      </c>
      <c r="J71" s="20" t="n">
        <v>2.67008128</v>
      </c>
      <c r="K71" s="18" t="s">
        <v>431</v>
      </c>
      <c r="L71" s="20" t="s">
        <v>431</v>
      </c>
      <c r="M71" s="18" t="n">
        <v>0.27585198</v>
      </c>
      <c r="N71" s="20" t="n">
        <v>0.27620877</v>
      </c>
      <c r="O71" s="18" t="n">
        <v>0.13594089</v>
      </c>
      <c r="P71" s="20" t="n">
        <v>0.13903864</v>
      </c>
      <c r="Q71" s="18" t="n">
        <v>0</v>
      </c>
      <c r="R71" s="20" t="n">
        <v>0</v>
      </c>
      <c r="S71" s="18" t="n">
        <v>7.47049204</v>
      </c>
      <c r="T71" s="20" t="n">
        <v>1.31124509</v>
      </c>
    </row>
    <row r="72" spans="1:20">
      <c r="A72" s="15" t="s">
        <v>496</v>
      </c>
      <c r="B72" s="17" t="n">
        <v>3889</v>
      </c>
      <c r="C72" s="18">
        <f>(3393.0/B72*100)</f>
        <v/>
      </c>
      <c r="D72" s="19" t="n">
        <v>496</v>
      </c>
      <c r="E72" s="18" t="n">
        <v>50.75278968</v>
      </c>
      <c r="F72" s="20" t="n">
        <v>2.49070427</v>
      </c>
      <c r="G72" s="18" t="n">
        <v>23.54785245</v>
      </c>
      <c r="H72" s="20" t="n">
        <v>2.12817421</v>
      </c>
      <c r="I72" s="18" t="n">
        <v>25.13739025</v>
      </c>
      <c r="J72" s="20" t="n">
        <v>2.05311325</v>
      </c>
      <c r="K72" s="18" t="s">
        <v>431</v>
      </c>
      <c r="L72" s="20" t="s">
        <v>431</v>
      </c>
      <c r="M72" s="18" t="n">
        <v>0.13760512</v>
      </c>
      <c r="N72" s="20" t="n">
        <v>0.14137084</v>
      </c>
      <c r="O72" s="18" t="n">
        <v>0</v>
      </c>
      <c r="P72" s="20" t="n">
        <v>0</v>
      </c>
      <c r="Q72" s="18" t="n">
        <v>0</v>
      </c>
      <c r="R72" s="20" t="n">
        <v>0</v>
      </c>
      <c r="S72" s="18" t="n">
        <v>0.42436251</v>
      </c>
      <c r="T72" s="20" t="n">
        <v>0.31801592</v>
      </c>
    </row>
    <row r="73" spans="1:20">
      <c r="A73" s="15" t="s">
        <v>497</v>
      </c>
      <c r="B73" s="17" t="n">
        <v>3597</v>
      </c>
      <c r="C73" s="18">
        <f>(3166.0/B73*100)</f>
        <v/>
      </c>
      <c r="D73" s="19" t="n">
        <v>431</v>
      </c>
      <c r="E73" s="18" t="n">
        <v>60.72493436</v>
      </c>
      <c r="F73" s="20" t="n">
        <v>3.46146754</v>
      </c>
      <c r="G73" s="18" t="n">
        <v>12.55473941</v>
      </c>
      <c r="H73" s="20" t="n">
        <v>2.15642966</v>
      </c>
      <c r="I73" s="18" t="n">
        <v>13.7390152</v>
      </c>
      <c r="J73" s="20" t="n">
        <v>2.22669611</v>
      </c>
      <c r="K73" s="18" t="s">
        <v>431</v>
      </c>
      <c r="L73" s="20" t="s">
        <v>431</v>
      </c>
      <c r="M73" s="18" t="n">
        <v>0</v>
      </c>
      <c r="N73" s="20" t="n">
        <v>0</v>
      </c>
      <c r="O73" s="18" t="n">
        <v>0</v>
      </c>
      <c r="P73" s="20" t="n">
        <v>0</v>
      </c>
      <c r="Q73" s="18" t="n">
        <v>0</v>
      </c>
      <c r="R73" s="20" t="n">
        <v>0</v>
      </c>
      <c r="S73" s="18" t="n">
        <v>12.98131103</v>
      </c>
      <c r="T73" s="20" t="n">
        <v>2.15670437</v>
      </c>
    </row>
    <row r="74" spans="1:20">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2406</v>
      </c>
      <c r="C75" s="18">
        <f>(2145.0/B75*100)</f>
        <v/>
      </c>
      <c r="D75" s="19" t="n">
        <v>261</v>
      </c>
      <c r="E75" s="18" t="n">
        <v>81.5988734</v>
      </c>
      <c r="F75" s="20" t="n">
        <v>2.33479629</v>
      </c>
      <c r="G75" s="18" t="n">
        <v>5.69860918</v>
      </c>
      <c r="H75" s="20" t="n">
        <v>1.65542476</v>
      </c>
      <c r="I75" s="18" t="n">
        <v>6.02145772</v>
      </c>
      <c r="J75" s="20" t="n">
        <v>1.78257948</v>
      </c>
      <c r="K75" s="18" t="s">
        <v>431</v>
      </c>
      <c r="L75" s="20" t="s">
        <v>431</v>
      </c>
      <c r="M75" s="18" t="n">
        <v>1.39008337</v>
      </c>
      <c r="N75" s="20" t="n">
        <v>0.88508204</v>
      </c>
      <c r="O75" s="18" t="n">
        <v>1.49689262</v>
      </c>
      <c r="P75" s="20" t="n">
        <v>0.8592753400000001</v>
      </c>
      <c r="Q75" s="18" t="n">
        <v>0</v>
      </c>
      <c r="R75" s="20" t="n">
        <v>0</v>
      </c>
      <c r="S75" s="18" t="n">
        <v>3.79408372</v>
      </c>
      <c r="T75" s="20" t="n">
        <v>1.13201277</v>
      </c>
    </row>
    <row r="76" spans="1:20">
      <c r="A76" s="15" t="s">
        <v>500</v>
      </c>
      <c r="B76" s="17" t="n">
        <v>7052</v>
      </c>
      <c r="C76" s="18">
        <f>(6220.0/B76*100)</f>
        <v/>
      </c>
      <c r="D76" s="19" t="n">
        <v>832</v>
      </c>
      <c r="E76" s="18" t="n">
        <v>69.91659687000001</v>
      </c>
      <c r="F76" s="20" t="n">
        <v>2.20198344</v>
      </c>
      <c r="G76" s="18" t="n">
        <v>10.89055355</v>
      </c>
      <c r="H76" s="20" t="n">
        <v>1.5000238</v>
      </c>
      <c r="I76" s="18" t="n">
        <v>13.14221845</v>
      </c>
      <c r="J76" s="20" t="n">
        <v>1.8523899</v>
      </c>
      <c r="K76" s="18" t="s">
        <v>431</v>
      </c>
      <c r="L76" s="20" t="s">
        <v>431</v>
      </c>
      <c r="M76" s="18" t="n">
        <v>1.1119459</v>
      </c>
      <c r="N76" s="20" t="n">
        <v>0.42604211</v>
      </c>
      <c r="O76" s="18" t="n">
        <v>0.274409</v>
      </c>
      <c r="P76" s="20" t="n">
        <v>0.20110026</v>
      </c>
      <c r="Q76" s="18" t="n">
        <v>0</v>
      </c>
      <c r="R76" s="20" t="n">
        <v>0</v>
      </c>
      <c r="S76" s="18" t="n">
        <v>4.66427623</v>
      </c>
      <c r="T76" s="20" t="n">
        <v>0.98697472</v>
      </c>
    </row>
    <row r="77" spans="1:20">
      <c r="A77" s="15" t="s">
        <v>501</v>
      </c>
      <c r="B77" s="17" t="n">
        <v>2908</v>
      </c>
      <c r="C77" s="18">
        <f>(2545.0/B77*100)</f>
        <v/>
      </c>
      <c r="D77" s="19" t="n">
        <v>363</v>
      </c>
      <c r="E77" s="18" t="n">
        <v>27.26692976</v>
      </c>
      <c r="F77" s="20" t="n">
        <v>2.65247014</v>
      </c>
      <c r="G77" s="18" t="n">
        <v>24.48515009</v>
      </c>
      <c r="H77" s="20" t="n">
        <v>2.59681513</v>
      </c>
      <c r="I77" s="18" t="n">
        <v>13.30754428</v>
      </c>
      <c r="J77" s="20" t="n">
        <v>1.82538656</v>
      </c>
      <c r="K77" s="18" t="s">
        <v>431</v>
      </c>
      <c r="L77" s="20" t="s">
        <v>431</v>
      </c>
      <c r="M77" s="18" t="n">
        <v>0.30479833</v>
      </c>
      <c r="N77" s="20" t="n">
        <v>0.3065632</v>
      </c>
      <c r="O77" s="18" t="n">
        <v>0.30480236</v>
      </c>
      <c r="P77" s="20" t="n">
        <v>0.31349808</v>
      </c>
      <c r="Q77" s="18" t="n">
        <v>0</v>
      </c>
      <c r="R77" s="20" t="n">
        <v>0</v>
      </c>
      <c r="S77" s="18" t="n">
        <v>34.33077519</v>
      </c>
      <c r="T77" s="20" t="n">
        <v>2.84287383</v>
      </c>
    </row>
    <row r="78" spans="1:20">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(3661.0/B81*100)</f>
        <v/>
      </c>
      <c r="D81" s="19" t="n">
        <v>502</v>
      </c>
      <c r="E81" s="18" t="n">
        <v>61.48463953</v>
      </c>
      <c r="F81" s="20" t="n">
        <v>3.05132077</v>
      </c>
      <c r="G81" s="18" t="n">
        <v>21.96302926</v>
      </c>
      <c r="H81" s="20" t="n">
        <v>2.46555339</v>
      </c>
      <c r="I81" s="18" t="n">
        <v>10.41358129</v>
      </c>
      <c r="J81" s="20" t="n">
        <v>1.48215187</v>
      </c>
      <c r="K81" s="18" t="s">
        <v>431</v>
      </c>
      <c r="L81" s="20" t="s">
        <v>431</v>
      </c>
      <c r="M81" s="18" t="n">
        <v>0.4438975</v>
      </c>
      <c r="N81" s="20" t="n">
        <v>0.43783924</v>
      </c>
      <c r="O81" s="18" t="n">
        <v>0</v>
      </c>
      <c r="P81" s="20" t="n">
        <v>0</v>
      </c>
      <c r="Q81" s="18" t="n">
        <v>0</v>
      </c>
      <c r="R81" s="20" t="n">
        <v>0</v>
      </c>
      <c r="S81" s="18" t="n">
        <v>5.69485241</v>
      </c>
      <c r="T81" s="20" t="n">
        <v>1.29169963</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(6506.0/B7*100)</f>
        <v/>
      </c>
      <c r="D7" s="19" t="n">
        <v>861</v>
      </c>
      <c r="E7" s="18" t="n">
        <v>21.44003236</v>
      </c>
      <c r="F7" s="20" t="n">
        <v>1.59630358</v>
      </c>
      <c r="G7" s="18" t="n">
        <v>77.6153728</v>
      </c>
      <c r="H7" s="20" t="n">
        <v>1.67805871</v>
      </c>
      <c r="I7" s="18" t="s">
        <v>431</v>
      </c>
      <c r="J7" s="20" t="s">
        <v>431</v>
      </c>
      <c r="K7" s="18" t="n">
        <v>0.41194844</v>
      </c>
      <c r="L7" s="20" t="n">
        <v>0.1796949</v>
      </c>
      <c r="M7" s="18" t="n">
        <v>0</v>
      </c>
      <c r="N7" s="20" t="n">
        <v>0</v>
      </c>
      <c r="O7" s="18" t="n">
        <v>0</v>
      </c>
      <c r="P7" s="20" t="n">
        <v>0</v>
      </c>
      <c r="Q7" s="18" t="n">
        <v>0.53264641</v>
      </c>
      <c r="R7" s="20" t="n">
        <v>0.2861564</v>
      </c>
    </row>
    <row r="8" spans="1:18">
      <c r="A8" s="15" t="s">
        <v>432</v>
      </c>
      <c r="B8" s="17" t="n">
        <v>3564</v>
      </c>
      <c r="C8" s="18">
        <f>(3153.0/B8*100)</f>
        <v/>
      </c>
      <c r="D8" s="19" t="n">
        <v>411</v>
      </c>
      <c r="E8" s="18" t="n">
        <v>18.60535278</v>
      </c>
      <c r="F8" s="20" t="n">
        <v>2.46089387</v>
      </c>
      <c r="G8" s="18" t="n">
        <v>80.44221204</v>
      </c>
      <c r="H8" s="20" t="n">
        <v>2.53045267</v>
      </c>
      <c r="I8" s="18" t="s">
        <v>431</v>
      </c>
      <c r="J8" s="20" t="s">
        <v>431</v>
      </c>
      <c r="K8" s="18" t="n">
        <v>0.16709681</v>
      </c>
      <c r="L8" s="20" t="n">
        <v>0.17545879</v>
      </c>
      <c r="M8" s="18" t="n">
        <v>0</v>
      </c>
      <c r="N8" s="20" t="n">
        <v>0</v>
      </c>
      <c r="O8" s="18" t="n">
        <v>0</v>
      </c>
      <c r="P8" s="20" t="n">
        <v>0</v>
      </c>
      <c r="Q8" s="18" t="n">
        <v>0.78533837</v>
      </c>
      <c r="R8" s="20" t="n">
        <v>0.48534298</v>
      </c>
    </row>
    <row r="9" spans="1:18">
      <c r="A9" s="15" t="s">
        <v>433</v>
      </c>
      <c r="B9" s="17" t="n">
        <v>4899</v>
      </c>
      <c r="C9" s="18">
        <f>(4322.0/B9*100)</f>
        <v/>
      </c>
      <c r="D9" s="19" t="n">
        <v>577</v>
      </c>
      <c r="E9" s="18" t="n">
        <v>21.5568365</v>
      </c>
      <c r="F9" s="20" t="n">
        <v>2.10606621</v>
      </c>
      <c r="G9" s="18" t="n">
        <v>77.33700781</v>
      </c>
      <c r="H9" s="20" t="n">
        <v>2.07120743</v>
      </c>
      <c r="I9" s="18" t="s">
        <v>431</v>
      </c>
      <c r="J9" s="20" t="s">
        <v>431</v>
      </c>
      <c r="K9" s="18" t="n">
        <v>0.48067168</v>
      </c>
      <c r="L9" s="20" t="n">
        <v>0.2828747</v>
      </c>
      <c r="M9" s="18" t="n">
        <v>0</v>
      </c>
      <c r="N9" s="20" t="n">
        <v>0</v>
      </c>
      <c r="O9" s="18" t="n">
        <v>0</v>
      </c>
      <c r="P9" s="20" t="n">
        <v>0</v>
      </c>
      <c r="Q9" s="18" t="n">
        <v>0.62548401</v>
      </c>
      <c r="R9" s="20" t="n">
        <v>0.30966525</v>
      </c>
    </row>
    <row r="10" spans="1:18">
      <c r="A10" s="15" t="s">
        <v>434</v>
      </c>
      <c r="B10" s="17" t="n">
        <v>10036</v>
      </c>
      <c r="C10" s="18">
        <f>(8817.0/B10*100)</f>
        <v/>
      </c>
      <c r="D10" s="19" t="n">
        <v>1219</v>
      </c>
      <c r="E10" s="18" t="n">
        <v>15.72701561</v>
      </c>
      <c r="F10" s="20" t="n">
        <v>1.3214634</v>
      </c>
      <c r="G10" s="18" t="n">
        <v>82.47148736</v>
      </c>
      <c r="H10" s="20" t="n">
        <v>1.45178829</v>
      </c>
      <c r="I10" s="18" t="s">
        <v>431</v>
      </c>
      <c r="J10" s="20" t="s">
        <v>431</v>
      </c>
      <c r="K10" s="18" t="n">
        <v>0.78004196</v>
      </c>
      <c r="L10" s="20" t="n">
        <v>0.35086918</v>
      </c>
      <c r="M10" s="18" t="n">
        <v>0</v>
      </c>
      <c r="N10" s="20" t="n">
        <v>0</v>
      </c>
      <c r="O10" s="18" t="n">
        <v>0</v>
      </c>
      <c r="P10" s="20" t="n">
        <v>0</v>
      </c>
      <c r="Q10" s="18" t="n">
        <v>1.02145507</v>
      </c>
      <c r="R10" s="20" t="n">
        <v>0.46306131</v>
      </c>
    </row>
    <row r="11" spans="1:18">
      <c r="A11" s="15" t="s">
        <v>435</v>
      </c>
      <c r="B11" s="17" t="n">
        <v>3553</v>
      </c>
      <c r="C11" s="18">
        <f>(3104.0/B11*100)</f>
        <v/>
      </c>
      <c r="D11" s="19" t="n">
        <v>449</v>
      </c>
      <c r="E11" s="18" t="n">
        <v>19.7921306</v>
      </c>
      <c r="F11" s="20" t="n">
        <v>2.24449426</v>
      </c>
      <c r="G11" s="18" t="n">
        <v>79.01325436</v>
      </c>
      <c r="H11" s="20" t="n">
        <v>2.25587222</v>
      </c>
      <c r="I11" s="18" t="s">
        <v>431</v>
      </c>
      <c r="J11" s="20" t="s">
        <v>431</v>
      </c>
      <c r="K11" s="18" t="n">
        <v>1.12661233</v>
      </c>
      <c r="L11" s="20" t="n">
        <v>0.74725704</v>
      </c>
      <c r="M11" s="18" t="n">
        <v>0</v>
      </c>
      <c r="N11" s="20" t="n">
        <v>0</v>
      </c>
      <c r="O11" s="18" t="n">
        <v>0</v>
      </c>
      <c r="P11" s="20" t="n">
        <v>0</v>
      </c>
      <c r="Q11" s="18" t="n">
        <v>0.06800270999999999</v>
      </c>
      <c r="R11" s="20" t="n">
        <v>0.0687248</v>
      </c>
    </row>
    <row r="12" spans="1:18">
      <c r="A12" s="15" t="s">
        <v>436</v>
      </c>
      <c r="B12" s="17" t="n">
        <v>3472</v>
      </c>
      <c r="C12" s="18">
        <f>(3042.0/B12*100)</f>
        <v/>
      </c>
      <c r="D12" s="19" t="n">
        <v>430</v>
      </c>
      <c r="E12" s="18" t="n">
        <v>22.76110207</v>
      </c>
      <c r="F12" s="20" t="n">
        <v>2.54121327</v>
      </c>
      <c r="G12" s="18" t="n">
        <v>77.01711973</v>
      </c>
      <c r="H12" s="20" t="n">
        <v>2.54536796</v>
      </c>
      <c r="I12" s="18" t="s">
        <v>431</v>
      </c>
      <c r="J12" s="20" t="s">
        <v>431</v>
      </c>
      <c r="K12" s="18" t="n">
        <v>0</v>
      </c>
      <c r="L12" s="20" t="n">
        <v>0</v>
      </c>
      <c r="M12" s="18" t="n">
        <v>0</v>
      </c>
      <c r="N12" s="20" t="n">
        <v>0</v>
      </c>
      <c r="O12" s="18" t="n">
        <v>0</v>
      </c>
      <c r="P12" s="20" t="n">
        <v>0</v>
      </c>
      <c r="Q12" s="18" t="n">
        <v>0.2217782</v>
      </c>
      <c r="R12" s="20" t="n">
        <v>0.23114765</v>
      </c>
    </row>
    <row r="13" spans="1:18">
      <c r="A13" s="15" t="s">
        <v>437</v>
      </c>
      <c r="B13" s="17" t="n">
        <v>3559</v>
      </c>
      <c r="C13" s="18">
        <f>(3147.0/B13*100)</f>
        <v/>
      </c>
      <c r="D13" s="19" t="n">
        <v>412</v>
      </c>
      <c r="E13" s="18" t="n">
        <v>12.63856646</v>
      </c>
      <c r="F13" s="20" t="n">
        <v>1.71824612</v>
      </c>
      <c r="G13" s="18" t="n">
        <v>85.69137707</v>
      </c>
      <c r="H13" s="20" t="n">
        <v>1.83045092</v>
      </c>
      <c r="I13" s="18" t="s">
        <v>431</v>
      </c>
      <c r="J13" s="20" t="s">
        <v>431</v>
      </c>
      <c r="K13" s="18" t="n">
        <v>1.24329075</v>
      </c>
      <c r="L13" s="20" t="n">
        <v>0.6699128600000001</v>
      </c>
      <c r="M13" s="18" t="n">
        <v>0</v>
      </c>
      <c r="N13" s="20" t="n">
        <v>0</v>
      </c>
      <c r="O13" s="18" t="n">
        <v>0</v>
      </c>
      <c r="P13" s="20" t="n">
        <v>0</v>
      </c>
      <c r="Q13" s="18" t="n">
        <v>0.42676572</v>
      </c>
      <c r="R13" s="20" t="n">
        <v>0.27007444</v>
      </c>
    </row>
    <row r="14" spans="1:18">
      <c r="A14" s="15" t="s">
        <v>438</v>
      </c>
      <c r="B14" s="17" t="n">
        <v>2799</v>
      </c>
      <c r="C14" s="18">
        <f>(2462.0/B14*100)</f>
        <v/>
      </c>
      <c r="D14" s="19" t="n">
        <v>337</v>
      </c>
      <c r="E14" s="18" t="n">
        <v>8.49427741</v>
      </c>
      <c r="F14" s="20" t="n">
        <v>1.61068491</v>
      </c>
      <c r="G14" s="18" t="n">
        <v>90.39298221</v>
      </c>
      <c r="H14" s="20" t="n">
        <v>1.65699617</v>
      </c>
      <c r="I14" s="18" t="s">
        <v>431</v>
      </c>
      <c r="J14" s="20" t="s">
        <v>431</v>
      </c>
      <c r="K14" s="18" t="n">
        <v>0.50530297</v>
      </c>
      <c r="L14" s="20" t="n">
        <v>0.36299892</v>
      </c>
      <c r="M14" s="18" t="n">
        <v>0</v>
      </c>
      <c r="N14" s="20" t="n">
        <v>0</v>
      </c>
      <c r="O14" s="18" t="n">
        <v>0</v>
      </c>
      <c r="P14" s="20" t="n">
        <v>0</v>
      </c>
      <c r="Q14" s="18" t="n">
        <v>0.60743741</v>
      </c>
      <c r="R14" s="20" t="n">
        <v>0.36626527</v>
      </c>
    </row>
    <row r="15" spans="1:18">
      <c r="A15" s="15" t="s">
        <v>439</v>
      </c>
      <c r="B15" s="17" t="n">
        <v>3019</v>
      </c>
      <c r="C15" s="18">
        <f>(2644.0/B15*100)</f>
        <v/>
      </c>
      <c r="D15" s="19" t="n">
        <v>375</v>
      </c>
      <c r="E15" s="18" t="n">
        <v>14.03068715</v>
      </c>
      <c r="F15" s="20" t="n">
        <v>2.05070107</v>
      </c>
      <c r="G15" s="18" t="n">
        <v>84.93678989</v>
      </c>
      <c r="H15" s="20" t="n">
        <v>2.10667377</v>
      </c>
      <c r="I15" s="18" t="s">
        <v>431</v>
      </c>
      <c r="J15" s="20" t="s">
        <v>431</v>
      </c>
      <c r="K15" s="18" t="n">
        <v>1.03252296</v>
      </c>
      <c r="L15" s="20" t="n">
        <v>0.51235154</v>
      </c>
      <c r="M15" s="18" t="n">
        <v>0</v>
      </c>
      <c r="N15" s="20" t="n">
        <v>0</v>
      </c>
      <c r="O15" s="18" t="n">
        <v>0</v>
      </c>
      <c r="P15" s="20" t="n">
        <v>0</v>
      </c>
      <c r="Q15" s="18" t="n">
        <v>0</v>
      </c>
      <c r="R15" s="20" t="n">
        <v>0</v>
      </c>
    </row>
    <row r="16" spans="1:18">
      <c r="A16" s="15" t="s">
        <v>440</v>
      </c>
      <c r="B16" s="17" t="n">
        <v>2997</v>
      </c>
      <c r="C16" s="18">
        <f>(2616.0/B16*100)</f>
        <v/>
      </c>
      <c r="D16" s="19" t="n">
        <v>381</v>
      </c>
      <c r="E16" s="18" t="n">
        <v>23.5312282</v>
      </c>
      <c r="F16" s="20" t="n">
        <v>2.23821794</v>
      </c>
      <c r="G16" s="18" t="n">
        <v>73.43932802</v>
      </c>
      <c r="H16" s="20" t="n">
        <v>2.24154064</v>
      </c>
      <c r="I16" s="18" t="s">
        <v>431</v>
      </c>
      <c r="J16" s="20" t="s">
        <v>431</v>
      </c>
      <c r="K16" s="18" t="n">
        <v>1.78687232</v>
      </c>
      <c r="L16" s="20" t="n">
        <v>0.73646064</v>
      </c>
      <c r="M16" s="18" t="n">
        <v>0</v>
      </c>
      <c r="N16" s="20" t="n">
        <v>0</v>
      </c>
      <c r="O16" s="18" t="n">
        <v>0</v>
      </c>
      <c r="P16" s="20" t="n">
        <v>0</v>
      </c>
      <c r="Q16" s="18" t="n">
        <v>1.24257146</v>
      </c>
      <c r="R16" s="20" t="n">
        <v>0.65298213</v>
      </c>
    </row>
    <row r="17" spans="1:18">
      <c r="A17" s="15" t="s">
        <v>441</v>
      </c>
      <c r="B17" s="17" t="n">
        <v>3307</v>
      </c>
      <c r="C17" s="18">
        <f>(2906.0/B17*100)</f>
        <v/>
      </c>
      <c r="D17" s="19" t="n">
        <v>401</v>
      </c>
      <c r="E17" s="18" t="n">
        <v>19.505555</v>
      </c>
      <c r="F17" s="20" t="n">
        <v>2.5491992</v>
      </c>
      <c r="G17" s="18" t="n">
        <v>78.87039526</v>
      </c>
      <c r="H17" s="20" t="n">
        <v>3.03452933</v>
      </c>
      <c r="I17" s="18" t="s">
        <v>431</v>
      </c>
      <c r="J17" s="20" t="s">
        <v>431</v>
      </c>
      <c r="K17" s="18" t="n">
        <v>0.25069836</v>
      </c>
      <c r="L17" s="20" t="n">
        <v>0.25226547</v>
      </c>
      <c r="M17" s="18" t="n">
        <v>0</v>
      </c>
      <c r="N17" s="20" t="n">
        <v>0</v>
      </c>
      <c r="O17" s="18" t="n">
        <v>0</v>
      </c>
      <c r="P17" s="20" t="n">
        <v>0</v>
      </c>
      <c r="Q17" s="18" t="n">
        <v>1.37335138</v>
      </c>
      <c r="R17" s="20" t="n">
        <v>0.75177478</v>
      </c>
    </row>
    <row r="18" spans="1:18">
      <c r="A18" s="15" t="s">
        <v>442</v>
      </c>
      <c r="B18" s="17" t="n">
        <v>2826</v>
      </c>
      <c r="C18" s="18">
        <f>(2500.0/B18*100)</f>
        <v/>
      </c>
      <c r="D18" s="19" t="n">
        <v>326</v>
      </c>
      <c r="E18" s="18" t="n">
        <v>33.93957497</v>
      </c>
      <c r="F18" s="20" t="n">
        <v>2.86384843</v>
      </c>
      <c r="G18" s="18" t="n">
        <v>64.95474835</v>
      </c>
      <c r="H18" s="20" t="n">
        <v>2.92831669</v>
      </c>
      <c r="I18" s="18" t="s">
        <v>431</v>
      </c>
      <c r="J18" s="20" t="s">
        <v>431</v>
      </c>
      <c r="K18" s="18" t="n">
        <v>0.31589747</v>
      </c>
      <c r="L18" s="20" t="n">
        <v>0.3214321</v>
      </c>
      <c r="M18" s="18" t="n">
        <v>0</v>
      </c>
      <c r="N18" s="20" t="n">
        <v>0</v>
      </c>
      <c r="O18" s="18" t="n">
        <v>0</v>
      </c>
      <c r="P18" s="20" t="n">
        <v>0</v>
      </c>
      <c r="Q18" s="18" t="n">
        <v>0.78977921</v>
      </c>
      <c r="R18" s="20" t="n">
        <v>0.46614362</v>
      </c>
    </row>
    <row r="19" spans="1:18">
      <c r="A19" s="15" t="s">
        <v>443</v>
      </c>
      <c r="B19" s="17" t="n">
        <v>2808</v>
      </c>
      <c r="C19" s="18">
        <f>(2468.0/B19*100)</f>
        <v/>
      </c>
      <c r="D19" s="19" t="n">
        <v>340</v>
      </c>
      <c r="E19" s="18" t="n">
        <v>26.37429493</v>
      </c>
      <c r="F19" s="20" t="n">
        <v>2.58754894</v>
      </c>
      <c r="G19" s="18" t="n">
        <v>72.16200058</v>
      </c>
      <c r="H19" s="20" t="n">
        <v>2.4966813</v>
      </c>
      <c r="I19" s="18" t="s">
        <v>431</v>
      </c>
      <c r="J19" s="20" t="s">
        <v>431</v>
      </c>
      <c r="K19" s="18" t="n">
        <v>0.6823630000000001</v>
      </c>
      <c r="L19" s="20" t="n">
        <v>0.64434768</v>
      </c>
      <c r="M19" s="18" t="n">
        <v>0</v>
      </c>
      <c r="N19" s="20" t="n">
        <v>0</v>
      </c>
      <c r="O19" s="18" t="n">
        <v>0</v>
      </c>
      <c r="P19" s="20" t="n">
        <v>0</v>
      </c>
      <c r="Q19" s="18" t="n">
        <v>0.78134149</v>
      </c>
      <c r="R19" s="20" t="n">
        <v>0.44184442</v>
      </c>
    </row>
    <row r="20" spans="1:18">
      <c r="A20" s="15" t="s">
        <v>444</v>
      </c>
      <c r="B20" s="17" t="n">
        <v>1630</v>
      </c>
      <c r="C20" s="18">
        <f>(1424.0/B20*100)</f>
        <v/>
      </c>
      <c r="D20" s="19" t="n">
        <v>206</v>
      </c>
      <c r="E20" s="18" t="n">
        <v>20.3460139</v>
      </c>
      <c r="F20" s="20" t="n">
        <v>3.14131362</v>
      </c>
      <c r="G20" s="18" t="n">
        <v>77.73009531</v>
      </c>
      <c r="H20" s="20" t="n">
        <v>3.29600167</v>
      </c>
      <c r="I20" s="18" t="s">
        <v>431</v>
      </c>
      <c r="J20" s="20" t="s">
        <v>431</v>
      </c>
      <c r="K20" s="18" t="n">
        <v>1.48982543</v>
      </c>
      <c r="L20" s="20" t="n">
        <v>0.83273798</v>
      </c>
      <c r="M20" s="18" t="n">
        <v>0</v>
      </c>
      <c r="N20" s="20" t="n">
        <v>0</v>
      </c>
      <c r="O20" s="18" t="n">
        <v>0</v>
      </c>
      <c r="P20" s="20" t="n">
        <v>0</v>
      </c>
      <c r="Q20" s="18" t="n">
        <v>0.43406536</v>
      </c>
      <c r="R20" s="20" t="n">
        <v>0.43089256</v>
      </c>
    </row>
    <row r="21" spans="1:18">
      <c r="A21" s="15" t="s">
        <v>445</v>
      </c>
      <c r="B21" s="17" t="n">
        <v>2908</v>
      </c>
      <c r="C21" s="18">
        <f>(2438.0/B21*100)</f>
        <v/>
      </c>
      <c r="D21" s="19" t="n">
        <v>470</v>
      </c>
      <c r="E21" s="18" t="n">
        <v>17.63680931</v>
      </c>
      <c r="F21" s="20" t="n">
        <v>1.82089555</v>
      </c>
      <c r="G21" s="18" t="n">
        <v>81.88391480999999</v>
      </c>
      <c r="H21" s="20" t="n">
        <v>1.80910218</v>
      </c>
      <c r="I21" s="18" t="s">
        <v>431</v>
      </c>
      <c r="J21" s="20" t="s">
        <v>431</v>
      </c>
      <c r="K21" s="18" t="n">
        <v>0.47927588</v>
      </c>
      <c r="L21" s="20" t="n">
        <v>0.30678675</v>
      </c>
      <c r="M21" s="18" t="n">
        <v>0</v>
      </c>
      <c r="N21" s="20" t="n">
        <v>0</v>
      </c>
      <c r="O21" s="18" t="n">
        <v>0</v>
      </c>
      <c r="P21" s="20" t="n">
        <v>0</v>
      </c>
      <c r="Q21" s="18" t="n">
        <v>0</v>
      </c>
      <c r="R21" s="20" t="n">
        <v>0</v>
      </c>
    </row>
    <row r="22" spans="1:18">
      <c r="A22" s="15" t="s">
        <v>446</v>
      </c>
      <c r="B22" s="17" t="n">
        <v>2931</v>
      </c>
      <c r="C22" s="18">
        <f>(2563.0/B22*100)</f>
        <v/>
      </c>
      <c r="D22" s="19" t="n">
        <v>368</v>
      </c>
      <c r="E22" s="18" t="n">
        <v>25.70182736</v>
      </c>
      <c r="F22" s="20" t="n">
        <v>2.69433271</v>
      </c>
      <c r="G22" s="18" t="n">
        <v>73.44439686</v>
      </c>
      <c r="H22" s="20" t="n">
        <v>2.79350675</v>
      </c>
      <c r="I22" s="18" t="s">
        <v>431</v>
      </c>
      <c r="J22" s="20" t="s">
        <v>431</v>
      </c>
      <c r="K22" s="18" t="n">
        <v>0.43184124</v>
      </c>
      <c r="L22" s="20" t="n">
        <v>0.30423212</v>
      </c>
      <c r="M22" s="18" t="n">
        <v>0</v>
      </c>
      <c r="N22" s="20" t="n">
        <v>0</v>
      </c>
      <c r="O22" s="18" t="n">
        <v>0</v>
      </c>
      <c r="P22" s="20" t="n">
        <v>0</v>
      </c>
      <c r="Q22" s="18" t="n">
        <v>0.42193454</v>
      </c>
      <c r="R22" s="20" t="n">
        <v>0.29580655</v>
      </c>
    </row>
    <row r="23" spans="1:18">
      <c r="A23" s="15" t="s">
        <v>447</v>
      </c>
      <c r="B23" s="17" t="n">
        <v>5791</v>
      </c>
      <c r="C23" s="18">
        <f>(5064.0/B23*100)</f>
        <v/>
      </c>
      <c r="D23" s="19" t="n">
        <v>727</v>
      </c>
      <c r="E23" s="18" t="n">
        <v>16.45952191</v>
      </c>
      <c r="F23" s="20" t="n">
        <v>1.99843383</v>
      </c>
      <c r="G23" s="18" t="n">
        <v>81.78379552</v>
      </c>
      <c r="H23" s="20" t="n">
        <v>2.02305083</v>
      </c>
      <c r="I23" s="18" t="s">
        <v>431</v>
      </c>
      <c r="J23" s="20" t="s">
        <v>431</v>
      </c>
      <c r="K23" s="18" t="n">
        <v>0.9971732800000001</v>
      </c>
      <c r="L23" s="20" t="n">
        <v>0.99854983</v>
      </c>
      <c r="M23" s="18" t="n">
        <v>0</v>
      </c>
      <c r="N23" s="20" t="n">
        <v>0</v>
      </c>
      <c r="O23" s="18" t="n">
        <v>0</v>
      </c>
      <c r="P23" s="20" t="n">
        <v>0</v>
      </c>
      <c r="Q23" s="18" t="n">
        <v>0.75950929</v>
      </c>
      <c r="R23" s="20" t="n">
        <v>0.46401861</v>
      </c>
    </row>
    <row r="24" spans="1:18">
      <c r="A24" s="15" t="s">
        <v>448</v>
      </c>
      <c r="B24" s="17" t="n">
        <v>3338</v>
      </c>
      <c r="C24" s="18">
        <f>(2927.0/B24*100)</f>
        <v/>
      </c>
      <c r="D24" s="19" t="n">
        <v>411</v>
      </c>
      <c r="E24" s="18" t="n">
        <v>23.64807153</v>
      </c>
      <c r="F24" s="20" t="n">
        <v>2.50722295</v>
      </c>
      <c r="G24" s="18" t="n">
        <v>75.37159647999999</v>
      </c>
      <c r="H24" s="20" t="n">
        <v>2.58642471</v>
      </c>
      <c r="I24" s="18" t="s">
        <v>431</v>
      </c>
      <c r="J24" s="20" t="s">
        <v>431</v>
      </c>
      <c r="K24" s="18" t="n">
        <v>0.49010515</v>
      </c>
      <c r="L24" s="20" t="n">
        <v>0.34449616</v>
      </c>
      <c r="M24" s="18" t="n">
        <v>0</v>
      </c>
      <c r="N24" s="20" t="n">
        <v>0</v>
      </c>
      <c r="O24" s="18" t="n">
        <v>0</v>
      </c>
      <c r="P24" s="20" t="n">
        <v>0</v>
      </c>
      <c r="Q24" s="18" t="n">
        <v>0.49022683</v>
      </c>
      <c r="R24" s="20" t="n">
        <v>0.34469951</v>
      </c>
    </row>
    <row r="25" spans="1:18">
      <c r="A25" s="15" t="s">
        <v>449</v>
      </c>
      <c r="B25" s="17" t="n">
        <v>2912</v>
      </c>
      <c r="C25" s="18">
        <f>(2567.0/B25*100)</f>
        <v/>
      </c>
      <c r="D25" s="19" t="n">
        <v>345</v>
      </c>
      <c r="E25" s="18" t="n">
        <v>14.86748103</v>
      </c>
      <c r="F25" s="20" t="n">
        <v>2.45079827</v>
      </c>
      <c r="G25" s="18" t="n">
        <v>84.24514077000001</v>
      </c>
      <c r="H25" s="20" t="n">
        <v>2.49976771</v>
      </c>
      <c r="I25" s="18" t="s">
        <v>431</v>
      </c>
      <c r="J25" s="20" t="s">
        <v>431</v>
      </c>
      <c r="K25" s="18" t="n">
        <v>0.27989506</v>
      </c>
      <c r="L25" s="20" t="n">
        <v>0.27644211</v>
      </c>
      <c r="M25" s="18" t="n">
        <v>0</v>
      </c>
      <c r="N25" s="20" t="n">
        <v>0</v>
      </c>
      <c r="O25" s="18" t="n">
        <v>0</v>
      </c>
      <c r="P25" s="20" t="n">
        <v>0</v>
      </c>
      <c r="Q25" s="18" t="n">
        <v>0.60748314</v>
      </c>
      <c r="R25" s="20" t="n">
        <v>0.43234905</v>
      </c>
    </row>
    <row r="26" spans="1:18">
      <c r="A26" s="15" t="s">
        <v>450</v>
      </c>
      <c r="B26" s="17" t="n">
        <v>2450</v>
      </c>
      <c r="C26" s="18">
        <f>(2157.0/B26*100)</f>
        <v/>
      </c>
      <c r="D26" s="19" t="n">
        <v>293</v>
      </c>
      <c r="E26" s="18" t="n">
        <v>19.77969857</v>
      </c>
      <c r="F26" s="20" t="n">
        <v>2.89765096</v>
      </c>
      <c r="G26" s="18" t="n">
        <v>80.22030143000001</v>
      </c>
      <c r="H26" s="20" t="n">
        <v>2.89765096</v>
      </c>
      <c r="I26" s="18" t="s">
        <v>431</v>
      </c>
      <c r="J26" s="20" t="s">
        <v>431</v>
      </c>
      <c r="K26" s="18" t="n">
        <v>0</v>
      </c>
      <c r="L26" s="20" t="n">
        <v>0</v>
      </c>
      <c r="M26" s="18" t="n">
        <v>0</v>
      </c>
      <c r="N26" s="20" t="n">
        <v>0</v>
      </c>
      <c r="O26" s="18" t="n">
        <v>0</v>
      </c>
      <c r="P26" s="20" t="n">
        <v>0</v>
      </c>
      <c r="Q26" s="18" t="n">
        <v>0</v>
      </c>
      <c r="R26" s="20" t="n">
        <v>0</v>
      </c>
    </row>
    <row r="27" spans="1:18">
      <c r="A27" s="15" t="s">
        <v>451</v>
      </c>
      <c r="B27" s="17" t="n">
        <v>2616</v>
      </c>
      <c r="C27" s="18">
        <f>(2293.0/B27*100)</f>
        <v/>
      </c>
      <c r="D27" s="19" t="n">
        <v>323</v>
      </c>
      <c r="E27" s="18" t="n">
        <v>20.78602942</v>
      </c>
      <c r="F27" s="20" t="n">
        <v>2.58336497</v>
      </c>
      <c r="G27" s="18" t="n">
        <v>77.66240186</v>
      </c>
      <c r="H27" s="20" t="n">
        <v>2.79376995</v>
      </c>
      <c r="I27" s="18" t="s">
        <v>431</v>
      </c>
      <c r="J27" s="20" t="s">
        <v>431</v>
      </c>
      <c r="K27" s="18" t="n">
        <v>1.25736499</v>
      </c>
      <c r="L27" s="20" t="n">
        <v>0.62976001</v>
      </c>
      <c r="M27" s="18" t="n">
        <v>0</v>
      </c>
      <c r="N27" s="20" t="n">
        <v>0</v>
      </c>
      <c r="O27" s="18" t="n">
        <v>0</v>
      </c>
      <c r="P27" s="20" t="n">
        <v>0</v>
      </c>
      <c r="Q27" s="18" t="n">
        <v>0.29420374</v>
      </c>
      <c r="R27" s="20" t="n">
        <v>0.29155047</v>
      </c>
    </row>
    <row r="28" spans="1:18">
      <c r="A28" s="15" t="s">
        <v>452</v>
      </c>
      <c r="B28" s="17" t="n">
        <v>3765</v>
      </c>
      <c r="C28" s="18">
        <f>(3355.0/B28*100)</f>
        <v/>
      </c>
      <c r="D28" s="19" t="n">
        <v>410</v>
      </c>
      <c r="E28" s="18" t="n">
        <v>24.76514154</v>
      </c>
      <c r="F28" s="20" t="n">
        <v>2.26394454</v>
      </c>
      <c r="G28" s="18" t="n">
        <v>73.98746063</v>
      </c>
      <c r="H28" s="20" t="n">
        <v>2.36412804</v>
      </c>
      <c r="I28" s="18" t="s">
        <v>431</v>
      </c>
      <c r="J28" s="20" t="s">
        <v>431</v>
      </c>
      <c r="K28" s="18" t="n">
        <v>0.23684342</v>
      </c>
      <c r="L28" s="20" t="n">
        <v>0.25791293</v>
      </c>
      <c r="M28" s="18" t="n">
        <v>0</v>
      </c>
      <c r="N28" s="20" t="n">
        <v>0</v>
      </c>
      <c r="O28" s="18" t="n">
        <v>0</v>
      </c>
      <c r="P28" s="20" t="n">
        <v>0</v>
      </c>
      <c r="Q28" s="18" t="n">
        <v>1.01055441</v>
      </c>
      <c r="R28" s="20" t="n">
        <v>0.57256126</v>
      </c>
    </row>
    <row r="29" spans="1:18">
      <c r="A29" s="15" t="s">
        <v>453</v>
      </c>
      <c r="B29" s="17" t="n">
        <v>2685</v>
      </c>
      <c r="C29" s="18">
        <f>(2357.0/B29*100)</f>
        <v/>
      </c>
      <c r="D29" s="19" t="n">
        <v>328</v>
      </c>
      <c r="E29" s="18" t="n">
        <v>21.44282489</v>
      </c>
      <c r="F29" s="20" t="n">
        <v>2.61679894</v>
      </c>
      <c r="G29" s="18" t="n">
        <v>77.33219695</v>
      </c>
      <c r="H29" s="20" t="n">
        <v>2.57866605</v>
      </c>
      <c r="I29" s="18" t="s">
        <v>431</v>
      </c>
      <c r="J29" s="20" t="s">
        <v>431</v>
      </c>
      <c r="K29" s="18" t="n">
        <v>0.55703544</v>
      </c>
      <c r="L29" s="20" t="n">
        <v>0.37861385</v>
      </c>
      <c r="M29" s="18" t="n">
        <v>0</v>
      </c>
      <c r="N29" s="20" t="n">
        <v>0</v>
      </c>
      <c r="O29" s="18" t="n">
        <v>0</v>
      </c>
      <c r="P29" s="20" t="n">
        <v>0</v>
      </c>
      <c r="Q29" s="18" t="n">
        <v>0.66794272</v>
      </c>
      <c r="R29" s="20" t="n">
        <v>0.50080389</v>
      </c>
    </row>
    <row r="30" spans="1:18">
      <c r="A30" s="15" t="s">
        <v>454</v>
      </c>
      <c r="B30" s="17" t="n">
        <v>2263</v>
      </c>
      <c r="C30" s="18">
        <f>(1976.0/B30*100)</f>
        <v/>
      </c>
      <c r="D30" s="19" t="n">
        <v>287</v>
      </c>
      <c r="E30" s="18" t="n">
        <v>19.622849</v>
      </c>
      <c r="F30" s="20" t="n">
        <v>2.53351151</v>
      </c>
      <c r="G30" s="18" t="n">
        <v>77.71365396</v>
      </c>
      <c r="H30" s="20" t="n">
        <v>2.55201465</v>
      </c>
      <c r="I30" s="18" t="s">
        <v>431</v>
      </c>
      <c r="J30" s="20" t="s">
        <v>431</v>
      </c>
      <c r="K30" s="18" t="n">
        <v>0.75755242</v>
      </c>
      <c r="L30" s="20" t="n">
        <v>0.15573121</v>
      </c>
      <c r="M30" s="18" t="n">
        <v>0</v>
      </c>
      <c r="N30" s="20" t="n">
        <v>0</v>
      </c>
      <c r="O30" s="18" t="n">
        <v>0</v>
      </c>
      <c r="P30" s="20" t="n">
        <v>0</v>
      </c>
      <c r="Q30" s="18" t="n">
        <v>1.90594462</v>
      </c>
      <c r="R30" s="20" t="n">
        <v>0.82060681</v>
      </c>
    </row>
    <row r="31" spans="1:18">
      <c r="A31" s="15" t="s">
        <v>455</v>
      </c>
      <c r="B31" s="17" t="n">
        <v>2750</v>
      </c>
      <c r="C31" s="18">
        <f>(2422.0/B31*100)</f>
        <v/>
      </c>
      <c r="D31" s="19" t="n">
        <v>328</v>
      </c>
      <c r="E31" s="18" t="n">
        <v>21.20224987</v>
      </c>
      <c r="F31" s="20" t="n">
        <v>2.13479213</v>
      </c>
      <c r="G31" s="18" t="n">
        <v>78.24051449</v>
      </c>
      <c r="H31" s="20" t="n">
        <v>2.19865428</v>
      </c>
      <c r="I31" s="18" t="s">
        <v>431</v>
      </c>
      <c r="J31" s="20" t="s">
        <v>431</v>
      </c>
      <c r="K31" s="18" t="n">
        <v>0.29712702</v>
      </c>
      <c r="L31" s="20" t="n">
        <v>0.31552348</v>
      </c>
      <c r="M31" s="18" t="n">
        <v>0</v>
      </c>
      <c r="N31" s="20" t="n">
        <v>0</v>
      </c>
      <c r="O31" s="18" t="n">
        <v>0</v>
      </c>
      <c r="P31" s="20" t="n">
        <v>0</v>
      </c>
      <c r="Q31" s="18" t="n">
        <v>0.26010861</v>
      </c>
      <c r="R31" s="20" t="n">
        <v>0.26148618</v>
      </c>
    </row>
    <row r="32" spans="1:18">
      <c r="A32" s="15" t="s">
        <v>456</v>
      </c>
      <c r="B32" s="17" t="n">
        <v>2269</v>
      </c>
      <c r="C32" s="18">
        <f>(1915.0/B32*100)</f>
        <v/>
      </c>
      <c r="D32" s="19" t="n">
        <v>354</v>
      </c>
      <c r="E32" s="18" t="n">
        <v>19.24660297</v>
      </c>
      <c r="F32" s="20" t="n">
        <v>2.12769778</v>
      </c>
      <c r="G32" s="18" t="n">
        <v>80.23674864</v>
      </c>
      <c r="H32" s="20" t="n">
        <v>2.10225759</v>
      </c>
      <c r="I32" s="18" t="s">
        <v>431</v>
      </c>
      <c r="J32" s="20" t="s">
        <v>431</v>
      </c>
      <c r="K32" s="18" t="n">
        <v>0.27408556</v>
      </c>
      <c r="L32" s="20" t="n">
        <v>0.25709328</v>
      </c>
      <c r="M32" s="18" t="n">
        <v>0</v>
      </c>
      <c r="N32" s="20" t="n">
        <v>0</v>
      </c>
      <c r="O32" s="18" t="n">
        <v>0</v>
      </c>
      <c r="P32" s="20" t="n">
        <v>0</v>
      </c>
      <c r="Q32" s="18" t="n">
        <v>0.24256283</v>
      </c>
      <c r="R32" s="20" t="n">
        <v>0.24191843</v>
      </c>
    </row>
    <row r="33" spans="1:18">
      <c r="A33" s="15" t="s">
        <v>457</v>
      </c>
      <c r="B33" s="17" t="n">
        <v>3674</v>
      </c>
      <c r="C33" s="18">
        <f>(3208.0/B33*100)</f>
        <v/>
      </c>
      <c r="D33" s="19" t="n">
        <v>466</v>
      </c>
      <c r="E33" s="18" t="n">
        <v>9.02188512</v>
      </c>
      <c r="F33" s="20" t="n">
        <v>1.94813562</v>
      </c>
      <c r="G33" s="18" t="n">
        <v>90.15934386000001</v>
      </c>
      <c r="H33" s="20" t="n">
        <v>1.99656477</v>
      </c>
      <c r="I33" s="18" t="s">
        <v>431</v>
      </c>
      <c r="J33" s="20" t="s">
        <v>431</v>
      </c>
      <c r="K33" s="18" t="n">
        <v>0.3080236</v>
      </c>
      <c r="L33" s="20" t="n">
        <v>0.27117266</v>
      </c>
      <c r="M33" s="18" t="n">
        <v>0</v>
      </c>
      <c r="N33" s="20" t="n">
        <v>0</v>
      </c>
      <c r="O33" s="18" t="n">
        <v>0</v>
      </c>
      <c r="P33" s="20" t="n">
        <v>0</v>
      </c>
      <c r="Q33" s="18" t="n">
        <v>0.51074741</v>
      </c>
      <c r="R33" s="20" t="n">
        <v>0.28485924</v>
      </c>
    </row>
    <row r="34" spans="1:18">
      <c r="A34" s="15" t="s">
        <v>458</v>
      </c>
      <c r="B34" s="17" t="n">
        <v>3315</v>
      </c>
      <c r="C34" s="18">
        <f>(2924.0/B34*100)</f>
        <v/>
      </c>
      <c r="D34" s="19" t="n">
        <v>391</v>
      </c>
      <c r="E34" s="18" t="n">
        <v>26.71765963</v>
      </c>
      <c r="F34" s="20" t="n">
        <v>2.71441412</v>
      </c>
      <c r="G34" s="18" t="n">
        <v>72.6364324</v>
      </c>
      <c r="H34" s="20" t="n">
        <v>2.80973403</v>
      </c>
      <c r="I34" s="18" t="s">
        <v>431</v>
      </c>
      <c r="J34" s="20" t="s">
        <v>431</v>
      </c>
      <c r="K34" s="18" t="n">
        <v>0.19764069</v>
      </c>
      <c r="L34" s="20" t="n">
        <v>0.19782913</v>
      </c>
      <c r="M34" s="18" t="n">
        <v>0</v>
      </c>
      <c r="N34" s="20" t="n">
        <v>0</v>
      </c>
      <c r="O34" s="18" t="n">
        <v>0</v>
      </c>
      <c r="P34" s="20" t="n">
        <v>0</v>
      </c>
      <c r="Q34" s="18" t="n">
        <v>0.44826728</v>
      </c>
      <c r="R34" s="20" t="n">
        <v>0.28615026</v>
      </c>
    </row>
    <row r="35" spans="1:18">
      <c r="A35" s="15" t="s">
        <v>459</v>
      </c>
      <c r="B35" s="17" t="n">
        <v>3505</v>
      </c>
      <c r="C35" s="18">
        <f>(3071.0/B35*100)</f>
        <v/>
      </c>
      <c r="D35" s="19" t="n">
        <v>434</v>
      </c>
      <c r="E35" s="18" t="n">
        <v>12.65287038</v>
      </c>
      <c r="F35" s="20" t="n">
        <v>1.95606243</v>
      </c>
      <c r="G35" s="18" t="n">
        <v>86.78803486</v>
      </c>
      <c r="H35" s="20" t="n">
        <v>1.92221613</v>
      </c>
      <c r="I35" s="18" t="s">
        <v>431</v>
      </c>
      <c r="J35" s="20" t="s">
        <v>431</v>
      </c>
      <c r="K35" s="18" t="n">
        <v>0.13117874</v>
      </c>
      <c r="L35" s="20" t="n">
        <v>0.13092447</v>
      </c>
      <c r="M35" s="18" t="n">
        <v>0</v>
      </c>
      <c r="N35" s="20" t="n">
        <v>0</v>
      </c>
      <c r="O35" s="18" t="n">
        <v>0</v>
      </c>
      <c r="P35" s="20" t="n">
        <v>0</v>
      </c>
      <c r="Q35" s="18" t="n">
        <v>0.42791602</v>
      </c>
      <c r="R35" s="20" t="n">
        <v>0.31213022</v>
      </c>
    </row>
    <row r="36" spans="1:18">
      <c r="A36" s="15" t="s">
        <v>460</v>
      </c>
      <c r="B36" s="17" t="n">
        <v>3332</v>
      </c>
      <c r="C36" s="18">
        <f>(2919.0/B36*100)</f>
        <v/>
      </c>
      <c r="D36" s="19" t="n">
        <v>413</v>
      </c>
      <c r="E36" s="18" t="n">
        <v>17.37097777</v>
      </c>
      <c r="F36" s="20" t="n">
        <v>2.0053814</v>
      </c>
      <c r="G36" s="18" t="n">
        <v>80.8195216</v>
      </c>
      <c r="H36" s="20" t="n">
        <v>2.03797639</v>
      </c>
      <c r="I36" s="18" t="s">
        <v>431</v>
      </c>
      <c r="J36" s="20" t="s">
        <v>431</v>
      </c>
      <c r="K36" s="18" t="n">
        <v>0</v>
      </c>
      <c r="L36" s="20" t="n">
        <v>0</v>
      </c>
      <c r="M36" s="18" t="n">
        <v>0</v>
      </c>
      <c r="N36" s="20" t="n">
        <v>0</v>
      </c>
      <c r="O36" s="18" t="n">
        <v>0</v>
      </c>
      <c r="P36" s="20" t="n">
        <v>0</v>
      </c>
      <c r="Q36" s="18" t="n">
        <v>1.80950063</v>
      </c>
      <c r="R36" s="20" t="n">
        <v>0.7764093</v>
      </c>
    </row>
    <row r="37" spans="1:18">
      <c r="A37" s="15" t="s">
        <v>461</v>
      </c>
      <c r="B37" s="17" t="n">
        <v>2727</v>
      </c>
      <c r="C37" s="18">
        <f>(2384.0/B37*100)</f>
        <v/>
      </c>
      <c r="D37" s="19" t="n">
        <v>343</v>
      </c>
      <c r="E37" s="18" t="n">
        <v>20.5291266</v>
      </c>
      <c r="F37" s="20" t="n">
        <v>2.18788485</v>
      </c>
      <c r="G37" s="18" t="n">
        <v>76.20337600000001</v>
      </c>
      <c r="H37" s="20" t="n">
        <v>2.32012331</v>
      </c>
      <c r="I37" s="18" t="s">
        <v>431</v>
      </c>
      <c r="J37" s="20" t="s">
        <v>431</v>
      </c>
      <c r="K37" s="18" t="n">
        <v>1.95628963</v>
      </c>
      <c r="L37" s="20" t="n">
        <v>0.7392369</v>
      </c>
      <c r="M37" s="18" t="n">
        <v>0</v>
      </c>
      <c r="N37" s="20" t="n">
        <v>0</v>
      </c>
      <c r="O37" s="18" t="n">
        <v>0</v>
      </c>
      <c r="P37" s="20" t="n">
        <v>0</v>
      </c>
      <c r="Q37" s="18" t="n">
        <v>1.31120777</v>
      </c>
      <c r="R37" s="20" t="n">
        <v>0.7643291</v>
      </c>
    </row>
    <row r="38" spans="1:18">
      <c r="A38" s="15" t="s">
        <v>462</v>
      </c>
      <c r="B38" s="17" t="n">
        <v>3053</v>
      </c>
      <c r="C38" s="18">
        <f>(2591.0/B38*100)</f>
        <v/>
      </c>
      <c r="D38" s="19" t="n">
        <v>462</v>
      </c>
      <c r="E38" s="18" t="n">
        <v>18.16985846</v>
      </c>
      <c r="F38" s="20" t="n">
        <v>1.73609858</v>
      </c>
      <c r="G38" s="18" t="n">
        <v>80.81416905</v>
      </c>
      <c r="H38" s="20" t="n">
        <v>1.8168731</v>
      </c>
      <c r="I38" s="18" t="s">
        <v>431</v>
      </c>
      <c r="J38" s="20" t="s">
        <v>431</v>
      </c>
      <c r="K38" s="18" t="n">
        <v>0.6242087200000001</v>
      </c>
      <c r="L38" s="20" t="n">
        <v>0.31570287</v>
      </c>
      <c r="M38" s="18" t="n">
        <v>0</v>
      </c>
      <c r="N38" s="20" t="n">
        <v>0</v>
      </c>
      <c r="O38" s="18" t="n">
        <v>0</v>
      </c>
      <c r="P38" s="20" t="n">
        <v>0</v>
      </c>
      <c r="Q38" s="18" t="n">
        <v>0.39176377</v>
      </c>
      <c r="R38" s="20" t="n">
        <v>0.27575547</v>
      </c>
    </row>
    <row r="39" spans="1:18">
      <c r="A39" s="15" t="s">
        <v>463</v>
      </c>
      <c r="B39" s="17" t="n">
        <v>2957</v>
      </c>
      <c r="C39" s="18">
        <f>(2590.0/B39*100)</f>
        <v/>
      </c>
      <c r="D39" s="19" t="n">
        <v>367</v>
      </c>
      <c r="E39" s="18" t="n">
        <v>40.60057775</v>
      </c>
      <c r="F39" s="20" t="n">
        <v>2.71512702</v>
      </c>
      <c r="G39" s="18" t="n">
        <v>57.55576341</v>
      </c>
      <c r="H39" s="20" t="n">
        <v>2.73513514</v>
      </c>
      <c r="I39" s="18" t="s">
        <v>431</v>
      </c>
      <c r="J39" s="20" t="s">
        <v>431</v>
      </c>
      <c r="K39" s="18" t="n">
        <v>0.34303425</v>
      </c>
      <c r="L39" s="20" t="n">
        <v>0.34244493</v>
      </c>
      <c r="M39" s="18" t="n">
        <v>0</v>
      </c>
      <c r="N39" s="20" t="n">
        <v>0</v>
      </c>
      <c r="O39" s="18" t="n">
        <v>0</v>
      </c>
      <c r="P39" s="20" t="n">
        <v>0</v>
      </c>
      <c r="Q39" s="18" t="n">
        <v>1.50062459</v>
      </c>
      <c r="R39" s="20" t="n">
        <v>0.59169573</v>
      </c>
    </row>
    <row r="40" spans="1:18">
      <c r="A40" s="15" t="s">
        <v>464</v>
      </c>
      <c r="B40" s="17" t="n">
        <v>7235</v>
      </c>
      <c r="C40" s="18">
        <f>(6332.0/B40*100)</f>
        <v/>
      </c>
      <c r="D40" s="19" t="n">
        <v>903</v>
      </c>
      <c r="E40" s="18" t="n">
        <v>17.70859522</v>
      </c>
      <c r="F40" s="20" t="n">
        <v>2.04855528</v>
      </c>
      <c r="G40" s="18" t="n">
        <v>81.64802858</v>
      </c>
      <c r="H40" s="20" t="n">
        <v>2.06519759</v>
      </c>
      <c r="I40" s="18" t="s">
        <v>431</v>
      </c>
      <c r="J40" s="20" t="s">
        <v>431</v>
      </c>
      <c r="K40" s="18" t="n">
        <v>0.23886278</v>
      </c>
      <c r="L40" s="20" t="n">
        <v>0.10418111</v>
      </c>
      <c r="M40" s="18" t="n">
        <v>0</v>
      </c>
      <c r="N40" s="20" t="n">
        <v>0</v>
      </c>
      <c r="O40" s="18" t="n">
        <v>0</v>
      </c>
      <c r="P40" s="20" t="n">
        <v>0</v>
      </c>
      <c r="Q40" s="18" t="n">
        <v>0.40451342</v>
      </c>
      <c r="R40" s="20" t="n">
        <v>0.25978987</v>
      </c>
    </row>
    <row r="41" spans="1:18">
      <c r="A41" s="15" t="s">
        <v>465</v>
      </c>
      <c r="B41" s="17" t="n">
        <v>2858</v>
      </c>
      <c r="C41" s="18">
        <f>(2527.0/B41*100)</f>
        <v/>
      </c>
      <c r="D41" s="19" t="n">
        <v>331</v>
      </c>
      <c r="E41" s="18" t="n">
        <v>18.2367702</v>
      </c>
      <c r="F41" s="20" t="n">
        <v>2.53491705</v>
      </c>
      <c r="G41" s="18" t="n">
        <v>81.18695644</v>
      </c>
      <c r="H41" s="20" t="n">
        <v>2.41796658</v>
      </c>
      <c r="I41" s="18" t="s">
        <v>431</v>
      </c>
      <c r="J41" s="20" t="s">
        <v>431</v>
      </c>
      <c r="K41" s="18" t="n">
        <v>0</v>
      </c>
      <c r="L41" s="20" t="n">
        <v>0</v>
      </c>
      <c r="M41" s="18" t="n">
        <v>0</v>
      </c>
      <c r="N41" s="20" t="n">
        <v>0</v>
      </c>
      <c r="O41" s="18" t="n">
        <v>0</v>
      </c>
      <c r="P41" s="20" t="n">
        <v>0</v>
      </c>
      <c r="Q41" s="18" t="n">
        <v>0.57627336</v>
      </c>
      <c r="R41" s="20" t="n">
        <v>0.43963527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(9945.0/B46*100)</f>
        <v/>
      </c>
      <c r="D46" s="19" t="n">
        <v>1123</v>
      </c>
      <c r="E46" s="18" t="n">
        <v>35.69681916</v>
      </c>
      <c r="F46" s="20" t="n">
        <v>1.93393428</v>
      </c>
      <c r="G46" s="18" t="n">
        <v>62.16595679</v>
      </c>
      <c r="H46" s="20" t="n">
        <v>1.88503503</v>
      </c>
      <c r="I46" s="18" t="s">
        <v>431</v>
      </c>
      <c r="J46" s="20" t="s">
        <v>431</v>
      </c>
      <c r="K46" s="18" t="n">
        <v>1.08516251</v>
      </c>
      <c r="L46" s="20" t="n">
        <v>0.32991885</v>
      </c>
      <c r="M46" s="18" t="n">
        <v>0</v>
      </c>
      <c r="N46" s="20" t="n">
        <v>0</v>
      </c>
      <c r="O46" s="18" t="n">
        <v>0</v>
      </c>
      <c r="P46" s="20" t="n">
        <v>0</v>
      </c>
      <c r="Q46" s="18" t="n">
        <v>1.05206155</v>
      </c>
      <c r="R46" s="20" t="n">
        <v>0.39994824</v>
      </c>
    </row>
    <row r="47" spans="1:18">
      <c r="A47" s="15" t="s">
        <v>471</v>
      </c>
      <c r="B47" s="17" t="n">
        <v>3105</v>
      </c>
      <c r="C47" s="18">
        <f>(2719.0/B47*100)</f>
        <v/>
      </c>
      <c r="D47" s="19" t="n">
        <v>386</v>
      </c>
      <c r="E47" s="18" t="n">
        <v>38.65520033</v>
      </c>
      <c r="F47" s="20" t="n">
        <v>2.65930615</v>
      </c>
      <c r="G47" s="18" t="n">
        <v>59.4825129</v>
      </c>
      <c r="H47" s="20" t="n">
        <v>2.82058007</v>
      </c>
      <c r="I47" s="18" t="s">
        <v>431</v>
      </c>
      <c r="J47" s="20" t="s">
        <v>431</v>
      </c>
      <c r="K47" s="18" t="n">
        <v>1.05695346</v>
      </c>
      <c r="L47" s="20" t="n">
        <v>0.6595347</v>
      </c>
      <c r="M47" s="18" t="n">
        <v>0</v>
      </c>
      <c r="N47" s="20" t="n">
        <v>0</v>
      </c>
      <c r="O47" s="18" t="n">
        <v>0</v>
      </c>
      <c r="P47" s="20" t="n">
        <v>0</v>
      </c>
      <c r="Q47" s="18" t="n">
        <v>0.80533332</v>
      </c>
      <c r="R47" s="20" t="n">
        <v>0.46746192</v>
      </c>
    </row>
    <row r="48" spans="1:18">
      <c r="A48" s="15" t="s">
        <v>472</v>
      </c>
      <c r="B48" s="17" t="n">
        <v>5159</v>
      </c>
      <c r="C48" s="18">
        <f>(4528.0/B48*100)</f>
        <v/>
      </c>
      <c r="D48" s="19" t="n">
        <v>631</v>
      </c>
      <c r="E48" s="18" t="n">
        <v>26.25236398</v>
      </c>
      <c r="F48" s="20" t="n">
        <v>2.2506218</v>
      </c>
      <c r="G48" s="18" t="n">
        <v>72.90472597999999</v>
      </c>
      <c r="H48" s="20" t="n">
        <v>2.25266375</v>
      </c>
      <c r="I48" s="18" t="s">
        <v>431</v>
      </c>
      <c r="J48" s="20" t="s">
        <v>431</v>
      </c>
      <c r="K48" s="18" t="n">
        <v>0.06962430999999999</v>
      </c>
      <c r="L48" s="20" t="n">
        <v>0.06963974000000001</v>
      </c>
      <c r="M48" s="18" t="n">
        <v>0</v>
      </c>
      <c r="N48" s="20" t="n">
        <v>0</v>
      </c>
      <c r="O48" s="18" t="n">
        <v>0</v>
      </c>
      <c r="P48" s="20" t="n">
        <v>0</v>
      </c>
      <c r="Q48" s="18" t="n">
        <v>0.77328573</v>
      </c>
      <c r="R48" s="20" t="n">
        <v>0.5028452</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(4964.0/B50*100)</f>
        <v/>
      </c>
      <c r="D50" s="19" t="n">
        <v>673</v>
      </c>
      <c r="E50" s="18" t="n">
        <v>25.7776733</v>
      </c>
      <c r="F50" s="20" t="n">
        <v>2.49364396</v>
      </c>
      <c r="G50" s="18" t="n">
        <v>71.22112346</v>
      </c>
      <c r="H50" s="20" t="n">
        <v>2.74077649</v>
      </c>
      <c r="I50" s="18" t="s">
        <v>431</v>
      </c>
      <c r="J50" s="20" t="s">
        <v>431</v>
      </c>
      <c r="K50" s="18" t="n">
        <v>1.6521793</v>
      </c>
      <c r="L50" s="20" t="n">
        <v>0.81584424</v>
      </c>
      <c r="M50" s="18" t="n">
        <v>0</v>
      </c>
      <c r="N50" s="20" t="n">
        <v>0</v>
      </c>
      <c r="O50" s="18" t="n">
        <v>0</v>
      </c>
      <c r="P50" s="20" t="n">
        <v>0</v>
      </c>
      <c r="Q50" s="18" t="n">
        <v>1.34902394</v>
      </c>
      <c r="R50" s="20" t="n">
        <v>0.65732262</v>
      </c>
    </row>
    <row r="51" spans="1:18">
      <c r="A51" s="15" t="s">
        <v>475</v>
      </c>
      <c r="B51" s="17" t="n">
        <v>3372</v>
      </c>
      <c r="C51" s="18">
        <f>(3009.0/B51*100)</f>
        <v/>
      </c>
      <c r="D51" s="19" t="n">
        <v>363</v>
      </c>
      <c r="E51" s="18" t="n">
        <v>22.27274482</v>
      </c>
      <c r="F51" s="20" t="n">
        <v>2.29319965</v>
      </c>
      <c r="G51" s="18" t="n">
        <v>76.10207719</v>
      </c>
      <c r="H51" s="20" t="n">
        <v>2.22635759</v>
      </c>
      <c r="I51" s="18" t="s">
        <v>431</v>
      </c>
      <c r="J51" s="20" t="s">
        <v>431</v>
      </c>
      <c r="K51" s="18" t="n">
        <v>0.5588634099999999</v>
      </c>
      <c r="L51" s="20" t="n">
        <v>0.39513339</v>
      </c>
      <c r="M51" s="18" t="n">
        <v>0</v>
      </c>
      <c r="N51" s="20" t="n">
        <v>0</v>
      </c>
      <c r="O51" s="18" t="n">
        <v>0</v>
      </c>
      <c r="P51" s="20" t="n">
        <v>0</v>
      </c>
      <c r="Q51" s="18" t="n">
        <v>1.06631457</v>
      </c>
      <c r="R51" s="20" t="n">
        <v>0.53799621</v>
      </c>
    </row>
    <row r="52" spans="1:18">
      <c r="A52" s="15" t="s">
        <v>476</v>
      </c>
      <c r="B52" s="17" t="n">
        <v>2796</v>
      </c>
      <c r="C52" s="18">
        <f>(2443.0/B52*100)</f>
        <v/>
      </c>
      <c r="D52" s="19" t="n">
        <v>353</v>
      </c>
      <c r="E52" s="18" t="n">
        <v>23.52209534</v>
      </c>
      <c r="F52" s="20" t="n">
        <v>2.21429204</v>
      </c>
      <c r="G52" s="18" t="n">
        <v>74.97460246</v>
      </c>
      <c r="H52" s="20" t="n">
        <v>2.30342077</v>
      </c>
      <c r="I52" s="18" t="s">
        <v>431</v>
      </c>
      <c r="J52" s="20" t="s">
        <v>431</v>
      </c>
      <c r="K52" s="18" t="n">
        <v>0.63828723</v>
      </c>
      <c r="L52" s="20" t="n">
        <v>0.46622913</v>
      </c>
      <c r="M52" s="18" t="n">
        <v>0</v>
      </c>
      <c r="N52" s="20" t="n">
        <v>0</v>
      </c>
      <c r="O52" s="18" t="n">
        <v>0</v>
      </c>
      <c r="P52" s="20" t="n">
        <v>0</v>
      </c>
      <c r="Q52" s="18" t="n">
        <v>0.86501496</v>
      </c>
      <c r="R52" s="20" t="n">
        <v>0.49924434</v>
      </c>
    </row>
    <row r="53" spans="1:18">
      <c r="A53" s="15" t="s">
        <v>477</v>
      </c>
      <c r="B53" s="17" t="n">
        <v>2811</v>
      </c>
      <c r="C53" s="18">
        <f>(2484.0/B53*100)</f>
        <v/>
      </c>
      <c r="D53" s="19" t="n">
        <v>327</v>
      </c>
      <c r="E53" s="18" t="n">
        <v>44.33962664</v>
      </c>
      <c r="F53" s="20" t="n">
        <v>2.74922708</v>
      </c>
      <c r="G53" s="18" t="n">
        <v>53.29734553</v>
      </c>
      <c r="H53" s="20" t="n">
        <v>2.82180893</v>
      </c>
      <c r="I53" s="18" t="s">
        <v>431</v>
      </c>
      <c r="J53" s="20" t="s">
        <v>431</v>
      </c>
      <c r="K53" s="18" t="n">
        <v>1.54036066</v>
      </c>
      <c r="L53" s="20" t="n">
        <v>0.7169964</v>
      </c>
      <c r="M53" s="18" t="n">
        <v>0</v>
      </c>
      <c r="N53" s="20" t="n">
        <v>0</v>
      </c>
      <c r="O53" s="18" t="n">
        <v>0</v>
      </c>
      <c r="P53" s="20" t="n">
        <v>0</v>
      </c>
      <c r="Q53" s="18" t="n">
        <v>0.82266716</v>
      </c>
      <c r="R53" s="20" t="n">
        <v>0.47626012</v>
      </c>
    </row>
    <row r="54" spans="1:18">
      <c r="A54" s="15" t="s">
        <v>478</v>
      </c>
      <c r="B54" s="17" t="n">
        <v>2266</v>
      </c>
      <c r="C54" s="18">
        <f>(1884.0/B54*100)</f>
        <v/>
      </c>
      <c r="D54" s="19" t="n">
        <v>382</v>
      </c>
      <c r="E54" s="18" t="n">
        <v>39.72550545</v>
      </c>
      <c r="F54" s="20" t="n">
        <v>2.60440942</v>
      </c>
      <c r="G54" s="18" t="n">
        <v>49.29378543</v>
      </c>
      <c r="H54" s="20" t="n">
        <v>2.77339553</v>
      </c>
      <c r="I54" s="18" t="s">
        <v>431</v>
      </c>
      <c r="J54" s="20" t="s">
        <v>431</v>
      </c>
      <c r="K54" s="18" t="n">
        <v>9.10697787</v>
      </c>
      <c r="L54" s="20" t="n">
        <v>1.56183333</v>
      </c>
      <c r="M54" s="18" t="n">
        <v>0</v>
      </c>
      <c r="N54" s="20" t="n">
        <v>0</v>
      </c>
      <c r="O54" s="18" t="n">
        <v>0</v>
      </c>
      <c r="P54" s="20" t="n">
        <v>0</v>
      </c>
      <c r="Q54" s="18" t="n">
        <v>1.87373125</v>
      </c>
      <c r="R54" s="20" t="n">
        <v>0.69390233</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(2359.0/B56*100)</f>
        <v/>
      </c>
      <c r="D56" s="19" t="n">
        <v>325</v>
      </c>
      <c r="E56" s="18" t="n">
        <v>28.03616483</v>
      </c>
      <c r="F56" s="20" t="n">
        <v>2.78854504</v>
      </c>
      <c r="G56" s="18" t="n">
        <v>70.74863111000001</v>
      </c>
      <c r="H56" s="20" t="n">
        <v>2.94411773</v>
      </c>
      <c r="I56" s="18" t="s">
        <v>431</v>
      </c>
      <c r="J56" s="20" t="s">
        <v>431</v>
      </c>
      <c r="K56" s="18" t="n">
        <v>0.79919613</v>
      </c>
      <c r="L56" s="20" t="n">
        <v>0.57111292</v>
      </c>
      <c r="M56" s="18" t="n">
        <v>0</v>
      </c>
      <c r="N56" s="20" t="n">
        <v>0</v>
      </c>
      <c r="O56" s="18" t="n">
        <v>0</v>
      </c>
      <c r="P56" s="20" t="n">
        <v>0</v>
      </c>
      <c r="Q56" s="18" t="n">
        <v>0.41600793</v>
      </c>
      <c r="R56" s="20" t="n">
        <v>0.41633061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(2902.0/B61*100)</f>
        <v/>
      </c>
      <c r="D61" s="19" t="n">
        <v>422</v>
      </c>
      <c r="E61" s="18" t="n">
        <v>31.41918045</v>
      </c>
      <c r="F61" s="20" t="n">
        <v>2.57504369</v>
      </c>
      <c r="G61" s="18" t="n">
        <v>67.23788338999999</v>
      </c>
      <c r="H61" s="20" t="n">
        <v>2.58418454</v>
      </c>
      <c r="I61" s="18" t="s">
        <v>431</v>
      </c>
      <c r="J61" s="20" t="s">
        <v>431</v>
      </c>
      <c r="K61" s="18" t="n">
        <v>0.52206048</v>
      </c>
      <c r="L61" s="20" t="n">
        <v>0.32391429</v>
      </c>
      <c r="M61" s="18" t="n">
        <v>0</v>
      </c>
      <c r="N61" s="20" t="n">
        <v>0</v>
      </c>
      <c r="O61" s="18" t="n">
        <v>0</v>
      </c>
      <c r="P61" s="20" t="n">
        <v>0</v>
      </c>
      <c r="Q61" s="18" t="n">
        <v>0.82087569</v>
      </c>
      <c r="R61" s="20" t="n">
        <v>0.47674211</v>
      </c>
    </row>
    <row r="62" spans="1:18">
      <c r="A62" s="15" t="s">
        <v>486</v>
      </c>
      <c r="B62" s="17" t="n">
        <v>2246</v>
      </c>
      <c r="C62" s="18">
        <f>(1992.0/B62*100)</f>
        <v/>
      </c>
      <c r="D62" s="19" t="n">
        <v>254</v>
      </c>
      <c r="E62" s="18" t="n">
        <v>27.87826449</v>
      </c>
      <c r="F62" s="20" t="n">
        <v>2.63723023</v>
      </c>
      <c r="G62" s="18" t="n">
        <v>70.54903935999999</v>
      </c>
      <c r="H62" s="20" t="n">
        <v>2.75855971</v>
      </c>
      <c r="I62" s="18" t="s">
        <v>431</v>
      </c>
      <c r="J62" s="20" t="s">
        <v>431</v>
      </c>
      <c r="K62" s="18" t="n">
        <v>0</v>
      </c>
      <c r="L62" s="20" t="n">
        <v>0</v>
      </c>
      <c r="M62" s="18" t="n">
        <v>0</v>
      </c>
      <c r="N62" s="20" t="n">
        <v>0</v>
      </c>
      <c r="O62" s="18" t="n">
        <v>0</v>
      </c>
      <c r="P62" s="20" t="n">
        <v>0</v>
      </c>
      <c r="Q62" s="18" t="n">
        <v>1.57269615</v>
      </c>
      <c r="R62" s="20" t="n">
        <v>0.75966895</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(2561.0/B66*100)</f>
        <v/>
      </c>
      <c r="D66" s="19" t="n">
        <v>333</v>
      </c>
      <c r="E66" s="18" t="n">
        <v>38.42836596</v>
      </c>
      <c r="F66" s="20" t="n">
        <v>2.72257477</v>
      </c>
      <c r="G66" s="18" t="n">
        <v>59.33599047</v>
      </c>
      <c r="H66" s="20" t="n">
        <v>2.62761904</v>
      </c>
      <c r="I66" s="18" t="s">
        <v>431</v>
      </c>
      <c r="J66" s="20" t="s">
        <v>431</v>
      </c>
      <c r="K66" s="18" t="n">
        <v>0.84326759</v>
      </c>
      <c r="L66" s="20" t="n">
        <v>0.49826201</v>
      </c>
      <c r="M66" s="18" t="n">
        <v>0</v>
      </c>
      <c r="N66" s="20" t="n">
        <v>0</v>
      </c>
      <c r="O66" s="18" t="n">
        <v>0</v>
      </c>
      <c r="P66" s="20" t="n">
        <v>0</v>
      </c>
      <c r="Q66" s="18" t="n">
        <v>1.39237597</v>
      </c>
      <c r="R66" s="20" t="n">
        <v>0.58701072</v>
      </c>
    </row>
    <row r="67" spans="1:18">
      <c r="A67" s="15" t="s">
        <v>491</v>
      </c>
      <c r="B67" s="17" t="n">
        <v>3511</v>
      </c>
      <c r="C67" s="18">
        <f>(3102.0/B67*100)</f>
        <v/>
      </c>
      <c r="D67" s="19" t="n">
        <v>409</v>
      </c>
      <c r="E67" s="18" t="n">
        <v>29.65138813</v>
      </c>
      <c r="F67" s="20" t="n">
        <v>2.57573877</v>
      </c>
      <c r="G67" s="18" t="n">
        <v>69.76738625999999</v>
      </c>
      <c r="H67" s="20" t="n">
        <v>2.58491932</v>
      </c>
      <c r="I67" s="18" t="s">
        <v>431</v>
      </c>
      <c r="J67" s="20" t="s">
        <v>431</v>
      </c>
      <c r="K67" s="18" t="n">
        <v>0.2027698</v>
      </c>
      <c r="L67" s="20" t="n">
        <v>0.20362057</v>
      </c>
      <c r="M67" s="18" t="n">
        <v>0</v>
      </c>
      <c r="N67" s="20" t="n">
        <v>0</v>
      </c>
      <c r="O67" s="18" t="n">
        <v>0</v>
      </c>
      <c r="P67" s="20" t="n">
        <v>0</v>
      </c>
      <c r="Q67" s="18" t="n">
        <v>0.37845581</v>
      </c>
      <c r="R67" s="20" t="n">
        <v>0.38008796</v>
      </c>
    </row>
    <row r="68" spans="1:18">
      <c r="A68" s="15" t="s">
        <v>492</v>
      </c>
      <c r="B68" s="17" t="n">
        <v>6049</v>
      </c>
      <c r="C68" s="18">
        <f>(5052.0/B68*100)</f>
        <v/>
      </c>
      <c r="D68" s="19" t="n">
        <v>997</v>
      </c>
      <c r="E68" s="18" t="n">
        <v>49.1511701</v>
      </c>
      <c r="F68" s="20" t="n">
        <v>1.56471309</v>
      </c>
      <c r="G68" s="18" t="n">
        <v>46.73866235</v>
      </c>
      <c r="H68" s="20" t="n">
        <v>1.50618242</v>
      </c>
      <c r="I68" s="18" t="s">
        <v>431</v>
      </c>
      <c r="J68" s="20" t="s">
        <v>431</v>
      </c>
      <c r="K68" s="18" t="n">
        <v>2.45192977</v>
      </c>
      <c r="L68" s="20" t="n">
        <v>0.45227135</v>
      </c>
      <c r="M68" s="18" t="n">
        <v>0</v>
      </c>
      <c r="N68" s="20" t="n">
        <v>0</v>
      </c>
      <c r="O68" s="18" t="n">
        <v>0</v>
      </c>
      <c r="P68" s="20" t="n">
        <v>0</v>
      </c>
      <c r="Q68" s="18" t="n">
        <v>1.65823779</v>
      </c>
      <c r="R68" s="20" t="n">
        <v>0.3928981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(2604.0/B70*100)</f>
        <v/>
      </c>
      <c r="D70" s="19" t="n">
        <v>325</v>
      </c>
      <c r="E70" s="18" t="n">
        <v>17.60386348</v>
      </c>
      <c r="F70" s="20" t="n">
        <v>2.24506966</v>
      </c>
      <c r="G70" s="18" t="n">
        <v>81.93432835</v>
      </c>
      <c r="H70" s="20" t="n">
        <v>2.30733362</v>
      </c>
      <c r="I70" s="18" t="s">
        <v>431</v>
      </c>
      <c r="J70" s="20" t="s">
        <v>431</v>
      </c>
      <c r="K70" s="18" t="n">
        <v>0.2451081</v>
      </c>
      <c r="L70" s="20" t="n">
        <v>0.17345324</v>
      </c>
      <c r="M70" s="18" t="n">
        <v>0</v>
      </c>
      <c r="N70" s="20" t="n">
        <v>0</v>
      </c>
      <c r="O70" s="18" t="n">
        <v>0</v>
      </c>
      <c r="P70" s="20" t="n">
        <v>0</v>
      </c>
      <c r="Q70" s="18" t="n">
        <v>0.21670006</v>
      </c>
      <c r="R70" s="20" t="n">
        <v>0.21716848</v>
      </c>
    </row>
    <row r="71" spans="1:18">
      <c r="A71" s="15" t="s">
        <v>495</v>
      </c>
      <c r="B71" s="17" t="n">
        <v>3142</v>
      </c>
      <c r="C71" s="18">
        <f>(2757.0/B71*100)</f>
        <v/>
      </c>
      <c r="D71" s="19" t="n">
        <v>385</v>
      </c>
      <c r="E71" s="18" t="n">
        <v>12.02037017</v>
      </c>
      <c r="F71" s="20" t="n">
        <v>1.47599911</v>
      </c>
      <c r="G71" s="18" t="n">
        <v>87.40878864</v>
      </c>
      <c r="H71" s="20" t="n">
        <v>1.49702467</v>
      </c>
      <c r="I71" s="18" t="s">
        <v>431</v>
      </c>
      <c r="J71" s="20" t="s">
        <v>431</v>
      </c>
      <c r="K71" s="18" t="n">
        <v>0.27585198</v>
      </c>
      <c r="L71" s="20" t="n">
        <v>0.27620877</v>
      </c>
      <c r="M71" s="18" t="n">
        <v>0</v>
      </c>
      <c r="N71" s="20" t="n">
        <v>0</v>
      </c>
      <c r="O71" s="18" t="n">
        <v>0</v>
      </c>
      <c r="P71" s="20" t="n">
        <v>0</v>
      </c>
      <c r="Q71" s="18" t="n">
        <v>0.29498921</v>
      </c>
      <c r="R71" s="20" t="n">
        <v>0.29581946</v>
      </c>
    </row>
    <row r="72" spans="1:18">
      <c r="A72" s="15" t="s">
        <v>496</v>
      </c>
      <c r="B72" s="17" t="n">
        <v>3889</v>
      </c>
      <c r="C72" s="18">
        <f>(3394.0/B72*100)</f>
        <v/>
      </c>
      <c r="D72" s="19" t="n">
        <v>495</v>
      </c>
      <c r="E72" s="18" t="n">
        <v>18.09042448</v>
      </c>
      <c r="F72" s="20" t="n">
        <v>1.62502723</v>
      </c>
      <c r="G72" s="18" t="n">
        <v>81.41251348999999</v>
      </c>
      <c r="H72" s="20" t="n">
        <v>1.63413868</v>
      </c>
      <c r="I72" s="18" t="s">
        <v>431</v>
      </c>
      <c r="J72" s="20" t="s">
        <v>431</v>
      </c>
      <c r="K72" s="18" t="n">
        <v>0.13796745</v>
      </c>
      <c r="L72" s="20" t="n">
        <v>0.14173327</v>
      </c>
      <c r="M72" s="18" t="n">
        <v>0</v>
      </c>
      <c r="N72" s="20" t="n">
        <v>0</v>
      </c>
      <c r="O72" s="18" t="n">
        <v>0</v>
      </c>
      <c r="P72" s="20" t="n">
        <v>0</v>
      </c>
      <c r="Q72" s="18" t="n">
        <v>0.35909458</v>
      </c>
      <c r="R72" s="20" t="n">
        <v>0.26444959</v>
      </c>
    </row>
    <row r="73" spans="1:18">
      <c r="A73" s="15" t="s">
        <v>497</v>
      </c>
      <c r="B73" s="17" t="n">
        <v>3597</v>
      </c>
      <c r="C73" s="18">
        <f>(3170.0/B73*100)</f>
        <v/>
      </c>
      <c r="D73" s="19" t="n">
        <v>427</v>
      </c>
      <c r="E73" s="18" t="n">
        <v>35.73702164</v>
      </c>
      <c r="F73" s="20" t="n">
        <v>3.14133434</v>
      </c>
      <c r="G73" s="18" t="n">
        <v>63.08963149</v>
      </c>
      <c r="H73" s="20" t="n">
        <v>3.15520462</v>
      </c>
      <c r="I73" s="18" t="s">
        <v>431</v>
      </c>
      <c r="J73" s="20" t="s">
        <v>431</v>
      </c>
      <c r="K73" s="18" t="n">
        <v>0</v>
      </c>
      <c r="L73" s="20" t="n">
        <v>0</v>
      </c>
      <c r="M73" s="18" t="n">
        <v>0</v>
      </c>
      <c r="N73" s="20" t="n">
        <v>0</v>
      </c>
      <c r="O73" s="18" t="n">
        <v>0</v>
      </c>
      <c r="P73" s="20" t="n">
        <v>0</v>
      </c>
      <c r="Q73" s="18" t="n">
        <v>1.17334688</v>
      </c>
      <c r="R73" s="20" t="n">
        <v>0.62449281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(2149.0/B75*100)</f>
        <v/>
      </c>
      <c r="D75" s="19" t="n">
        <v>257</v>
      </c>
      <c r="E75" s="18" t="n">
        <v>50.78981199</v>
      </c>
      <c r="F75" s="20" t="n">
        <v>3.01653994</v>
      </c>
      <c r="G75" s="18" t="n">
        <v>46.43889725</v>
      </c>
      <c r="H75" s="20" t="n">
        <v>2.97859984</v>
      </c>
      <c r="I75" s="18" t="s">
        <v>431</v>
      </c>
      <c r="J75" s="20" t="s">
        <v>431</v>
      </c>
      <c r="K75" s="18" t="n">
        <v>1.71521417</v>
      </c>
      <c r="L75" s="20" t="n">
        <v>0.94344568</v>
      </c>
      <c r="M75" s="18" t="n">
        <v>0</v>
      </c>
      <c r="N75" s="20" t="n">
        <v>0</v>
      </c>
      <c r="O75" s="18" t="n">
        <v>0</v>
      </c>
      <c r="P75" s="20" t="n">
        <v>0</v>
      </c>
      <c r="Q75" s="18" t="n">
        <v>1.05607658</v>
      </c>
      <c r="R75" s="20" t="n">
        <v>0.6105401</v>
      </c>
    </row>
    <row r="76" spans="1:18">
      <c r="A76" s="15" t="s">
        <v>500</v>
      </c>
      <c r="B76" s="17" t="n">
        <v>7052</v>
      </c>
      <c r="C76" s="18">
        <f>(6221.0/B76*100)</f>
        <v/>
      </c>
      <c r="D76" s="19" t="n">
        <v>831</v>
      </c>
      <c r="E76" s="18" t="n">
        <v>41.28798214</v>
      </c>
      <c r="F76" s="20" t="n">
        <v>2.06176257</v>
      </c>
      <c r="G76" s="18" t="n">
        <v>55.61878322</v>
      </c>
      <c r="H76" s="20" t="n">
        <v>1.98680456</v>
      </c>
      <c r="I76" s="18" t="s">
        <v>431</v>
      </c>
      <c r="J76" s="20" t="s">
        <v>431</v>
      </c>
      <c r="K76" s="18" t="n">
        <v>1.11511844</v>
      </c>
      <c r="L76" s="20" t="n">
        <v>0.42729832</v>
      </c>
      <c r="M76" s="18" t="n">
        <v>0</v>
      </c>
      <c r="N76" s="20" t="n">
        <v>0</v>
      </c>
      <c r="O76" s="18" t="n">
        <v>0</v>
      </c>
      <c r="P76" s="20" t="n">
        <v>0</v>
      </c>
      <c r="Q76" s="18" t="n">
        <v>1.9781162</v>
      </c>
      <c r="R76" s="20" t="n">
        <v>0.59263355</v>
      </c>
    </row>
    <row r="77" spans="1:18">
      <c r="A77" s="15" t="s">
        <v>501</v>
      </c>
      <c r="B77" s="17" t="n">
        <v>2908</v>
      </c>
      <c r="C77" s="18">
        <f>(2547.0/B77*100)</f>
        <v/>
      </c>
      <c r="D77" s="19" t="n">
        <v>361</v>
      </c>
      <c r="E77" s="18" t="n">
        <v>26.83625439</v>
      </c>
      <c r="F77" s="20" t="n">
        <v>2.77150526</v>
      </c>
      <c r="G77" s="18" t="n">
        <v>72.13489375</v>
      </c>
      <c r="H77" s="20" t="n">
        <v>2.73543323</v>
      </c>
      <c r="I77" s="18" t="s">
        <v>431</v>
      </c>
      <c r="J77" s="20" t="s">
        <v>431</v>
      </c>
      <c r="K77" s="18" t="n">
        <v>0.30630341</v>
      </c>
      <c r="L77" s="20" t="n">
        <v>0.30806022</v>
      </c>
      <c r="M77" s="18" t="n">
        <v>0</v>
      </c>
      <c r="N77" s="20" t="n">
        <v>0</v>
      </c>
      <c r="O77" s="18" t="n">
        <v>0</v>
      </c>
      <c r="P77" s="20" t="n">
        <v>0</v>
      </c>
      <c r="Q77" s="18" t="n">
        <v>0.72254845</v>
      </c>
      <c r="R77" s="20" t="n">
        <v>0.36157625</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(3662.0/B81*100)</f>
        <v/>
      </c>
      <c r="D81" s="19" t="n">
        <v>501</v>
      </c>
      <c r="E81" s="18" t="n">
        <v>31.11479659</v>
      </c>
      <c r="F81" s="20" t="n">
        <v>2.43011569</v>
      </c>
      <c r="G81" s="18" t="n">
        <v>68.4411988</v>
      </c>
      <c r="H81" s="20" t="n">
        <v>2.43298009</v>
      </c>
      <c r="I81" s="18" t="s">
        <v>431</v>
      </c>
      <c r="J81" s="20" t="s">
        <v>431</v>
      </c>
      <c r="K81" s="18" t="n">
        <v>0.44400462</v>
      </c>
      <c r="L81" s="20" t="n">
        <v>0.43794519</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(6513.0/B7*100)</f>
        <v/>
      </c>
      <c r="D7" s="19" t="n">
        <v>854</v>
      </c>
      <c r="E7" s="18" t="n">
        <v>42.35521536</v>
      </c>
      <c r="F7" s="20" t="n">
        <v>2.44895492</v>
      </c>
      <c r="G7" s="18" t="n">
        <v>43.90896336</v>
      </c>
      <c r="H7" s="20" t="n">
        <v>2.27510525</v>
      </c>
      <c r="I7" s="18" t="s">
        <v>431</v>
      </c>
      <c r="J7" s="20" t="s">
        <v>431</v>
      </c>
      <c r="K7" s="18" t="n">
        <v>1.57034444</v>
      </c>
      <c r="L7" s="20" t="n">
        <v>0.57200516</v>
      </c>
      <c r="M7" s="18" t="n">
        <v>0.05344083</v>
      </c>
      <c r="N7" s="20" t="n">
        <v>0.04099677</v>
      </c>
      <c r="O7" s="18" t="n">
        <v>0</v>
      </c>
      <c r="P7" s="20" t="n">
        <v>0</v>
      </c>
      <c r="Q7" s="18" t="n">
        <v>12.11203601</v>
      </c>
      <c r="R7" s="20" t="n">
        <v>1.29910335</v>
      </c>
    </row>
    <row r="8" spans="1:18">
      <c r="A8" s="15" t="s">
        <v>432</v>
      </c>
      <c r="B8" s="17" t="n">
        <v>3564</v>
      </c>
      <c r="C8" s="18">
        <f>(3156.0/B8*100)</f>
        <v/>
      </c>
      <c r="D8" s="19" t="n">
        <v>408</v>
      </c>
      <c r="E8" s="18" t="n">
        <v>31.55995053</v>
      </c>
      <c r="F8" s="20" t="n">
        <v>2.27959858</v>
      </c>
      <c r="G8" s="18" t="n">
        <v>51.69987822</v>
      </c>
      <c r="H8" s="20" t="n">
        <v>2.31757162</v>
      </c>
      <c r="I8" s="18" t="s">
        <v>431</v>
      </c>
      <c r="J8" s="20" t="s">
        <v>431</v>
      </c>
      <c r="K8" s="18" t="n">
        <v>1.14972095</v>
      </c>
      <c r="L8" s="20" t="n">
        <v>0.45523843</v>
      </c>
      <c r="M8" s="18" t="n">
        <v>0</v>
      </c>
      <c r="N8" s="20" t="n">
        <v>0</v>
      </c>
      <c r="O8" s="18" t="n">
        <v>0</v>
      </c>
      <c r="P8" s="20" t="n">
        <v>0</v>
      </c>
      <c r="Q8" s="18" t="n">
        <v>15.59045029</v>
      </c>
      <c r="R8" s="20" t="n">
        <v>2.10447228</v>
      </c>
    </row>
    <row r="9" spans="1:18">
      <c r="A9" s="15" t="s">
        <v>433</v>
      </c>
      <c r="B9" s="17" t="n">
        <v>4899</v>
      </c>
      <c r="C9" s="18">
        <f>(4328.0/B9*100)</f>
        <v/>
      </c>
      <c r="D9" s="19" t="n">
        <v>571</v>
      </c>
      <c r="E9" s="18" t="n">
        <v>36.13624975</v>
      </c>
      <c r="F9" s="20" t="n">
        <v>1.95507561</v>
      </c>
      <c r="G9" s="18" t="n">
        <v>48.95457449</v>
      </c>
      <c r="H9" s="20" t="n">
        <v>2.35933864</v>
      </c>
      <c r="I9" s="18" t="s">
        <v>431</v>
      </c>
      <c r="J9" s="20" t="s">
        <v>431</v>
      </c>
      <c r="K9" s="18" t="n">
        <v>1.15568526</v>
      </c>
      <c r="L9" s="20" t="n">
        <v>0.55549399</v>
      </c>
      <c r="M9" s="18" t="n">
        <v>0.29760248</v>
      </c>
      <c r="N9" s="20" t="n">
        <v>0.21456123</v>
      </c>
      <c r="O9" s="18" t="n">
        <v>0</v>
      </c>
      <c r="P9" s="20" t="n">
        <v>0</v>
      </c>
      <c r="Q9" s="18" t="n">
        <v>13.45588801</v>
      </c>
      <c r="R9" s="20" t="n">
        <v>1.71689514</v>
      </c>
    </row>
    <row r="10" spans="1:18">
      <c r="A10" s="15" t="s">
        <v>434</v>
      </c>
      <c r="B10" s="17" t="n">
        <v>10036</v>
      </c>
      <c r="C10" s="18">
        <f>(8823.0/B10*100)</f>
        <v/>
      </c>
      <c r="D10" s="19" t="n">
        <v>1213</v>
      </c>
      <c r="E10" s="18" t="n">
        <v>32.70576799</v>
      </c>
      <c r="F10" s="20" t="n">
        <v>1.90435125</v>
      </c>
      <c r="G10" s="18" t="n">
        <v>60.49449211</v>
      </c>
      <c r="H10" s="20" t="n">
        <v>2.23403162</v>
      </c>
      <c r="I10" s="18" t="s">
        <v>431</v>
      </c>
      <c r="J10" s="20" t="s">
        <v>431</v>
      </c>
      <c r="K10" s="18" t="n">
        <v>1.51472002</v>
      </c>
      <c r="L10" s="20" t="n">
        <v>0.5648213</v>
      </c>
      <c r="M10" s="18" t="n">
        <v>0</v>
      </c>
      <c r="N10" s="20" t="n">
        <v>0</v>
      </c>
      <c r="O10" s="18" t="n">
        <v>0</v>
      </c>
      <c r="P10" s="20" t="n">
        <v>0</v>
      </c>
      <c r="Q10" s="18" t="n">
        <v>5.28501989</v>
      </c>
      <c r="R10" s="20" t="n">
        <v>1.00106729</v>
      </c>
    </row>
    <row r="11" spans="1:18">
      <c r="A11" s="15" t="s">
        <v>435</v>
      </c>
      <c r="B11" s="17" t="n">
        <v>3553</v>
      </c>
      <c r="C11" s="18">
        <f>(3110.0/B11*100)</f>
        <v/>
      </c>
      <c r="D11" s="19" t="n">
        <v>443</v>
      </c>
      <c r="E11" s="18" t="n">
        <v>43.8485692</v>
      </c>
      <c r="F11" s="20" t="n">
        <v>2.16771941</v>
      </c>
      <c r="G11" s="18" t="n">
        <v>35.73879066</v>
      </c>
      <c r="H11" s="20" t="n">
        <v>2.44695577</v>
      </c>
      <c r="I11" s="18" t="s">
        <v>431</v>
      </c>
      <c r="J11" s="20" t="s">
        <v>431</v>
      </c>
      <c r="K11" s="18" t="n">
        <v>1.35034971</v>
      </c>
      <c r="L11" s="20" t="n">
        <v>0.80442949</v>
      </c>
      <c r="M11" s="18" t="n">
        <v>0</v>
      </c>
      <c r="N11" s="20" t="n">
        <v>0</v>
      </c>
      <c r="O11" s="18" t="n">
        <v>0</v>
      </c>
      <c r="P11" s="20" t="n">
        <v>0</v>
      </c>
      <c r="Q11" s="18" t="n">
        <v>19.06229043</v>
      </c>
      <c r="R11" s="20" t="n">
        <v>2.08380913</v>
      </c>
    </row>
    <row r="12" spans="1:18">
      <c r="A12" s="15" t="s">
        <v>436</v>
      </c>
      <c r="B12" s="17" t="n">
        <v>3472</v>
      </c>
      <c r="C12" s="18">
        <f>(3045.0/B12*100)</f>
        <v/>
      </c>
      <c r="D12" s="19" t="n">
        <v>427</v>
      </c>
      <c r="E12" s="18" t="n">
        <v>33.30891422</v>
      </c>
      <c r="F12" s="20" t="n">
        <v>2.68185591</v>
      </c>
      <c r="G12" s="18" t="n">
        <v>43.28887427</v>
      </c>
      <c r="H12" s="20" t="n">
        <v>2.74478011</v>
      </c>
      <c r="I12" s="18" t="s">
        <v>431</v>
      </c>
      <c r="J12" s="20" t="s">
        <v>431</v>
      </c>
      <c r="K12" s="18" t="n">
        <v>2.11745782</v>
      </c>
      <c r="L12" s="20" t="n">
        <v>0.91358629</v>
      </c>
      <c r="M12" s="18" t="n">
        <v>0.13911866</v>
      </c>
      <c r="N12" s="20" t="n">
        <v>0.18423702</v>
      </c>
      <c r="O12" s="18" t="n">
        <v>0</v>
      </c>
      <c r="P12" s="20" t="n">
        <v>0</v>
      </c>
      <c r="Q12" s="18" t="n">
        <v>21.14563503</v>
      </c>
      <c r="R12" s="20" t="n">
        <v>2.56114719</v>
      </c>
    </row>
    <row r="13" spans="1:18">
      <c r="A13" s="15" t="s">
        <v>437</v>
      </c>
      <c r="B13" s="17" t="n">
        <v>3559</v>
      </c>
      <c r="C13" s="18">
        <f>(3148.0/B13*100)</f>
        <v/>
      </c>
      <c r="D13" s="19" t="n">
        <v>411</v>
      </c>
      <c r="E13" s="18" t="n">
        <v>24.24337481</v>
      </c>
      <c r="F13" s="20" t="n">
        <v>2.26886589</v>
      </c>
      <c r="G13" s="18" t="n">
        <v>63.50255243</v>
      </c>
      <c r="H13" s="20" t="n">
        <v>2.6461224</v>
      </c>
      <c r="I13" s="18" t="s">
        <v>431</v>
      </c>
      <c r="J13" s="20" t="s">
        <v>431</v>
      </c>
      <c r="K13" s="18" t="n">
        <v>1.69501827</v>
      </c>
      <c r="L13" s="20" t="n">
        <v>0.7539354</v>
      </c>
      <c r="M13" s="18" t="n">
        <v>0</v>
      </c>
      <c r="N13" s="20" t="n">
        <v>0</v>
      </c>
      <c r="O13" s="18" t="n">
        <v>0</v>
      </c>
      <c r="P13" s="20" t="n">
        <v>0</v>
      </c>
      <c r="Q13" s="18" t="n">
        <v>10.55905448</v>
      </c>
      <c r="R13" s="20" t="n">
        <v>1.68445528</v>
      </c>
    </row>
    <row r="14" spans="1:18">
      <c r="A14" s="15" t="s">
        <v>438</v>
      </c>
      <c r="B14" s="17" t="n">
        <v>2799</v>
      </c>
      <c r="C14" s="18">
        <f>(2464.0/B14*100)</f>
        <v/>
      </c>
      <c r="D14" s="19" t="n">
        <v>335</v>
      </c>
      <c r="E14" s="18" t="n">
        <v>35.32319781</v>
      </c>
      <c r="F14" s="20" t="n">
        <v>3.04282792</v>
      </c>
      <c r="G14" s="18" t="n">
        <v>53.44235373</v>
      </c>
      <c r="H14" s="20" t="n">
        <v>3.04518211</v>
      </c>
      <c r="I14" s="18" t="s">
        <v>431</v>
      </c>
      <c r="J14" s="20" t="s">
        <v>431</v>
      </c>
      <c r="K14" s="18" t="n">
        <v>0.50787297</v>
      </c>
      <c r="L14" s="20" t="n">
        <v>0.36485491</v>
      </c>
      <c r="M14" s="18" t="n">
        <v>0</v>
      </c>
      <c r="N14" s="20" t="n">
        <v>0</v>
      </c>
      <c r="O14" s="18" t="n">
        <v>0</v>
      </c>
      <c r="P14" s="20" t="n">
        <v>0</v>
      </c>
      <c r="Q14" s="18" t="n">
        <v>10.72657549</v>
      </c>
      <c r="R14" s="20" t="n">
        <v>1.98882284</v>
      </c>
    </row>
    <row r="15" spans="1:18">
      <c r="A15" s="15" t="s">
        <v>439</v>
      </c>
      <c r="B15" s="17" t="n">
        <v>3019</v>
      </c>
      <c r="C15" s="18">
        <f>(2645.0/B15*100)</f>
        <v/>
      </c>
      <c r="D15" s="19" t="n">
        <v>374</v>
      </c>
      <c r="E15" s="18" t="n">
        <v>27.68508639</v>
      </c>
      <c r="F15" s="20" t="n">
        <v>2.57247011</v>
      </c>
      <c r="G15" s="18" t="n">
        <v>55.80014799</v>
      </c>
      <c r="H15" s="20" t="n">
        <v>3.01557932</v>
      </c>
      <c r="I15" s="18" t="s">
        <v>431</v>
      </c>
      <c r="J15" s="20" t="s">
        <v>431</v>
      </c>
      <c r="K15" s="18" t="n">
        <v>2.03885456</v>
      </c>
      <c r="L15" s="20" t="n">
        <v>0.79113319</v>
      </c>
      <c r="M15" s="18" t="n">
        <v>0</v>
      </c>
      <c r="N15" s="20" t="n">
        <v>0</v>
      </c>
      <c r="O15" s="18" t="n">
        <v>0</v>
      </c>
      <c r="P15" s="20" t="n">
        <v>0</v>
      </c>
      <c r="Q15" s="18" t="n">
        <v>14.47591106</v>
      </c>
      <c r="R15" s="20" t="n">
        <v>1.85062116</v>
      </c>
    </row>
    <row r="16" spans="1:18">
      <c r="A16" s="15" t="s">
        <v>440</v>
      </c>
      <c r="B16" s="17" t="n">
        <v>2997</v>
      </c>
      <c r="C16" s="18">
        <f>(2618.0/B16*100)</f>
        <v/>
      </c>
      <c r="D16" s="19" t="n">
        <v>379</v>
      </c>
      <c r="E16" s="18" t="n">
        <v>26.41951191</v>
      </c>
      <c r="F16" s="20" t="n">
        <v>2.08116278</v>
      </c>
      <c r="G16" s="18" t="n">
        <v>49.6102497</v>
      </c>
      <c r="H16" s="20" t="n">
        <v>2.53684939</v>
      </c>
      <c r="I16" s="18" t="s">
        <v>431</v>
      </c>
      <c r="J16" s="20" t="s">
        <v>431</v>
      </c>
      <c r="K16" s="18" t="n">
        <v>2.58513603</v>
      </c>
      <c r="L16" s="20" t="n">
        <v>0.87701017</v>
      </c>
      <c r="M16" s="18" t="n">
        <v>0.29355607</v>
      </c>
      <c r="N16" s="20" t="n">
        <v>0.29536213</v>
      </c>
      <c r="O16" s="18" t="n">
        <v>0</v>
      </c>
      <c r="P16" s="20" t="n">
        <v>0</v>
      </c>
      <c r="Q16" s="18" t="n">
        <v>21.09154629</v>
      </c>
      <c r="R16" s="20" t="n">
        <v>1.78874955</v>
      </c>
    </row>
    <row r="17" spans="1:18">
      <c r="A17" s="15" t="s">
        <v>441</v>
      </c>
      <c r="B17" s="17" t="n">
        <v>3307</v>
      </c>
      <c r="C17" s="18">
        <f>(2909.0/B17*100)</f>
        <v/>
      </c>
      <c r="D17" s="19" t="n">
        <v>398</v>
      </c>
      <c r="E17" s="18" t="n">
        <v>29.59581946</v>
      </c>
      <c r="F17" s="20" t="n">
        <v>2.17981525</v>
      </c>
      <c r="G17" s="18" t="n">
        <v>55.03969699</v>
      </c>
      <c r="H17" s="20" t="n">
        <v>2.99301025</v>
      </c>
      <c r="I17" s="18" t="s">
        <v>431</v>
      </c>
      <c r="J17" s="20" t="s">
        <v>431</v>
      </c>
      <c r="K17" s="18" t="n">
        <v>1.39195854</v>
      </c>
      <c r="L17" s="20" t="n">
        <v>0.62559305</v>
      </c>
      <c r="M17" s="18" t="n">
        <v>0</v>
      </c>
      <c r="N17" s="20" t="n">
        <v>0</v>
      </c>
      <c r="O17" s="18" t="n">
        <v>0</v>
      </c>
      <c r="P17" s="20" t="n">
        <v>0</v>
      </c>
      <c r="Q17" s="18" t="n">
        <v>13.97252501</v>
      </c>
      <c r="R17" s="20" t="n">
        <v>2.06998912</v>
      </c>
    </row>
    <row r="18" spans="1:18">
      <c r="A18" s="15" t="s">
        <v>442</v>
      </c>
      <c r="B18" s="17" t="n">
        <v>2826</v>
      </c>
      <c r="C18" s="18">
        <f>(2501.0/B18*100)</f>
        <v/>
      </c>
      <c r="D18" s="19" t="n">
        <v>325</v>
      </c>
      <c r="E18" s="18" t="n">
        <v>38.49980878</v>
      </c>
      <c r="F18" s="20" t="n">
        <v>2.80475524</v>
      </c>
      <c r="G18" s="18" t="n">
        <v>42.13235405</v>
      </c>
      <c r="H18" s="20" t="n">
        <v>3.01012271</v>
      </c>
      <c r="I18" s="18" t="s">
        <v>431</v>
      </c>
      <c r="J18" s="20" t="s">
        <v>431</v>
      </c>
      <c r="K18" s="18" t="n">
        <v>2.48713026</v>
      </c>
      <c r="L18" s="20" t="n">
        <v>1.13756622</v>
      </c>
      <c r="M18" s="18" t="n">
        <v>0</v>
      </c>
      <c r="N18" s="20" t="n">
        <v>0</v>
      </c>
      <c r="O18" s="18" t="n">
        <v>0</v>
      </c>
      <c r="P18" s="20" t="n">
        <v>0</v>
      </c>
      <c r="Q18" s="18" t="n">
        <v>16.88070691</v>
      </c>
      <c r="R18" s="20" t="n">
        <v>2.11079566</v>
      </c>
    </row>
    <row r="19" spans="1:18">
      <c r="A19" s="15" t="s">
        <v>443</v>
      </c>
      <c r="B19" s="17" t="n">
        <v>2808</v>
      </c>
      <c r="C19" s="18">
        <f>(2472.0/B19*100)</f>
        <v/>
      </c>
      <c r="D19" s="19" t="n">
        <v>336</v>
      </c>
      <c r="E19" s="18" t="n">
        <v>36.20643375</v>
      </c>
      <c r="F19" s="20" t="n">
        <v>2.79809629</v>
      </c>
      <c r="G19" s="18" t="n">
        <v>41.64551681</v>
      </c>
      <c r="H19" s="20" t="n">
        <v>3.01021849</v>
      </c>
      <c r="I19" s="18" t="s">
        <v>431</v>
      </c>
      <c r="J19" s="20" t="s">
        <v>431</v>
      </c>
      <c r="K19" s="18" t="n">
        <v>2.2651514</v>
      </c>
      <c r="L19" s="20" t="n">
        <v>1.1229476</v>
      </c>
      <c r="M19" s="18" t="n">
        <v>0</v>
      </c>
      <c r="N19" s="20" t="n">
        <v>0</v>
      </c>
      <c r="O19" s="18" t="n">
        <v>0</v>
      </c>
      <c r="P19" s="20" t="n">
        <v>0</v>
      </c>
      <c r="Q19" s="18" t="n">
        <v>19.88289805</v>
      </c>
      <c r="R19" s="20" t="n">
        <v>2.54803226</v>
      </c>
    </row>
    <row r="20" spans="1:18">
      <c r="A20" s="15" t="s">
        <v>444</v>
      </c>
      <c r="B20" s="17" t="n">
        <v>1630</v>
      </c>
      <c r="C20" s="18">
        <f>(1424.0/B20*100)</f>
        <v/>
      </c>
      <c r="D20" s="19" t="n">
        <v>206</v>
      </c>
      <c r="E20" s="18" t="n">
        <v>53.24777827</v>
      </c>
      <c r="F20" s="20" t="n">
        <v>3.47520477</v>
      </c>
      <c r="G20" s="18" t="n">
        <v>33.06119403</v>
      </c>
      <c r="H20" s="20" t="n">
        <v>3.50586422</v>
      </c>
      <c r="I20" s="18" t="s">
        <v>431</v>
      </c>
      <c r="J20" s="20" t="s">
        <v>431</v>
      </c>
      <c r="K20" s="18" t="n">
        <v>2.43232306</v>
      </c>
      <c r="L20" s="20" t="n">
        <v>1.05339222</v>
      </c>
      <c r="M20" s="18" t="n">
        <v>1.15335289</v>
      </c>
      <c r="N20" s="20" t="n">
        <v>0.66660772</v>
      </c>
      <c r="O20" s="18" t="n">
        <v>0</v>
      </c>
      <c r="P20" s="20" t="n">
        <v>0</v>
      </c>
      <c r="Q20" s="18" t="n">
        <v>10.10535176</v>
      </c>
      <c r="R20" s="20" t="n">
        <v>1.86265762</v>
      </c>
    </row>
    <row r="21" spans="1:18">
      <c r="A21" s="15" t="s">
        <v>445</v>
      </c>
      <c r="B21" s="17" t="n">
        <v>2908</v>
      </c>
      <c r="C21" s="18">
        <f>(2442.0/B21*100)</f>
        <v/>
      </c>
      <c r="D21" s="19" t="n">
        <v>466</v>
      </c>
      <c r="E21" s="18" t="n">
        <v>36.43077652</v>
      </c>
      <c r="F21" s="20" t="n">
        <v>2.32012879</v>
      </c>
      <c r="G21" s="18" t="n">
        <v>55.85472723</v>
      </c>
      <c r="H21" s="20" t="n">
        <v>2.45996046</v>
      </c>
      <c r="I21" s="18" t="s">
        <v>431</v>
      </c>
      <c r="J21" s="20" t="s">
        <v>431</v>
      </c>
      <c r="K21" s="18" t="n">
        <v>0.63174933</v>
      </c>
      <c r="L21" s="20" t="n">
        <v>0.35590965</v>
      </c>
      <c r="M21" s="18" t="n">
        <v>0</v>
      </c>
      <c r="N21" s="20" t="n">
        <v>0</v>
      </c>
      <c r="O21" s="18" t="n">
        <v>0</v>
      </c>
      <c r="P21" s="20" t="n">
        <v>0</v>
      </c>
      <c r="Q21" s="18" t="n">
        <v>7.08274692</v>
      </c>
      <c r="R21" s="20" t="n">
        <v>1.18355279</v>
      </c>
    </row>
    <row r="22" spans="1:18">
      <c r="A22" s="15" t="s">
        <v>446</v>
      </c>
      <c r="B22" s="17" t="n">
        <v>2931</v>
      </c>
      <c r="C22" s="18">
        <f>(2565.0/B22*100)</f>
        <v/>
      </c>
      <c r="D22" s="19" t="n">
        <v>366</v>
      </c>
      <c r="E22" s="18" t="n">
        <v>42.75109352</v>
      </c>
      <c r="F22" s="20" t="n">
        <v>2.59789737</v>
      </c>
      <c r="G22" s="18" t="n">
        <v>41.16671299</v>
      </c>
      <c r="H22" s="20" t="n">
        <v>2.46608594</v>
      </c>
      <c r="I22" s="18" t="s">
        <v>431</v>
      </c>
      <c r="J22" s="20" t="s">
        <v>431</v>
      </c>
      <c r="K22" s="18" t="n">
        <v>0.84438675</v>
      </c>
      <c r="L22" s="20" t="n">
        <v>0.42126567</v>
      </c>
      <c r="M22" s="18" t="n">
        <v>0</v>
      </c>
      <c r="N22" s="20" t="n">
        <v>0</v>
      </c>
      <c r="O22" s="18" t="n">
        <v>0</v>
      </c>
      <c r="P22" s="20" t="n">
        <v>0</v>
      </c>
      <c r="Q22" s="18" t="n">
        <v>15.23780674</v>
      </c>
      <c r="R22" s="20" t="n">
        <v>1.80584236</v>
      </c>
    </row>
    <row r="23" spans="1:18">
      <c r="A23" s="15" t="s">
        <v>447</v>
      </c>
      <c r="B23" s="17" t="n">
        <v>5791</v>
      </c>
      <c r="C23" s="18">
        <f>(5067.0/B23*100)</f>
        <v/>
      </c>
      <c r="D23" s="19" t="n">
        <v>724</v>
      </c>
      <c r="E23" s="18" t="n">
        <v>41.73945728</v>
      </c>
      <c r="F23" s="20" t="n">
        <v>2.86511376</v>
      </c>
      <c r="G23" s="18" t="n">
        <v>39.94300604</v>
      </c>
      <c r="H23" s="20" t="n">
        <v>2.79090878</v>
      </c>
      <c r="I23" s="18" t="s">
        <v>431</v>
      </c>
      <c r="J23" s="20" t="s">
        <v>431</v>
      </c>
      <c r="K23" s="18" t="n">
        <v>1.48097968</v>
      </c>
      <c r="L23" s="20" t="n">
        <v>1.04264897</v>
      </c>
      <c r="M23" s="18" t="n">
        <v>0.83188061</v>
      </c>
      <c r="N23" s="20" t="n">
        <v>0.5256432599999999</v>
      </c>
      <c r="O23" s="18" t="n">
        <v>0</v>
      </c>
      <c r="P23" s="20" t="n">
        <v>0</v>
      </c>
      <c r="Q23" s="18" t="n">
        <v>16.00467639</v>
      </c>
      <c r="R23" s="20" t="n">
        <v>2.4704028</v>
      </c>
    </row>
    <row r="24" spans="1:18">
      <c r="A24" s="15" t="s">
        <v>448</v>
      </c>
      <c r="B24" s="17" t="n">
        <v>3338</v>
      </c>
      <c r="C24" s="18">
        <f>(2943.0/B24*100)</f>
        <v/>
      </c>
      <c r="D24" s="19" t="n">
        <v>395</v>
      </c>
      <c r="E24" s="18" t="n">
        <v>21.79049483</v>
      </c>
      <c r="F24" s="20" t="n">
        <v>2.0886962</v>
      </c>
      <c r="G24" s="18" t="n">
        <v>45.32837333</v>
      </c>
      <c r="H24" s="20" t="n">
        <v>2.90016095</v>
      </c>
      <c r="I24" s="18" t="s">
        <v>431</v>
      </c>
      <c r="J24" s="20" t="s">
        <v>431</v>
      </c>
      <c r="K24" s="18" t="n">
        <v>2.46528897</v>
      </c>
      <c r="L24" s="20" t="n">
        <v>0.77298721</v>
      </c>
      <c r="M24" s="18" t="n">
        <v>0</v>
      </c>
      <c r="N24" s="20" t="n">
        <v>0</v>
      </c>
      <c r="O24" s="18" t="n">
        <v>0</v>
      </c>
      <c r="P24" s="20" t="n">
        <v>0</v>
      </c>
      <c r="Q24" s="18" t="n">
        <v>30.41584287</v>
      </c>
      <c r="R24" s="20" t="n">
        <v>2.60348824</v>
      </c>
    </row>
    <row r="25" spans="1:18">
      <c r="A25" s="15" t="s">
        <v>449</v>
      </c>
      <c r="B25" s="17" t="n">
        <v>2912</v>
      </c>
      <c r="C25" s="18">
        <f>(2567.0/B25*100)</f>
        <v/>
      </c>
      <c r="D25" s="19" t="n">
        <v>345</v>
      </c>
      <c r="E25" s="18" t="n">
        <v>34.272639</v>
      </c>
      <c r="F25" s="20" t="n">
        <v>2.44049688</v>
      </c>
      <c r="G25" s="18" t="n">
        <v>51.67205336</v>
      </c>
      <c r="H25" s="20" t="n">
        <v>2.47944251</v>
      </c>
      <c r="I25" s="18" t="s">
        <v>431</v>
      </c>
      <c r="J25" s="20" t="s">
        <v>431</v>
      </c>
      <c r="K25" s="18" t="n">
        <v>1.60649724</v>
      </c>
      <c r="L25" s="20" t="n">
        <v>0.65084379</v>
      </c>
      <c r="M25" s="18" t="n">
        <v>0</v>
      </c>
      <c r="N25" s="20" t="n">
        <v>0</v>
      </c>
      <c r="O25" s="18" t="n">
        <v>0</v>
      </c>
      <c r="P25" s="20" t="n">
        <v>0</v>
      </c>
      <c r="Q25" s="18" t="n">
        <v>12.4488104</v>
      </c>
      <c r="R25" s="20" t="n">
        <v>1.78389491</v>
      </c>
    </row>
    <row r="26" spans="1:18">
      <c r="A26" s="15" t="s">
        <v>450</v>
      </c>
      <c r="B26" s="17" t="n">
        <v>2450</v>
      </c>
      <c r="C26" s="18">
        <f>(2158.0/B26*100)</f>
        <v/>
      </c>
      <c r="D26" s="19" t="n">
        <v>292</v>
      </c>
      <c r="E26" s="18" t="n">
        <v>48.76971727</v>
      </c>
      <c r="F26" s="20" t="n">
        <v>3.05491058</v>
      </c>
      <c r="G26" s="18" t="n">
        <v>36.035243</v>
      </c>
      <c r="H26" s="20" t="n">
        <v>2.95225949</v>
      </c>
      <c r="I26" s="18" t="s">
        <v>431</v>
      </c>
      <c r="J26" s="20" t="s">
        <v>431</v>
      </c>
      <c r="K26" s="18" t="n">
        <v>0.30653654</v>
      </c>
      <c r="L26" s="20" t="n">
        <v>0.30191699</v>
      </c>
      <c r="M26" s="18" t="n">
        <v>0.6811923</v>
      </c>
      <c r="N26" s="20" t="n">
        <v>0.68734003</v>
      </c>
      <c r="O26" s="18" t="n">
        <v>0</v>
      </c>
      <c r="P26" s="20" t="n">
        <v>0</v>
      </c>
      <c r="Q26" s="18" t="n">
        <v>14.20731089</v>
      </c>
      <c r="R26" s="20" t="n">
        <v>1.99108933</v>
      </c>
    </row>
    <row r="27" spans="1:18">
      <c r="A27" s="15" t="s">
        <v>451</v>
      </c>
      <c r="B27" s="17" t="n">
        <v>2616</v>
      </c>
      <c r="C27" s="18">
        <f>(2297.0/B27*100)</f>
        <v/>
      </c>
      <c r="D27" s="19" t="n">
        <v>319</v>
      </c>
      <c r="E27" s="18" t="n">
        <v>33.4414505</v>
      </c>
      <c r="F27" s="20" t="n">
        <v>2.89596908</v>
      </c>
      <c r="G27" s="18" t="n">
        <v>48.93686703</v>
      </c>
      <c r="H27" s="20" t="n">
        <v>3.03509178</v>
      </c>
      <c r="I27" s="18" t="s">
        <v>431</v>
      </c>
      <c r="J27" s="20" t="s">
        <v>431</v>
      </c>
      <c r="K27" s="18" t="n">
        <v>1.88050402</v>
      </c>
      <c r="L27" s="20" t="n">
        <v>0.7744556</v>
      </c>
      <c r="M27" s="18" t="n">
        <v>0</v>
      </c>
      <c r="N27" s="20" t="n">
        <v>0</v>
      </c>
      <c r="O27" s="18" t="n">
        <v>0</v>
      </c>
      <c r="P27" s="20" t="n">
        <v>0</v>
      </c>
      <c r="Q27" s="18" t="n">
        <v>15.74117845</v>
      </c>
      <c r="R27" s="20" t="n">
        <v>2.04569925</v>
      </c>
    </row>
    <row r="28" spans="1:18">
      <c r="A28" s="15" t="s">
        <v>452</v>
      </c>
      <c r="B28" s="17" t="n">
        <v>3765</v>
      </c>
      <c r="C28" s="18">
        <f>(3365.0/B28*100)</f>
        <v/>
      </c>
      <c r="D28" s="19" t="n">
        <v>400</v>
      </c>
      <c r="E28" s="18" t="n">
        <v>56.7992894</v>
      </c>
      <c r="F28" s="20" t="n">
        <v>2.85232979</v>
      </c>
      <c r="G28" s="18" t="n">
        <v>37.54041006</v>
      </c>
      <c r="H28" s="20" t="n">
        <v>2.64002751</v>
      </c>
      <c r="I28" s="18" t="s">
        <v>431</v>
      </c>
      <c r="J28" s="20" t="s">
        <v>431</v>
      </c>
      <c r="K28" s="18" t="n">
        <v>0.61649838</v>
      </c>
      <c r="L28" s="20" t="n">
        <v>0.3781927</v>
      </c>
      <c r="M28" s="18" t="n">
        <v>0.2169623</v>
      </c>
      <c r="N28" s="20" t="n">
        <v>0.2221397</v>
      </c>
      <c r="O28" s="18" t="n">
        <v>0</v>
      </c>
      <c r="P28" s="20" t="n">
        <v>0</v>
      </c>
      <c r="Q28" s="18" t="n">
        <v>4.82683986</v>
      </c>
      <c r="R28" s="20" t="n">
        <v>1.1942157</v>
      </c>
    </row>
    <row r="29" spans="1:18">
      <c r="A29" s="15" t="s">
        <v>453</v>
      </c>
      <c r="B29" s="17" t="n">
        <v>2685</v>
      </c>
      <c r="C29" s="18">
        <f>(2357.0/B29*100)</f>
        <v/>
      </c>
      <c r="D29" s="19" t="n">
        <v>328</v>
      </c>
      <c r="E29" s="18" t="n">
        <v>46.22971553</v>
      </c>
      <c r="F29" s="20" t="n">
        <v>3.1918699</v>
      </c>
      <c r="G29" s="18" t="n">
        <v>49.05544462</v>
      </c>
      <c r="H29" s="20" t="n">
        <v>3.18098191</v>
      </c>
      <c r="I29" s="18" t="s">
        <v>431</v>
      </c>
      <c r="J29" s="20" t="s">
        <v>431</v>
      </c>
      <c r="K29" s="18" t="n">
        <v>0.73933396</v>
      </c>
      <c r="L29" s="20" t="n">
        <v>0.42334956</v>
      </c>
      <c r="M29" s="18" t="n">
        <v>0</v>
      </c>
      <c r="N29" s="20" t="n">
        <v>0</v>
      </c>
      <c r="O29" s="18" t="n">
        <v>0</v>
      </c>
      <c r="P29" s="20" t="n">
        <v>0</v>
      </c>
      <c r="Q29" s="18" t="n">
        <v>3.97550588</v>
      </c>
      <c r="R29" s="20" t="n">
        <v>1.0029431</v>
      </c>
    </row>
    <row r="30" spans="1:18">
      <c r="A30" s="15" t="s">
        <v>454</v>
      </c>
      <c r="B30" s="17" t="n">
        <v>2263</v>
      </c>
      <c r="C30" s="18">
        <f>(1982.0/B30*100)</f>
        <v/>
      </c>
      <c r="D30" s="19" t="n">
        <v>281</v>
      </c>
      <c r="E30" s="18" t="n">
        <v>33.75663257</v>
      </c>
      <c r="F30" s="20" t="n">
        <v>3.33494092</v>
      </c>
      <c r="G30" s="18" t="n">
        <v>48.26749644</v>
      </c>
      <c r="H30" s="20" t="n">
        <v>2.88921906</v>
      </c>
      <c r="I30" s="18" t="s">
        <v>431</v>
      </c>
      <c r="J30" s="20" t="s">
        <v>431</v>
      </c>
      <c r="K30" s="18" t="n">
        <v>1.79276082</v>
      </c>
      <c r="L30" s="20" t="n">
        <v>0.6857373</v>
      </c>
      <c r="M30" s="18" t="n">
        <v>1.11260184</v>
      </c>
      <c r="N30" s="20" t="n">
        <v>0.80041332</v>
      </c>
      <c r="O30" s="18" t="n">
        <v>0</v>
      </c>
      <c r="P30" s="20" t="n">
        <v>0</v>
      </c>
      <c r="Q30" s="18" t="n">
        <v>15.07050832</v>
      </c>
      <c r="R30" s="20" t="n">
        <v>2.12561119</v>
      </c>
    </row>
    <row r="31" spans="1:18">
      <c r="A31" s="15" t="s">
        <v>455</v>
      </c>
      <c r="B31" s="17" t="n">
        <v>2750</v>
      </c>
      <c r="C31" s="18">
        <f>(2422.0/B31*100)</f>
        <v/>
      </c>
      <c r="D31" s="19" t="n">
        <v>328</v>
      </c>
      <c r="E31" s="18" t="n">
        <v>35.23826442</v>
      </c>
      <c r="F31" s="20" t="n">
        <v>2.58696133</v>
      </c>
      <c r="G31" s="18" t="n">
        <v>49.92827824</v>
      </c>
      <c r="H31" s="20" t="n">
        <v>2.85749212</v>
      </c>
      <c r="I31" s="18" t="s">
        <v>431</v>
      </c>
      <c r="J31" s="20" t="s">
        <v>431</v>
      </c>
      <c r="K31" s="18" t="n">
        <v>3.04642868</v>
      </c>
      <c r="L31" s="20" t="n">
        <v>0.85363498</v>
      </c>
      <c r="M31" s="18" t="n">
        <v>0.30471977</v>
      </c>
      <c r="N31" s="20" t="n">
        <v>0.28818545</v>
      </c>
      <c r="O31" s="18" t="n">
        <v>0</v>
      </c>
      <c r="P31" s="20" t="n">
        <v>0</v>
      </c>
      <c r="Q31" s="18" t="n">
        <v>11.48230889</v>
      </c>
      <c r="R31" s="20" t="n">
        <v>1.76891639</v>
      </c>
    </row>
    <row r="32" spans="1:18">
      <c r="A32" s="15" t="s">
        <v>456</v>
      </c>
      <c r="B32" s="17" t="n">
        <v>2269</v>
      </c>
      <c r="C32" s="18">
        <f>(1916.0/B32*100)</f>
        <v/>
      </c>
      <c r="D32" s="19" t="n">
        <v>353</v>
      </c>
      <c r="E32" s="18" t="n">
        <v>25.33328378</v>
      </c>
      <c r="F32" s="20" t="n">
        <v>2.57565607</v>
      </c>
      <c r="G32" s="18" t="n">
        <v>58.43016213</v>
      </c>
      <c r="H32" s="20" t="n">
        <v>2.87565822</v>
      </c>
      <c r="I32" s="18" t="s">
        <v>431</v>
      </c>
      <c r="J32" s="20" t="s">
        <v>431</v>
      </c>
      <c r="K32" s="18" t="n">
        <v>1.11292746</v>
      </c>
      <c r="L32" s="20" t="n">
        <v>0.53298011</v>
      </c>
      <c r="M32" s="18" t="n">
        <v>0.2677262</v>
      </c>
      <c r="N32" s="20" t="n">
        <v>0.2655708</v>
      </c>
      <c r="O32" s="18" t="n">
        <v>0</v>
      </c>
      <c r="P32" s="20" t="n">
        <v>0</v>
      </c>
      <c r="Q32" s="18" t="n">
        <v>14.85590042</v>
      </c>
      <c r="R32" s="20" t="n">
        <v>2.3454661</v>
      </c>
    </row>
    <row r="33" spans="1:18">
      <c r="A33" s="15" t="s">
        <v>457</v>
      </c>
      <c r="B33" s="17" t="n">
        <v>3674</v>
      </c>
      <c r="C33" s="18">
        <f>(3218.0/B33*100)</f>
        <v/>
      </c>
      <c r="D33" s="19" t="n">
        <v>456</v>
      </c>
      <c r="E33" s="18" t="n">
        <v>30.27538317</v>
      </c>
      <c r="F33" s="20" t="n">
        <v>2.57615421</v>
      </c>
      <c r="G33" s="18" t="n">
        <v>52.29770249</v>
      </c>
      <c r="H33" s="20" t="n">
        <v>2.92371563</v>
      </c>
      <c r="I33" s="18" t="s">
        <v>431</v>
      </c>
      <c r="J33" s="20" t="s">
        <v>431</v>
      </c>
      <c r="K33" s="18" t="n">
        <v>0.31321847</v>
      </c>
      <c r="L33" s="20" t="n">
        <v>0.27547122</v>
      </c>
      <c r="M33" s="18" t="n">
        <v>0</v>
      </c>
      <c r="N33" s="20" t="n">
        <v>0</v>
      </c>
      <c r="O33" s="18" t="n">
        <v>0</v>
      </c>
      <c r="P33" s="20" t="n">
        <v>0</v>
      </c>
      <c r="Q33" s="18" t="n">
        <v>17.11369587</v>
      </c>
      <c r="R33" s="20" t="n">
        <v>2.00832453</v>
      </c>
    </row>
    <row r="34" spans="1:18">
      <c r="A34" s="15" t="s">
        <v>458</v>
      </c>
      <c r="B34" s="17" t="n">
        <v>3315</v>
      </c>
      <c r="C34" s="18">
        <f>(2928.0/B34*100)</f>
        <v/>
      </c>
      <c r="D34" s="19" t="n">
        <v>387</v>
      </c>
      <c r="E34" s="18" t="n">
        <v>43.46879403</v>
      </c>
      <c r="F34" s="20" t="n">
        <v>3.25220448</v>
      </c>
      <c r="G34" s="18" t="n">
        <v>32.14531048</v>
      </c>
      <c r="H34" s="20" t="n">
        <v>2.53502293</v>
      </c>
      <c r="I34" s="18" t="s">
        <v>431</v>
      </c>
      <c r="J34" s="20" t="s">
        <v>431</v>
      </c>
      <c r="K34" s="18" t="n">
        <v>1.94328868</v>
      </c>
      <c r="L34" s="20" t="n">
        <v>0.67847354</v>
      </c>
      <c r="M34" s="18" t="n">
        <v>0</v>
      </c>
      <c r="N34" s="20" t="n">
        <v>0</v>
      </c>
      <c r="O34" s="18" t="n">
        <v>0</v>
      </c>
      <c r="P34" s="20" t="n">
        <v>0</v>
      </c>
      <c r="Q34" s="18" t="n">
        <v>22.44260682</v>
      </c>
      <c r="R34" s="20" t="n">
        <v>2.66711885</v>
      </c>
    </row>
    <row r="35" spans="1:18">
      <c r="A35" s="15" t="s">
        <v>459</v>
      </c>
      <c r="B35" s="17" t="n">
        <v>3505</v>
      </c>
      <c r="C35" s="18">
        <f>(3071.0/B35*100)</f>
        <v/>
      </c>
      <c r="D35" s="19" t="n">
        <v>434</v>
      </c>
      <c r="E35" s="18" t="n">
        <v>40.75895433</v>
      </c>
      <c r="F35" s="20" t="n">
        <v>2.8882694</v>
      </c>
      <c r="G35" s="18" t="n">
        <v>45.33249496</v>
      </c>
      <c r="H35" s="20" t="n">
        <v>2.95523274</v>
      </c>
      <c r="I35" s="18" t="s">
        <v>431</v>
      </c>
      <c r="J35" s="20" t="s">
        <v>431</v>
      </c>
      <c r="K35" s="18" t="n">
        <v>0.13117874</v>
      </c>
      <c r="L35" s="20" t="n">
        <v>0.13092447</v>
      </c>
      <c r="M35" s="18" t="n">
        <v>0</v>
      </c>
      <c r="N35" s="20" t="n">
        <v>0</v>
      </c>
      <c r="O35" s="18" t="n">
        <v>0</v>
      </c>
      <c r="P35" s="20" t="n">
        <v>0</v>
      </c>
      <c r="Q35" s="18" t="n">
        <v>13.77737197</v>
      </c>
      <c r="R35" s="20" t="n">
        <v>1.89863293</v>
      </c>
    </row>
    <row r="36" spans="1:18">
      <c r="A36" s="15" t="s">
        <v>460</v>
      </c>
      <c r="B36" s="17" t="n">
        <v>3332</v>
      </c>
      <c r="C36" s="18">
        <f>(2927.0/B36*100)</f>
        <v/>
      </c>
      <c r="D36" s="19" t="n">
        <v>405</v>
      </c>
      <c r="E36" s="18" t="n">
        <v>46.67819809</v>
      </c>
      <c r="F36" s="20" t="n">
        <v>2.48374515</v>
      </c>
      <c r="G36" s="18" t="n">
        <v>42.00548449</v>
      </c>
      <c r="H36" s="20" t="n">
        <v>2.3472668</v>
      </c>
      <c r="I36" s="18" t="s">
        <v>431</v>
      </c>
      <c r="J36" s="20" t="s">
        <v>431</v>
      </c>
      <c r="K36" s="18" t="n">
        <v>0.90813575</v>
      </c>
      <c r="L36" s="20" t="n">
        <v>0.45488886</v>
      </c>
      <c r="M36" s="18" t="n">
        <v>0.75634159</v>
      </c>
      <c r="N36" s="20" t="n">
        <v>0.55079756</v>
      </c>
      <c r="O36" s="18" t="n">
        <v>0</v>
      </c>
      <c r="P36" s="20" t="n">
        <v>0</v>
      </c>
      <c r="Q36" s="18" t="n">
        <v>9.651840079999999</v>
      </c>
      <c r="R36" s="20" t="n">
        <v>1.84809256</v>
      </c>
    </row>
    <row r="37" spans="1:18">
      <c r="A37" s="15" t="s">
        <v>461</v>
      </c>
      <c r="B37" s="17" t="n">
        <v>2727</v>
      </c>
      <c r="C37" s="18">
        <f>(2388.0/B37*100)</f>
        <v/>
      </c>
      <c r="D37" s="19" t="n">
        <v>339</v>
      </c>
      <c r="E37" s="18" t="n">
        <v>31.53130187</v>
      </c>
      <c r="F37" s="20" t="n">
        <v>2.66753777</v>
      </c>
      <c r="G37" s="18" t="n">
        <v>46.75286816</v>
      </c>
      <c r="H37" s="20" t="n">
        <v>2.98614993</v>
      </c>
      <c r="I37" s="18" t="s">
        <v>431</v>
      </c>
      <c r="J37" s="20" t="s">
        <v>431</v>
      </c>
      <c r="K37" s="18" t="n">
        <v>3.56119891</v>
      </c>
      <c r="L37" s="20" t="n">
        <v>1.02712862</v>
      </c>
      <c r="M37" s="18" t="n">
        <v>0</v>
      </c>
      <c r="N37" s="20" t="n">
        <v>0</v>
      </c>
      <c r="O37" s="18" t="n">
        <v>0</v>
      </c>
      <c r="P37" s="20" t="n">
        <v>0</v>
      </c>
      <c r="Q37" s="18" t="n">
        <v>18.15463106</v>
      </c>
      <c r="R37" s="20" t="n">
        <v>2.44499653</v>
      </c>
    </row>
    <row r="38" spans="1:18">
      <c r="A38" s="15" t="s">
        <v>462</v>
      </c>
      <c r="B38" s="17" t="n">
        <v>3053</v>
      </c>
      <c r="C38" s="18">
        <f>(2594.0/B38*100)</f>
        <v/>
      </c>
      <c r="D38" s="19" t="n">
        <v>459</v>
      </c>
      <c r="E38" s="18" t="n">
        <v>38.29854231</v>
      </c>
      <c r="F38" s="20" t="n">
        <v>2.38252656</v>
      </c>
      <c r="G38" s="18" t="n">
        <v>48.20949469</v>
      </c>
      <c r="H38" s="20" t="n">
        <v>2.52462002</v>
      </c>
      <c r="I38" s="18" t="s">
        <v>431</v>
      </c>
      <c r="J38" s="20" t="s">
        <v>431</v>
      </c>
      <c r="K38" s="18" t="n">
        <v>1.11736331</v>
      </c>
      <c r="L38" s="20" t="n">
        <v>0.4934084</v>
      </c>
      <c r="M38" s="18" t="n">
        <v>0.42270033</v>
      </c>
      <c r="N38" s="20" t="n">
        <v>0.42055304</v>
      </c>
      <c r="O38" s="18" t="n">
        <v>0</v>
      </c>
      <c r="P38" s="20" t="n">
        <v>0</v>
      </c>
      <c r="Q38" s="18" t="n">
        <v>11.95189936</v>
      </c>
      <c r="R38" s="20" t="n">
        <v>1.35839993</v>
      </c>
    </row>
    <row r="39" spans="1:18">
      <c r="A39" s="15" t="s">
        <v>463</v>
      </c>
      <c r="B39" s="17" t="n">
        <v>2957</v>
      </c>
      <c r="C39" s="18">
        <f>(2590.0/B39*100)</f>
        <v/>
      </c>
      <c r="D39" s="19" t="n">
        <v>367</v>
      </c>
      <c r="E39" s="18" t="n">
        <v>53.50945101</v>
      </c>
      <c r="F39" s="20" t="n">
        <v>3.12837466</v>
      </c>
      <c r="G39" s="18" t="n">
        <v>28.28322793</v>
      </c>
      <c r="H39" s="20" t="n">
        <v>2.85637255</v>
      </c>
      <c r="I39" s="18" t="s">
        <v>431</v>
      </c>
      <c r="J39" s="20" t="s">
        <v>431</v>
      </c>
      <c r="K39" s="18" t="n">
        <v>0.88988136</v>
      </c>
      <c r="L39" s="20" t="n">
        <v>0.49802565</v>
      </c>
      <c r="M39" s="18" t="n">
        <v>0.23528998</v>
      </c>
      <c r="N39" s="20" t="n">
        <v>0.24228373</v>
      </c>
      <c r="O39" s="18" t="n">
        <v>0</v>
      </c>
      <c r="P39" s="20" t="n">
        <v>0</v>
      </c>
      <c r="Q39" s="18" t="n">
        <v>17.08214972</v>
      </c>
      <c r="R39" s="20" t="n">
        <v>2.16948395</v>
      </c>
    </row>
    <row r="40" spans="1:18">
      <c r="A40" s="15" t="s">
        <v>464</v>
      </c>
      <c r="B40" s="17" t="n">
        <v>7235</v>
      </c>
      <c r="C40" s="18">
        <f>(6337.0/B40*100)</f>
        <v/>
      </c>
      <c r="D40" s="19" t="n">
        <v>898</v>
      </c>
      <c r="E40" s="18" t="n">
        <v>35.65120934</v>
      </c>
      <c r="F40" s="20" t="n">
        <v>2.2736073</v>
      </c>
      <c r="G40" s="18" t="n">
        <v>49.84695425</v>
      </c>
      <c r="H40" s="20" t="n">
        <v>2.61748236</v>
      </c>
      <c r="I40" s="18" t="s">
        <v>431</v>
      </c>
      <c r="J40" s="20" t="s">
        <v>431</v>
      </c>
      <c r="K40" s="18" t="n">
        <v>0.69822776</v>
      </c>
      <c r="L40" s="20" t="n">
        <v>0.29933457</v>
      </c>
      <c r="M40" s="18" t="n">
        <v>0.5641195</v>
      </c>
      <c r="N40" s="20" t="n">
        <v>0.40556912</v>
      </c>
      <c r="O40" s="18" t="n">
        <v>0</v>
      </c>
      <c r="P40" s="20" t="n">
        <v>0</v>
      </c>
      <c r="Q40" s="18" t="n">
        <v>13.23948915</v>
      </c>
      <c r="R40" s="20" t="n">
        <v>1.52294782</v>
      </c>
    </row>
    <row r="41" spans="1:18">
      <c r="A41" s="15" t="s">
        <v>465</v>
      </c>
      <c r="B41" s="17" t="n">
        <v>2858</v>
      </c>
      <c r="C41" s="18">
        <f>(2533.0/B41*100)</f>
        <v/>
      </c>
      <c r="D41" s="19" t="n">
        <v>325</v>
      </c>
      <c r="E41" s="18" t="n">
        <v>46.6622547</v>
      </c>
      <c r="F41" s="20" t="n">
        <v>2.62964982</v>
      </c>
      <c r="G41" s="18" t="n">
        <v>47.38539708</v>
      </c>
      <c r="H41" s="20" t="n">
        <v>2.76323478</v>
      </c>
      <c r="I41" s="18" t="s">
        <v>431</v>
      </c>
      <c r="J41" s="20" t="s">
        <v>431</v>
      </c>
      <c r="K41" s="18" t="n">
        <v>0.7681354</v>
      </c>
      <c r="L41" s="20" t="n">
        <v>0.5263347</v>
      </c>
      <c r="M41" s="18" t="n">
        <v>0</v>
      </c>
      <c r="N41" s="20" t="n">
        <v>0</v>
      </c>
      <c r="O41" s="18" t="n">
        <v>0</v>
      </c>
      <c r="P41" s="20" t="n">
        <v>0</v>
      </c>
      <c r="Q41" s="18" t="n">
        <v>5.18421282</v>
      </c>
      <c r="R41" s="20" t="n">
        <v>1.41490256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(10031.0/B46*100)</f>
        <v/>
      </c>
      <c r="D46" s="19" t="n">
        <v>1037</v>
      </c>
      <c r="E46" s="18" t="n">
        <v>54.16706236</v>
      </c>
      <c r="F46" s="20" t="n">
        <v>2.39636366</v>
      </c>
      <c r="G46" s="18" t="n">
        <v>25.21097769</v>
      </c>
      <c r="H46" s="20" t="n">
        <v>1.98397773</v>
      </c>
      <c r="I46" s="18" t="s">
        <v>431</v>
      </c>
      <c r="J46" s="20" t="s">
        <v>431</v>
      </c>
      <c r="K46" s="18" t="n">
        <v>3.41469856</v>
      </c>
      <c r="L46" s="20" t="n">
        <v>0.77243077</v>
      </c>
      <c r="M46" s="18" t="n">
        <v>0.67441515</v>
      </c>
      <c r="N46" s="20" t="n">
        <v>0.28222637</v>
      </c>
      <c r="O46" s="18" t="n">
        <v>0</v>
      </c>
      <c r="P46" s="20" t="n">
        <v>0</v>
      </c>
      <c r="Q46" s="18" t="n">
        <v>16.53284623</v>
      </c>
      <c r="R46" s="20" t="n">
        <v>1.60228712</v>
      </c>
    </row>
    <row r="47" spans="1:18">
      <c r="A47" s="15" t="s">
        <v>471</v>
      </c>
      <c r="B47" s="17" t="n">
        <v>3105</v>
      </c>
      <c r="C47" s="18">
        <f>(2721.0/B47*100)</f>
        <v/>
      </c>
      <c r="D47" s="19" t="n">
        <v>384</v>
      </c>
      <c r="E47" s="18" t="n">
        <v>36.76591911</v>
      </c>
      <c r="F47" s="20" t="n">
        <v>2.43332732</v>
      </c>
      <c r="G47" s="18" t="n">
        <v>26.55416961</v>
      </c>
      <c r="H47" s="20" t="n">
        <v>2.51910828</v>
      </c>
      <c r="I47" s="18" t="s">
        <v>431</v>
      </c>
      <c r="J47" s="20" t="s">
        <v>431</v>
      </c>
      <c r="K47" s="18" t="n">
        <v>3.90149817</v>
      </c>
      <c r="L47" s="20" t="n">
        <v>1.09984941</v>
      </c>
      <c r="M47" s="18" t="n">
        <v>0</v>
      </c>
      <c r="N47" s="20" t="n">
        <v>0</v>
      </c>
      <c r="O47" s="18" t="n">
        <v>0</v>
      </c>
      <c r="P47" s="20" t="n">
        <v>0</v>
      </c>
      <c r="Q47" s="18" t="n">
        <v>32.77841311</v>
      </c>
      <c r="R47" s="20" t="n">
        <v>2.41718198</v>
      </c>
    </row>
    <row r="48" spans="1:18">
      <c r="A48" s="15" t="s">
        <v>472</v>
      </c>
      <c r="B48" s="17" t="n">
        <v>5159</v>
      </c>
      <c r="C48" s="18">
        <f>(4536.0/B48*100)</f>
        <v/>
      </c>
      <c r="D48" s="19" t="n">
        <v>623</v>
      </c>
      <c r="E48" s="18" t="n">
        <v>56.64171219</v>
      </c>
      <c r="F48" s="20" t="n">
        <v>2.61944849</v>
      </c>
      <c r="G48" s="18" t="n">
        <v>31.48035539</v>
      </c>
      <c r="H48" s="20" t="n">
        <v>2.41557446</v>
      </c>
      <c r="I48" s="18" t="s">
        <v>431</v>
      </c>
      <c r="J48" s="20" t="s">
        <v>431</v>
      </c>
      <c r="K48" s="18" t="n">
        <v>1.1604703</v>
      </c>
      <c r="L48" s="20" t="n">
        <v>0.54003659</v>
      </c>
      <c r="M48" s="18" t="n">
        <v>0.00914301</v>
      </c>
      <c r="N48" s="20" t="n">
        <v>0.0092367</v>
      </c>
      <c r="O48" s="18" t="n">
        <v>0</v>
      </c>
      <c r="P48" s="20" t="n">
        <v>0</v>
      </c>
      <c r="Q48" s="18" t="n">
        <v>10.7083191</v>
      </c>
      <c r="R48" s="20" t="n">
        <v>1.44609866</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(4970.0/B50*100)</f>
        <v/>
      </c>
      <c r="D50" s="19" t="n">
        <v>667</v>
      </c>
      <c r="E50" s="18" t="n">
        <v>63.50647222</v>
      </c>
      <c r="F50" s="20" t="n">
        <v>2.63291656</v>
      </c>
      <c r="G50" s="18" t="n">
        <v>23.82813643</v>
      </c>
      <c r="H50" s="20" t="n">
        <v>2.34084861</v>
      </c>
      <c r="I50" s="18" t="s">
        <v>431</v>
      </c>
      <c r="J50" s="20" t="s">
        <v>431</v>
      </c>
      <c r="K50" s="18" t="n">
        <v>2.32827114</v>
      </c>
      <c r="L50" s="20" t="n">
        <v>0.82709776</v>
      </c>
      <c r="M50" s="18" t="n">
        <v>0.04577969</v>
      </c>
      <c r="N50" s="20" t="n">
        <v>0.04567759</v>
      </c>
      <c r="O50" s="18" t="n">
        <v>0</v>
      </c>
      <c r="P50" s="20" t="n">
        <v>0</v>
      </c>
      <c r="Q50" s="18" t="n">
        <v>10.29134051</v>
      </c>
      <c r="R50" s="20" t="n">
        <v>1.70286959</v>
      </c>
    </row>
    <row r="51" spans="1:18">
      <c r="A51" s="15" t="s">
        <v>475</v>
      </c>
      <c r="B51" s="17" t="n">
        <v>3372</v>
      </c>
      <c r="C51" s="18">
        <f>(3015.0/B51*100)</f>
        <v/>
      </c>
      <c r="D51" s="19" t="n">
        <v>357</v>
      </c>
      <c r="E51" s="18" t="n">
        <v>50.93262458</v>
      </c>
      <c r="F51" s="20" t="n">
        <v>2.80170897</v>
      </c>
      <c r="G51" s="18" t="n">
        <v>37.15833104</v>
      </c>
      <c r="H51" s="20" t="n">
        <v>3.07824089</v>
      </c>
      <c r="I51" s="18" t="s">
        <v>431</v>
      </c>
      <c r="J51" s="20" t="s">
        <v>431</v>
      </c>
      <c r="K51" s="18" t="n">
        <v>0.7092237300000001</v>
      </c>
      <c r="L51" s="20" t="n">
        <v>0.42188463</v>
      </c>
      <c r="M51" s="18" t="n">
        <v>0</v>
      </c>
      <c r="N51" s="20" t="n">
        <v>0</v>
      </c>
      <c r="O51" s="18" t="n">
        <v>0</v>
      </c>
      <c r="P51" s="20" t="n">
        <v>0</v>
      </c>
      <c r="Q51" s="18" t="n">
        <v>11.19982065</v>
      </c>
      <c r="R51" s="20" t="n">
        <v>1.7119752</v>
      </c>
    </row>
    <row r="52" spans="1:18">
      <c r="A52" s="15" t="s">
        <v>476</v>
      </c>
      <c r="B52" s="17" t="n">
        <v>2796</v>
      </c>
      <c r="C52" s="18">
        <f>(2444.0/B52*100)</f>
        <v/>
      </c>
      <c r="D52" s="19" t="n">
        <v>352</v>
      </c>
      <c r="E52" s="18" t="n">
        <v>36.95158273</v>
      </c>
      <c r="F52" s="20" t="n">
        <v>3.01257414</v>
      </c>
      <c r="G52" s="18" t="n">
        <v>42.12719352</v>
      </c>
      <c r="H52" s="20" t="n">
        <v>2.6610364</v>
      </c>
      <c r="I52" s="18" t="s">
        <v>431</v>
      </c>
      <c r="J52" s="20" t="s">
        <v>431</v>
      </c>
      <c r="K52" s="18" t="n">
        <v>0.90136547</v>
      </c>
      <c r="L52" s="20" t="n">
        <v>0.54336345</v>
      </c>
      <c r="M52" s="18" t="n">
        <v>0</v>
      </c>
      <c r="N52" s="20" t="n">
        <v>0</v>
      </c>
      <c r="O52" s="18" t="n">
        <v>0</v>
      </c>
      <c r="P52" s="20" t="n">
        <v>0</v>
      </c>
      <c r="Q52" s="18" t="n">
        <v>20.01985827</v>
      </c>
      <c r="R52" s="20" t="n">
        <v>2.07937351</v>
      </c>
    </row>
    <row r="53" spans="1:18">
      <c r="A53" s="15" t="s">
        <v>477</v>
      </c>
      <c r="B53" s="17" t="n">
        <v>2811</v>
      </c>
      <c r="C53" s="18">
        <f>(2484.0/B53*100)</f>
        <v/>
      </c>
      <c r="D53" s="19" t="n">
        <v>327</v>
      </c>
      <c r="E53" s="18" t="n">
        <v>43.80696005</v>
      </c>
      <c r="F53" s="20" t="n">
        <v>2.82208668</v>
      </c>
      <c r="G53" s="18" t="n">
        <v>27.32075543</v>
      </c>
      <c r="H53" s="20" t="n">
        <v>2.67242123</v>
      </c>
      <c r="I53" s="18" t="s">
        <v>431</v>
      </c>
      <c r="J53" s="20" t="s">
        <v>431</v>
      </c>
      <c r="K53" s="18" t="n">
        <v>4.56599078</v>
      </c>
      <c r="L53" s="20" t="n">
        <v>1.19069623</v>
      </c>
      <c r="M53" s="18" t="n">
        <v>0</v>
      </c>
      <c r="N53" s="20" t="n">
        <v>0</v>
      </c>
      <c r="O53" s="18" t="n">
        <v>0</v>
      </c>
      <c r="P53" s="20" t="n">
        <v>0</v>
      </c>
      <c r="Q53" s="18" t="n">
        <v>24.30629374</v>
      </c>
      <c r="R53" s="20" t="n">
        <v>2.5150386</v>
      </c>
    </row>
    <row r="54" spans="1:18">
      <c r="A54" s="15" t="s">
        <v>478</v>
      </c>
      <c r="B54" s="17" t="n">
        <v>2266</v>
      </c>
      <c r="C54" s="18">
        <f>(1885.0/B54*100)</f>
        <v/>
      </c>
      <c r="D54" s="19" t="n">
        <v>381</v>
      </c>
      <c r="E54" s="18" t="n">
        <v>54.52092168</v>
      </c>
      <c r="F54" s="20" t="n">
        <v>3.06994097</v>
      </c>
      <c r="G54" s="18" t="n">
        <v>15.25525564</v>
      </c>
      <c r="H54" s="20" t="n">
        <v>1.99722372</v>
      </c>
      <c r="I54" s="18" t="s">
        <v>431</v>
      </c>
      <c r="J54" s="20" t="s">
        <v>431</v>
      </c>
      <c r="K54" s="18" t="n">
        <v>13.80501947</v>
      </c>
      <c r="L54" s="20" t="n">
        <v>1.82087194</v>
      </c>
      <c r="M54" s="18" t="n">
        <v>0.78110389</v>
      </c>
      <c r="N54" s="20" t="n">
        <v>0.75475629</v>
      </c>
      <c r="O54" s="18" t="n">
        <v>0</v>
      </c>
      <c r="P54" s="20" t="n">
        <v>0</v>
      </c>
      <c r="Q54" s="18" t="n">
        <v>15.63769932</v>
      </c>
      <c r="R54" s="20" t="n">
        <v>1.81959673</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(2358.0/B56*100)</f>
        <v/>
      </c>
      <c r="D56" s="19" t="n">
        <v>326</v>
      </c>
      <c r="E56" s="18" t="n">
        <v>43.45195822</v>
      </c>
      <c r="F56" s="20" t="n">
        <v>2.70670975</v>
      </c>
      <c r="G56" s="18" t="n">
        <v>46.86401193</v>
      </c>
      <c r="H56" s="20" t="n">
        <v>2.69521396</v>
      </c>
      <c r="I56" s="18" t="s">
        <v>431</v>
      </c>
      <c r="J56" s="20" t="s">
        <v>431</v>
      </c>
      <c r="K56" s="18" t="n">
        <v>1.04565979</v>
      </c>
      <c r="L56" s="20" t="n">
        <v>0.62713317</v>
      </c>
      <c r="M56" s="18" t="n">
        <v>0</v>
      </c>
      <c r="N56" s="20" t="n">
        <v>0</v>
      </c>
      <c r="O56" s="18" t="n">
        <v>0</v>
      </c>
      <c r="P56" s="20" t="n">
        <v>0</v>
      </c>
      <c r="Q56" s="18" t="n">
        <v>8.63837006</v>
      </c>
      <c r="R56" s="20" t="n">
        <v>1.84177054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(2905.0/B61*100)</f>
        <v/>
      </c>
      <c r="D61" s="19" t="n">
        <v>419</v>
      </c>
      <c r="E61" s="18" t="n">
        <v>36.41105247</v>
      </c>
      <c r="F61" s="20" t="n">
        <v>2.71728829</v>
      </c>
      <c r="G61" s="18" t="n">
        <v>45.27149412</v>
      </c>
      <c r="H61" s="20" t="n">
        <v>2.52951207</v>
      </c>
      <c r="I61" s="18" t="s">
        <v>431</v>
      </c>
      <c r="J61" s="20" t="s">
        <v>431</v>
      </c>
      <c r="K61" s="18" t="n">
        <v>0.88228394</v>
      </c>
      <c r="L61" s="20" t="n">
        <v>0.44688175</v>
      </c>
      <c r="M61" s="18" t="n">
        <v>0</v>
      </c>
      <c r="N61" s="20" t="n">
        <v>0</v>
      </c>
      <c r="O61" s="18" t="n">
        <v>0</v>
      </c>
      <c r="P61" s="20" t="n">
        <v>0</v>
      </c>
      <c r="Q61" s="18" t="n">
        <v>17.43516948</v>
      </c>
      <c r="R61" s="20" t="n">
        <v>2.3451558</v>
      </c>
    </row>
    <row r="62" spans="1:18">
      <c r="A62" s="15" t="s">
        <v>486</v>
      </c>
      <c r="B62" s="17" t="n">
        <v>2246</v>
      </c>
      <c r="C62" s="18">
        <f>(1997.0/B62*100)</f>
        <v/>
      </c>
      <c r="D62" s="19" t="n">
        <v>249</v>
      </c>
      <c r="E62" s="18" t="n">
        <v>63.33277778</v>
      </c>
      <c r="F62" s="20" t="n">
        <v>2.99018344</v>
      </c>
      <c r="G62" s="18" t="n">
        <v>33.82382573</v>
      </c>
      <c r="H62" s="20" t="n">
        <v>3.05082316</v>
      </c>
      <c r="I62" s="18" t="s">
        <v>431</v>
      </c>
      <c r="J62" s="20" t="s">
        <v>431</v>
      </c>
      <c r="K62" s="18" t="n">
        <v>0</v>
      </c>
      <c r="L62" s="20" t="n">
        <v>0</v>
      </c>
      <c r="M62" s="18" t="n">
        <v>0</v>
      </c>
      <c r="N62" s="20" t="n">
        <v>0</v>
      </c>
      <c r="O62" s="18" t="n">
        <v>0</v>
      </c>
      <c r="P62" s="20" t="n">
        <v>0</v>
      </c>
      <c r="Q62" s="18" t="n">
        <v>2.84339649</v>
      </c>
      <c r="R62" s="20" t="n">
        <v>1.0280116</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(2565.0/B66*100)</f>
        <v/>
      </c>
      <c r="D66" s="19" t="n">
        <v>329</v>
      </c>
      <c r="E66" s="18" t="n">
        <v>27.42671855</v>
      </c>
      <c r="F66" s="20" t="n">
        <v>2.34359547</v>
      </c>
      <c r="G66" s="18" t="n">
        <v>30.29647016</v>
      </c>
      <c r="H66" s="20" t="n">
        <v>3.09659105</v>
      </c>
      <c r="I66" s="18" t="s">
        <v>431</v>
      </c>
      <c r="J66" s="20" t="s">
        <v>431</v>
      </c>
      <c r="K66" s="18" t="n">
        <v>3.78798797</v>
      </c>
      <c r="L66" s="20" t="n">
        <v>1.11495127</v>
      </c>
      <c r="M66" s="18" t="n">
        <v>1.58408435</v>
      </c>
      <c r="N66" s="20" t="n">
        <v>0.69558347</v>
      </c>
      <c r="O66" s="18" t="n">
        <v>0</v>
      </c>
      <c r="P66" s="20" t="n">
        <v>0</v>
      </c>
      <c r="Q66" s="18" t="n">
        <v>36.90473898</v>
      </c>
      <c r="R66" s="20" t="n">
        <v>3.00686015</v>
      </c>
    </row>
    <row r="67" spans="1:18">
      <c r="A67" s="15" t="s">
        <v>491</v>
      </c>
      <c r="B67" s="17" t="n">
        <v>3511</v>
      </c>
      <c r="C67" s="18">
        <f>(3132.0/B67*100)</f>
        <v/>
      </c>
      <c r="D67" s="19" t="n">
        <v>379</v>
      </c>
      <c r="E67" s="18" t="n">
        <v>64.32883259</v>
      </c>
      <c r="F67" s="20" t="n">
        <v>2.75478737</v>
      </c>
      <c r="G67" s="18" t="n">
        <v>23.81386435</v>
      </c>
      <c r="H67" s="20" t="n">
        <v>2.46348871</v>
      </c>
      <c r="I67" s="18" t="s">
        <v>431</v>
      </c>
      <c r="J67" s="20" t="s">
        <v>431</v>
      </c>
      <c r="K67" s="18" t="n">
        <v>0.53428458</v>
      </c>
      <c r="L67" s="20" t="n">
        <v>0.38189578</v>
      </c>
      <c r="M67" s="18" t="n">
        <v>0</v>
      </c>
      <c r="N67" s="20" t="n">
        <v>0</v>
      </c>
      <c r="O67" s="18" t="n">
        <v>0</v>
      </c>
      <c r="P67" s="20" t="n">
        <v>0</v>
      </c>
      <c r="Q67" s="18" t="n">
        <v>11.32301849</v>
      </c>
      <c r="R67" s="20" t="n">
        <v>1.71127995</v>
      </c>
    </row>
    <row r="68" spans="1:18">
      <c r="A68" s="15" t="s">
        <v>492</v>
      </c>
      <c r="B68" s="17" t="n">
        <v>6049</v>
      </c>
      <c r="C68" s="18">
        <f>(5054.0/B68*100)</f>
        <v/>
      </c>
      <c r="D68" s="19" t="n">
        <v>995</v>
      </c>
      <c r="E68" s="18" t="n">
        <v>50.27237713</v>
      </c>
      <c r="F68" s="20" t="n">
        <v>1.61061026</v>
      </c>
      <c r="G68" s="18" t="n">
        <v>26.37400084</v>
      </c>
      <c r="H68" s="20" t="n">
        <v>1.39097215</v>
      </c>
      <c r="I68" s="18" t="s">
        <v>431</v>
      </c>
      <c r="J68" s="20" t="s">
        <v>431</v>
      </c>
      <c r="K68" s="18" t="n">
        <v>7.36874552</v>
      </c>
      <c r="L68" s="20" t="n">
        <v>0.81356911</v>
      </c>
      <c r="M68" s="18" t="n">
        <v>0.09715654</v>
      </c>
      <c r="N68" s="20" t="n">
        <v>0.09707150000000001</v>
      </c>
      <c r="O68" s="18" t="n">
        <v>0</v>
      </c>
      <c r="P68" s="20" t="n">
        <v>0</v>
      </c>
      <c r="Q68" s="18" t="n">
        <v>15.88771997</v>
      </c>
      <c r="R68" s="20" t="n">
        <v>0.9330937500000001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(2614.0/B70*100)</f>
        <v/>
      </c>
      <c r="D70" s="19" t="n">
        <v>315</v>
      </c>
      <c r="E70" s="18" t="n">
        <v>32.96825511</v>
      </c>
      <c r="F70" s="20" t="n">
        <v>2.79087452</v>
      </c>
      <c r="G70" s="18" t="n">
        <v>55.76114092</v>
      </c>
      <c r="H70" s="20" t="n">
        <v>3.04772276</v>
      </c>
      <c r="I70" s="18" t="s">
        <v>431</v>
      </c>
      <c r="J70" s="20" t="s">
        <v>431</v>
      </c>
      <c r="K70" s="18" t="n">
        <v>0.94252456</v>
      </c>
      <c r="L70" s="20" t="n">
        <v>0.51534541</v>
      </c>
      <c r="M70" s="18" t="n">
        <v>0</v>
      </c>
      <c r="N70" s="20" t="n">
        <v>0</v>
      </c>
      <c r="O70" s="18" t="n">
        <v>0</v>
      </c>
      <c r="P70" s="20" t="n">
        <v>0</v>
      </c>
      <c r="Q70" s="18" t="n">
        <v>10.32807941</v>
      </c>
      <c r="R70" s="20" t="n">
        <v>1.81764495</v>
      </c>
    </row>
    <row r="71" spans="1:18">
      <c r="A71" s="15" t="s">
        <v>495</v>
      </c>
      <c r="B71" s="17" t="n">
        <v>3142</v>
      </c>
      <c r="C71" s="18">
        <f>(2759.0/B71*100)</f>
        <v/>
      </c>
      <c r="D71" s="19" t="n">
        <v>383</v>
      </c>
      <c r="E71" s="18" t="n">
        <v>32.37396979</v>
      </c>
      <c r="F71" s="20" t="n">
        <v>2.79885465</v>
      </c>
      <c r="G71" s="18" t="n">
        <v>64.95345476999999</v>
      </c>
      <c r="H71" s="20" t="n">
        <v>2.73045008</v>
      </c>
      <c r="I71" s="18" t="s">
        <v>431</v>
      </c>
      <c r="J71" s="20" t="s">
        <v>431</v>
      </c>
      <c r="K71" s="18" t="n">
        <v>0.55287687</v>
      </c>
      <c r="L71" s="20" t="n">
        <v>0.38971539</v>
      </c>
      <c r="M71" s="18" t="n">
        <v>0.13654429</v>
      </c>
      <c r="N71" s="20" t="n">
        <v>0.13968033</v>
      </c>
      <c r="O71" s="18" t="n">
        <v>0</v>
      </c>
      <c r="P71" s="20" t="n">
        <v>0</v>
      </c>
      <c r="Q71" s="18" t="n">
        <v>1.98315428</v>
      </c>
      <c r="R71" s="20" t="n">
        <v>0.7124957</v>
      </c>
    </row>
    <row r="72" spans="1:18">
      <c r="A72" s="15" t="s">
        <v>496</v>
      </c>
      <c r="B72" s="17" t="n">
        <v>3889</v>
      </c>
      <c r="C72" s="18">
        <f>(3395.0/B72*100)</f>
        <v/>
      </c>
      <c r="D72" s="19" t="n">
        <v>494</v>
      </c>
      <c r="E72" s="18" t="n">
        <v>49.84691639</v>
      </c>
      <c r="F72" s="20" t="n">
        <v>2.29865028</v>
      </c>
      <c r="G72" s="18" t="n">
        <v>40.57034107</v>
      </c>
      <c r="H72" s="20" t="n">
        <v>2.35236374</v>
      </c>
      <c r="I72" s="18" t="s">
        <v>431</v>
      </c>
      <c r="J72" s="20" t="s">
        <v>431</v>
      </c>
      <c r="K72" s="18" t="n">
        <v>1.02772421</v>
      </c>
      <c r="L72" s="20" t="n">
        <v>0.33573083</v>
      </c>
      <c r="M72" s="18" t="n">
        <v>0</v>
      </c>
      <c r="N72" s="20" t="n">
        <v>0</v>
      </c>
      <c r="O72" s="18" t="n">
        <v>0</v>
      </c>
      <c r="P72" s="20" t="n">
        <v>0</v>
      </c>
      <c r="Q72" s="18" t="n">
        <v>8.555018329999999</v>
      </c>
      <c r="R72" s="20" t="n">
        <v>1.15980521</v>
      </c>
    </row>
    <row r="73" spans="1:18">
      <c r="A73" s="15" t="s">
        <v>497</v>
      </c>
      <c r="B73" s="17" t="n">
        <v>3597</v>
      </c>
      <c r="C73" s="18">
        <f>(3181.0/B73*100)</f>
        <v/>
      </c>
      <c r="D73" s="19" t="n">
        <v>416</v>
      </c>
      <c r="E73" s="18" t="n">
        <v>77.30907683</v>
      </c>
      <c r="F73" s="20" t="n">
        <v>2.85401551</v>
      </c>
      <c r="G73" s="18" t="n">
        <v>17.73308224</v>
      </c>
      <c r="H73" s="20" t="n">
        <v>2.54516579</v>
      </c>
      <c r="I73" s="18" t="s">
        <v>431</v>
      </c>
      <c r="J73" s="20" t="s">
        <v>431</v>
      </c>
      <c r="K73" s="18" t="n">
        <v>0.02720091</v>
      </c>
      <c r="L73" s="20" t="n">
        <v>0.02750419</v>
      </c>
      <c r="M73" s="18" t="n">
        <v>0</v>
      </c>
      <c r="N73" s="20" t="n">
        <v>0</v>
      </c>
      <c r="O73" s="18" t="n">
        <v>0</v>
      </c>
      <c r="P73" s="20" t="n">
        <v>0</v>
      </c>
      <c r="Q73" s="18" t="n">
        <v>4.93064002</v>
      </c>
      <c r="R73" s="20" t="n">
        <v>1.0622615</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(2151.0/B75*100)</f>
        <v/>
      </c>
      <c r="D75" s="19" t="n">
        <v>255</v>
      </c>
      <c r="E75" s="18" t="n">
        <v>41.90990091</v>
      </c>
      <c r="F75" s="20" t="n">
        <v>3.54409436</v>
      </c>
      <c r="G75" s="18" t="n">
        <v>19.33309903</v>
      </c>
      <c r="H75" s="20" t="n">
        <v>2.76838285</v>
      </c>
      <c r="I75" s="18" t="s">
        <v>431</v>
      </c>
      <c r="J75" s="20" t="s">
        <v>431</v>
      </c>
      <c r="K75" s="18" t="n">
        <v>4.27792746</v>
      </c>
      <c r="L75" s="20" t="n">
        <v>1.27108901</v>
      </c>
      <c r="M75" s="18" t="n">
        <v>1.5273703</v>
      </c>
      <c r="N75" s="20" t="n">
        <v>0.87834915</v>
      </c>
      <c r="O75" s="18" t="n">
        <v>0</v>
      </c>
      <c r="P75" s="20" t="n">
        <v>0</v>
      </c>
      <c r="Q75" s="18" t="n">
        <v>32.9517023</v>
      </c>
      <c r="R75" s="20" t="n">
        <v>2.82836515</v>
      </c>
    </row>
    <row r="76" spans="1:18">
      <c r="A76" s="15" t="s">
        <v>500</v>
      </c>
      <c r="B76" s="17" t="n">
        <v>7052</v>
      </c>
      <c r="C76" s="18">
        <f>(6221.0/B76*100)</f>
        <v/>
      </c>
      <c r="D76" s="19" t="n">
        <v>831</v>
      </c>
      <c r="E76" s="18" t="n">
        <v>53.41600391</v>
      </c>
      <c r="F76" s="20" t="n">
        <v>2.52298832</v>
      </c>
      <c r="G76" s="18" t="n">
        <v>31.49929681</v>
      </c>
      <c r="H76" s="20" t="n">
        <v>2.13633806</v>
      </c>
      <c r="I76" s="18" t="s">
        <v>431</v>
      </c>
      <c r="J76" s="20" t="s">
        <v>431</v>
      </c>
      <c r="K76" s="18" t="n">
        <v>2.17187498</v>
      </c>
      <c r="L76" s="20" t="n">
        <v>0.60085893</v>
      </c>
      <c r="M76" s="18" t="n">
        <v>0.3727528</v>
      </c>
      <c r="N76" s="20" t="n">
        <v>0.2223884</v>
      </c>
      <c r="O76" s="18" t="n">
        <v>0</v>
      </c>
      <c r="P76" s="20" t="n">
        <v>0</v>
      </c>
      <c r="Q76" s="18" t="n">
        <v>12.5400715</v>
      </c>
      <c r="R76" s="20" t="n">
        <v>1.56194629</v>
      </c>
    </row>
    <row r="77" spans="1:18">
      <c r="A77" s="15" t="s">
        <v>501</v>
      </c>
      <c r="B77" s="17" t="n">
        <v>2908</v>
      </c>
      <c r="C77" s="18">
        <f>(2555.0/B77*100)</f>
        <v/>
      </c>
      <c r="D77" s="19" t="n">
        <v>353</v>
      </c>
      <c r="E77" s="18" t="n">
        <v>42.06549199</v>
      </c>
      <c r="F77" s="20" t="n">
        <v>2.53297481</v>
      </c>
      <c r="G77" s="18" t="n">
        <v>30.58294765</v>
      </c>
      <c r="H77" s="20" t="n">
        <v>2.42127873</v>
      </c>
      <c r="I77" s="18" t="s">
        <v>431</v>
      </c>
      <c r="J77" s="20" t="s">
        <v>431</v>
      </c>
      <c r="K77" s="18" t="n">
        <v>3.40817881</v>
      </c>
      <c r="L77" s="20" t="n">
        <v>1.06205165</v>
      </c>
      <c r="M77" s="18" t="n">
        <v>0.31379766</v>
      </c>
      <c r="N77" s="20" t="n">
        <v>0.32369587</v>
      </c>
      <c r="O77" s="18" t="n">
        <v>0</v>
      </c>
      <c r="P77" s="20" t="n">
        <v>0</v>
      </c>
      <c r="Q77" s="18" t="n">
        <v>23.62958388</v>
      </c>
      <c r="R77" s="20" t="n">
        <v>2.2989352</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(3668.0/B81*100)</f>
        <v/>
      </c>
      <c r="D81" s="19" t="n">
        <v>495</v>
      </c>
      <c r="E81" s="18" t="n">
        <v>60.53653149</v>
      </c>
      <c r="F81" s="20" t="n">
        <v>3.06901906</v>
      </c>
      <c r="G81" s="18" t="n">
        <v>31.64680145</v>
      </c>
      <c r="H81" s="20" t="n">
        <v>3.00947933</v>
      </c>
      <c r="I81" s="18" t="s">
        <v>431</v>
      </c>
      <c r="J81" s="20" t="s">
        <v>431</v>
      </c>
      <c r="K81" s="18" t="n">
        <v>0.79308148</v>
      </c>
      <c r="L81" s="20" t="n">
        <v>0.55395528</v>
      </c>
      <c r="M81" s="18" t="n">
        <v>0</v>
      </c>
      <c r="N81" s="20" t="n">
        <v>0</v>
      </c>
      <c r="O81" s="18" t="n">
        <v>0</v>
      </c>
      <c r="P81" s="20" t="n">
        <v>0</v>
      </c>
      <c r="Q81" s="18" t="n">
        <v>7.02358558</v>
      </c>
      <c r="R81" s="20" t="n">
        <v>1.48495063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547</v>
      </c>
    </row>
    <row customHeight="1" ht="30" r="4" spans="1:20">
      <c r="A4" s="6" t="n"/>
      <c r="B4" s="7" t="s">
        <v>415</v>
      </c>
      <c r="C4" s="7" t="s">
        <v>416</v>
      </c>
      <c r="D4" s="8" t="s">
        <v>415</v>
      </c>
      <c r="E4" s="9" t="s">
        <v>417</v>
      </c>
      <c r="F4" s="10" t="n"/>
      <c r="G4" s="9" t="s">
        <v>548</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(6515.0/B7*100)</f>
        <v/>
      </c>
      <c r="D7" s="19" t="n">
        <v>852</v>
      </c>
      <c r="E7" s="18" t="n">
        <v>26.96405662</v>
      </c>
      <c r="F7" s="20" t="n">
        <v>1.67439751</v>
      </c>
      <c r="G7" s="18" t="n">
        <v>16.98321666</v>
      </c>
      <c r="H7" s="20" t="n">
        <v>1.60816444</v>
      </c>
      <c r="I7" s="18" t="n">
        <v>47.79301641</v>
      </c>
      <c r="J7" s="20" t="n">
        <v>2.05421592</v>
      </c>
      <c r="K7" s="18" t="s">
        <v>431</v>
      </c>
      <c r="L7" s="20" t="s">
        <v>431</v>
      </c>
      <c r="M7" s="18" t="n">
        <v>1.66262665</v>
      </c>
      <c r="N7" s="20" t="n">
        <v>0.57642852</v>
      </c>
      <c r="O7" s="18" t="n">
        <v>0.05345012</v>
      </c>
      <c r="P7" s="20" t="n">
        <v>0.04100603</v>
      </c>
      <c r="Q7" s="18" t="n">
        <v>0</v>
      </c>
      <c r="R7" s="20" t="n">
        <v>0</v>
      </c>
      <c r="S7" s="18" t="n">
        <v>6.54363353</v>
      </c>
      <c r="T7" s="20" t="n">
        <v>0.95966099</v>
      </c>
    </row>
    <row r="8" spans="1:20">
      <c r="A8" s="15" t="s">
        <v>432</v>
      </c>
      <c r="B8" s="17" t="n">
        <v>3564</v>
      </c>
      <c r="C8" s="18">
        <f>(3156.0/B8*100)</f>
        <v/>
      </c>
      <c r="D8" s="19" t="n">
        <v>408</v>
      </c>
      <c r="E8" s="18" t="n">
        <v>31.80236441</v>
      </c>
      <c r="F8" s="20" t="n">
        <v>2.96813816</v>
      </c>
      <c r="G8" s="18" t="n">
        <v>31.81621074</v>
      </c>
      <c r="H8" s="20" t="n">
        <v>2.72375679</v>
      </c>
      <c r="I8" s="18" t="n">
        <v>28.33593634</v>
      </c>
      <c r="J8" s="20" t="n">
        <v>2.23985465</v>
      </c>
      <c r="K8" s="18" t="s">
        <v>431</v>
      </c>
      <c r="L8" s="20" t="s">
        <v>431</v>
      </c>
      <c r="M8" s="18" t="n">
        <v>1.14972095</v>
      </c>
      <c r="N8" s="20" t="n">
        <v>0.45523843</v>
      </c>
      <c r="O8" s="18" t="n">
        <v>0</v>
      </c>
      <c r="P8" s="20" t="n">
        <v>0</v>
      </c>
      <c r="Q8" s="18" t="n">
        <v>0</v>
      </c>
      <c r="R8" s="20" t="n">
        <v>0</v>
      </c>
      <c r="S8" s="18" t="n">
        <v>6.89576755</v>
      </c>
      <c r="T8" s="20" t="n">
        <v>1.31191486</v>
      </c>
    </row>
    <row r="9" spans="1:20">
      <c r="A9" s="15" t="s">
        <v>433</v>
      </c>
      <c r="B9" s="17" t="n">
        <v>4899</v>
      </c>
      <c r="C9" s="18">
        <f>(4328.0/B9*100)</f>
        <v/>
      </c>
      <c r="D9" s="19" t="n">
        <v>571</v>
      </c>
      <c r="E9" s="18" t="n">
        <v>29.09210029</v>
      </c>
      <c r="F9" s="20" t="n">
        <v>2.07226147</v>
      </c>
      <c r="G9" s="18" t="n">
        <v>20.25960832</v>
      </c>
      <c r="H9" s="20" t="n">
        <v>1.97337732</v>
      </c>
      <c r="I9" s="18" t="n">
        <v>44.91281888</v>
      </c>
      <c r="J9" s="20" t="n">
        <v>2.4298845</v>
      </c>
      <c r="K9" s="18" t="s">
        <v>431</v>
      </c>
      <c r="L9" s="20" t="s">
        <v>431</v>
      </c>
      <c r="M9" s="18" t="n">
        <v>1.15568526</v>
      </c>
      <c r="N9" s="20" t="n">
        <v>0.55549399</v>
      </c>
      <c r="O9" s="18" t="n">
        <v>0.29760248</v>
      </c>
      <c r="P9" s="20" t="n">
        <v>0.21456123</v>
      </c>
      <c r="Q9" s="18" t="n">
        <v>0</v>
      </c>
      <c r="R9" s="20" t="n">
        <v>0</v>
      </c>
      <c r="S9" s="18" t="n">
        <v>4.28218477</v>
      </c>
      <c r="T9" s="20" t="n">
        <v>1.32470083</v>
      </c>
    </row>
    <row r="10" spans="1:20">
      <c r="A10" s="15" t="s">
        <v>434</v>
      </c>
      <c r="B10" s="17" t="n">
        <v>10036</v>
      </c>
      <c r="C10" s="18">
        <f>(8823.0/B10*100)</f>
        <v/>
      </c>
      <c r="D10" s="19" t="n">
        <v>1213</v>
      </c>
      <c r="E10" s="18" t="n">
        <v>23.99269902</v>
      </c>
      <c r="F10" s="20" t="n">
        <v>1.55802178</v>
      </c>
      <c r="G10" s="18" t="n">
        <v>15.11583526</v>
      </c>
      <c r="H10" s="20" t="n">
        <v>1.56670837</v>
      </c>
      <c r="I10" s="18" t="n">
        <v>56.43862701</v>
      </c>
      <c r="J10" s="20" t="n">
        <v>2.3663254</v>
      </c>
      <c r="K10" s="18" t="s">
        <v>431</v>
      </c>
      <c r="L10" s="20" t="s">
        <v>431</v>
      </c>
      <c r="M10" s="18" t="n">
        <v>1.63661457</v>
      </c>
      <c r="N10" s="20" t="n">
        <v>0.56988913</v>
      </c>
      <c r="O10" s="18" t="n">
        <v>0</v>
      </c>
      <c r="P10" s="20" t="n">
        <v>0</v>
      </c>
      <c r="Q10" s="18" t="n">
        <v>0</v>
      </c>
      <c r="R10" s="20" t="n">
        <v>0</v>
      </c>
      <c r="S10" s="18" t="n">
        <v>2.81622414</v>
      </c>
      <c r="T10" s="20" t="n">
        <v>0.69437614</v>
      </c>
    </row>
    <row r="11" spans="1:20">
      <c r="A11" s="15" t="s">
        <v>435</v>
      </c>
      <c r="B11" s="17" t="n">
        <v>3553</v>
      </c>
      <c r="C11" s="18">
        <f>(3110.0/B11*100)</f>
        <v/>
      </c>
      <c r="D11" s="19" t="n">
        <v>443</v>
      </c>
      <c r="E11" s="18" t="n">
        <v>23.84145584</v>
      </c>
      <c r="F11" s="20" t="n">
        <v>2.64837318</v>
      </c>
      <c r="G11" s="18" t="n">
        <v>13.22781265</v>
      </c>
      <c r="H11" s="20" t="n">
        <v>1.72594589</v>
      </c>
      <c r="I11" s="18" t="n">
        <v>54.99479053</v>
      </c>
      <c r="J11" s="20" t="n">
        <v>2.67620102</v>
      </c>
      <c r="K11" s="18" t="s">
        <v>431</v>
      </c>
      <c r="L11" s="20" t="s">
        <v>431</v>
      </c>
      <c r="M11" s="18" t="n">
        <v>1.44896128</v>
      </c>
      <c r="N11" s="20" t="n">
        <v>0.80977646</v>
      </c>
      <c r="O11" s="18" t="n">
        <v>0</v>
      </c>
      <c r="P11" s="20" t="n">
        <v>0</v>
      </c>
      <c r="Q11" s="18" t="n">
        <v>0</v>
      </c>
      <c r="R11" s="20" t="n">
        <v>0</v>
      </c>
      <c r="S11" s="18" t="n">
        <v>6.4869797</v>
      </c>
      <c r="T11" s="20" t="n">
        <v>0.93643088</v>
      </c>
    </row>
    <row r="12" spans="1:20">
      <c r="A12" s="15" t="s">
        <v>436</v>
      </c>
      <c r="B12" s="17" t="n">
        <v>3472</v>
      </c>
      <c r="C12" s="18">
        <f>(3045.0/B12*100)</f>
        <v/>
      </c>
      <c r="D12" s="19" t="n">
        <v>427</v>
      </c>
      <c r="E12" s="18" t="n">
        <v>18.47820983</v>
      </c>
      <c r="F12" s="20" t="n">
        <v>2.02954205</v>
      </c>
      <c r="G12" s="18" t="n">
        <v>27.64479295</v>
      </c>
      <c r="H12" s="20" t="n">
        <v>1.95903224</v>
      </c>
      <c r="I12" s="18" t="n">
        <v>43.45496797</v>
      </c>
      <c r="J12" s="20" t="n">
        <v>2.82975893</v>
      </c>
      <c r="K12" s="18" t="s">
        <v>431</v>
      </c>
      <c r="L12" s="20" t="s">
        <v>431</v>
      </c>
      <c r="M12" s="18" t="n">
        <v>2.11745782</v>
      </c>
      <c r="N12" s="20" t="n">
        <v>0.91358629</v>
      </c>
      <c r="O12" s="18" t="n">
        <v>0.13911866</v>
      </c>
      <c r="P12" s="20" t="n">
        <v>0.18423702</v>
      </c>
      <c r="Q12" s="18" t="n">
        <v>0</v>
      </c>
      <c r="R12" s="20" t="n">
        <v>0</v>
      </c>
      <c r="S12" s="18" t="n">
        <v>8.165452780000001</v>
      </c>
      <c r="T12" s="20" t="n">
        <v>1.60989667</v>
      </c>
    </row>
    <row r="13" spans="1:20">
      <c r="A13" s="15" t="s">
        <v>437</v>
      </c>
      <c r="B13" s="17" t="n">
        <v>3559</v>
      </c>
      <c r="C13" s="18">
        <f>(3148.0/B13*100)</f>
        <v/>
      </c>
      <c r="D13" s="19" t="n">
        <v>411</v>
      </c>
      <c r="E13" s="18" t="n">
        <v>33.05025299</v>
      </c>
      <c r="F13" s="20" t="n">
        <v>2.86378779</v>
      </c>
      <c r="G13" s="18" t="n">
        <v>11.70257745</v>
      </c>
      <c r="H13" s="20" t="n">
        <v>1.61668893</v>
      </c>
      <c r="I13" s="18" t="n">
        <v>47.45853029</v>
      </c>
      <c r="J13" s="20" t="n">
        <v>2.88882756</v>
      </c>
      <c r="K13" s="18" t="s">
        <v>431</v>
      </c>
      <c r="L13" s="20" t="s">
        <v>431</v>
      </c>
      <c r="M13" s="18" t="n">
        <v>1.75691299</v>
      </c>
      <c r="N13" s="20" t="n">
        <v>0.74557306</v>
      </c>
      <c r="O13" s="18" t="n">
        <v>0</v>
      </c>
      <c r="P13" s="20" t="n">
        <v>0</v>
      </c>
      <c r="Q13" s="18" t="n">
        <v>0</v>
      </c>
      <c r="R13" s="20" t="n">
        <v>0</v>
      </c>
      <c r="S13" s="18" t="n">
        <v>6.03172628</v>
      </c>
      <c r="T13" s="20" t="n">
        <v>1.43187983</v>
      </c>
    </row>
    <row r="14" spans="1:20">
      <c r="A14" s="15" t="s">
        <v>438</v>
      </c>
      <c r="B14" s="17" t="n">
        <v>2799</v>
      </c>
      <c r="C14" s="18">
        <f>(2464.0/B14*100)</f>
        <v/>
      </c>
      <c r="D14" s="19" t="n">
        <v>335</v>
      </c>
      <c r="E14" s="18" t="n">
        <v>19.17839074</v>
      </c>
      <c r="F14" s="20" t="n">
        <v>2.7005988</v>
      </c>
      <c r="G14" s="18" t="n">
        <v>21.02200642</v>
      </c>
      <c r="H14" s="20" t="n">
        <v>2.47862274</v>
      </c>
      <c r="I14" s="18" t="n">
        <v>55.26618715</v>
      </c>
      <c r="J14" s="20" t="n">
        <v>3.07136308</v>
      </c>
      <c r="K14" s="18" t="s">
        <v>431</v>
      </c>
      <c r="L14" s="20" t="s">
        <v>431</v>
      </c>
      <c r="M14" s="18" t="n">
        <v>0.74218244</v>
      </c>
      <c r="N14" s="20" t="n">
        <v>0.43223377</v>
      </c>
      <c r="O14" s="18" t="n">
        <v>0</v>
      </c>
      <c r="P14" s="20" t="n">
        <v>0</v>
      </c>
      <c r="Q14" s="18" t="n">
        <v>0</v>
      </c>
      <c r="R14" s="20" t="n">
        <v>0</v>
      </c>
      <c r="S14" s="18" t="n">
        <v>3.79123326</v>
      </c>
      <c r="T14" s="20" t="n">
        <v>1.18726694</v>
      </c>
    </row>
    <row r="15" spans="1:20">
      <c r="A15" s="15" t="s">
        <v>439</v>
      </c>
      <c r="B15" s="17" t="n">
        <v>3019</v>
      </c>
      <c r="C15" s="18">
        <f>(2645.0/B15*100)</f>
        <v/>
      </c>
      <c r="D15" s="19" t="n">
        <v>374</v>
      </c>
      <c r="E15" s="18" t="n">
        <v>27.31598103</v>
      </c>
      <c r="F15" s="20" t="n">
        <v>2.46026099</v>
      </c>
      <c r="G15" s="18" t="n">
        <v>19.34402909</v>
      </c>
      <c r="H15" s="20" t="n">
        <v>2.27274441</v>
      </c>
      <c r="I15" s="18" t="n">
        <v>46.22875294</v>
      </c>
      <c r="J15" s="20" t="n">
        <v>3.17770226</v>
      </c>
      <c r="K15" s="18" t="s">
        <v>431</v>
      </c>
      <c r="L15" s="20" t="s">
        <v>431</v>
      </c>
      <c r="M15" s="18" t="n">
        <v>2.03885456</v>
      </c>
      <c r="N15" s="20" t="n">
        <v>0.79113319</v>
      </c>
      <c r="O15" s="18" t="n">
        <v>0</v>
      </c>
      <c r="P15" s="20" t="n">
        <v>0</v>
      </c>
      <c r="Q15" s="18" t="n">
        <v>0</v>
      </c>
      <c r="R15" s="20" t="n">
        <v>0</v>
      </c>
      <c r="S15" s="18" t="n">
        <v>5.07238237</v>
      </c>
      <c r="T15" s="20" t="n">
        <v>1.08346878</v>
      </c>
    </row>
    <row r="16" spans="1:20">
      <c r="A16" s="15" t="s">
        <v>440</v>
      </c>
      <c r="B16" s="17" t="n">
        <v>2997</v>
      </c>
      <c r="C16" s="18">
        <f>(2619.0/B16*100)</f>
        <v/>
      </c>
      <c r="D16" s="19" t="n">
        <v>378</v>
      </c>
      <c r="E16" s="18" t="n">
        <v>24.63888607</v>
      </c>
      <c r="F16" s="20" t="n">
        <v>2.57747161</v>
      </c>
      <c r="G16" s="18" t="n">
        <v>11.20475907</v>
      </c>
      <c r="H16" s="20" t="n">
        <v>1.81653059</v>
      </c>
      <c r="I16" s="18" t="n">
        <v>46.73295077</v>
      </c>
      <c r="J16" s="20" t="n">
        <v>2.93332483</v>
      </c>
      <c r="K16" s="18" t="s">
        <v>431</v>
      </c>
      <c r="L16" s="20" t="s">
        <v>431</v>
      </c>
      <c r="M16" s="18" t="n">
        <v>2.88107063</v>
      </c>
      <c r="N16" s="20" t="n">
        <v>0.91964766</v>
      </c>
      <c r="O16" s="18" t="n">
        <v>0.29492057</v>
      </c>
      <c r="P16" s="20" t="n">
        <v>0.29688222</v>
      </c>
      <c r="Q16" s="18" t="n">
        <v>0</v>
      </c>
      <c r="R16" s="20" t="n">
        <v>0</v>
      </c>
      <c r="S16" s="18" t="n">
        <v>14.24741289</v>
      </c>
      <c r="T16" s="20" t="n">
        <v>1.67712361</v>
      </c>
    </row>
    <row r="17" spans="1:20">
      <c r="A17" s="15" t="s">
        <v>441</v>
      </c>
      <c r="B17" s="17" t="n">
        <v>3307</v>
      </c>
      <c r="C17" s="18">
        <f>(2909.0/B17*100)</f>
        <v/>
      </c>
      <c r="D17" s="19" t="n">
        <v>398</v>
      </c>
      <c r="E17" s="18" t="n">
        <v>34.62106388</v>
      </c>
      <c r="F17" s="20" t="n">
        <v>2.47695765</v>
      </c>
      <c r="G17" s="18" t="n">
        <v>20.69630325</v>
      </c>
      <c r="H17" s="20" t="n">
        <v>2.39314132</v>
      </c>
      <c r="I17" s="18" t="n">
        <v>36.78342851</v>
      </c>
      <c r="J17" s="20" t="n">
        <v>2.75571576</v>
      </c>
      <c r="K17" s="18" t="s">
        <v>431</v>
      </c>
      <c r="L17" s="20" t="s">
        <v>431</v>
      </c>
      <c r="M17" s="18" t="n">
        <v>1.55629456</v>
      </c>
      <c r="N17" s="20" t="n">
        <v>0.64880275</v>
      </c>
      <c r="O17" s="18" t="n">
        <v>0</v>
      </c>
      <c r="P17" s="20" t="n">
        <v>0</v>
      </c>
      <c r="Q17" s="18" t="n">
        <v>0</v>
      </c>
      <c r="R17" s="20" t="n">
        <v>0</v>
      </c>
      <c r="S17" s="18" t="n">
        <v>6.3429098</v>
      </c>
      <c r="T17" s="20" t="n">
        <v>1.39124416</v>
      </c>
    </row>
    <row r="18" spans="1:20">
      <c r="A18" s="15" t="s">
        <v>442</v>
      </c>
      <c r="B18" s="17" t="n">
        <v>2826</v>
      </c>
      <c r="C18" s="18">
        <f>(2501.0/B18*100)</f>
        <v/>
      </c>
      <c r="D18" s="19" t="n">
        <v>325</v>
      </c>
      <c r="E18" s="18" t="n">
        <v>31.67251922</v>
      </c>
      <c r="F18" s="20" t="n">
        <v>2.89513869</v>
      </c>
      <c r="G18" s="18" t="n">
        <v>16.21214204</v>
      </c>
      <c r="H18" s="20" t="n">
        <v>2.1231259</v>
      </c>
      <c r="I18" s="18" t="n">
        <v>40.21268957</v>
      </c>
      <c r="J18" s="20" t="n">
        <v>3.12166283</v>
      </c>
      <c r="K18" s="18" t="s">
        <v>431</v>
      </c>
      <c r="L18" s="20" t="s">
        <v>431</v>
      </c>
      <c r="M18" s="18" t="n">
        <v>2.77180019</v>
      </c>
      <c r="N18" s="20" t="n">
        <v>1.17359338</v>
      </c>
      <c r="O18" s="18" t="n">
        <v>0</v>
      </c>
      <c r="P18" s="20" t="n">
        <v>0</v>
      </c>
      <c r="Q18" s="18" t="n">
        <v>0</v>
      </c>
      <c r="R18" s="20" t="n">
        <v>0</v>
      </c>
      <c r="S18" s="18" t="n">
        <v>9.13084898</v>
      </c>
      <c r="T18" s="20" t="n">
        <v>1.45235373</v>
      </c>
    </row>
    <row r="19" spans="1:20">
      <c r="A19" s="15" t="s">
        <v>443</v>
      </c>
      <c r="B19" s="17" t="n">
        <v>2808</v>
      </c>
      <c r="C19" s="18">
        <f>(2472.0/B19*100)</f>
        <v/>
      </c>
      <c r="D19" s="19" t="n">
        <v>336</v>
      </c>
      <c r="E19" s="18" t="n">
        <v>31.39856959</v>
      </c>
      <c r="F19" s="20" t="n">
        <v>2.65677747</v>
      </c>
      <c r="G19" s="18" t="n">
        <v>13.3923294</v>
      </c>
      <c r="H19" s="20" t="n">
        <v>2.07410322</v>
      </c>
      <c r="I19" s="18" t="n">
        <v>41.1481868</v>
      </c>
      <c r="J19" s="20" t="n">
        <v>2.94143603</v>
      </c>
      <c r="K19" s="18" t="s">
        <v>431</v>
      </c>
      <c r="L19" s="20" t="s">
        <v>431</v>
      </c>
      <c r="M19" s="18" t="n">
        <v>2.2651514</v>
      </c>
      <c r="N19" s="20" t="n">
        <v>1.1229476</v>
      </c>
      <c r="O19" s="18" t="n">
        <v>0</v>
      </c>
      <c r="P19" s="20" t="n">
        <v>0</v>
      </c>
      <c r="Q19" s="18" t="n">
        <v>0</v>
      </c>
      <c r="R19" s="20" t="n">
        <v>0</v>
      </c>
      <c r="S19" s="18" t="n">
        <v>11.79576282</v>
      </c>
      <c r="T19" s="20" t="n">
        <v>1.95127418</v>
      </c>
    </row>
    <row r="20" spans="1:20">
      <c r="A20" s="15" t="s">
        <v>444</v>
      </c>
      <c r="B20" s="17" t="n">
        <v>1630</v>
      </c>
      <c r="C20" s="18">
        <f>(1424.0/B20*100)</f>
        <v/>
      </c>
      <c r="D20" s="19" t="n">
        <v>206</v>
      </c>
      <c r="E20" s="18" t="n">
        <v>53.43792846</v>
      </c>
      <c r="F20" s="20" t="n">
        <v>3.55126696</v>
      </c>
      <c r="G20" s="18" t="n">
        <v>10.94265389</v>
      </c>
      <c r="H20" s="20" t="n">
        <v>2.0005352</v>
      </c>
      <c r="I20" s="18" t="n">
        <v>23.3805796</v>
      </c>
      <c r="J20" s="20" t="n">
        <v>2.95795611</v>
      </c>
      <c r="K20" s="18" t="s">
        <v>431</v>
      </c>
      <c r="L20" s="20" t="s">
        <v>431</v>
      </c>
      <c r="M20" s="18" t="n">
        <v>2.43232306</v>
      </c>
      <c r="N20" s="20" t="n">
        <v>1.05339222</v>
      </c>
      <c r="O20" s="18" t="n">
        <v>1.15335289</v>
      </c>
      <c r="P20" s="20" t="n">
        <v>0.66660772</v>
      </c>
      <c r="Q20" s="18" t="n">
        <v>0</v>
      </c>
      <c r="R20" s="20" t="n">
        <v>0</v>
      </c>
      <c r="S20" s="18" t="n">
        <v>8.65316209</v>
      </c>
      <c r="T20" s="20" t="n">
        <v>1.91766673</v>
      </c>
    </row>
    <row r="21" spans="1:20">
      <c r="A21" s="15" t="s">
        <v>445</v>
      </c>
      <c r="B21" s="17" t="n">
        <v>2908</v>
      </c>
      <c r="C21" s="18">
        <f>(2442.0/B21*100)</f>
        <v/>
      </c>
      <c r="D21" s="19" t="n">
        <v>466</v>
      </c>
      <c r="E21" s="18" t="n">
        <v>25.37442094</v>
      </c>
      <c r="F21" s="20" t="n">
        <v>2.06753345</v>
      </c>
      <c r="G21" s="18" t="n">
        <v>19.09864899</v>
      </c>
      <c r="H21" s="20" t="n">
        <v>1.52612922</v>
      </c>
      <c r="I21" s="18" t="n">
        <v>52.28008945</v>
      </c>
      <c r="J21" s="20" t="n">
        <v>2.29399884</v>
      </c>
      <c r="K21" s="18" t="s">
        <v>431</v>
      </c>
      <c r="L21" s="20" t="s">
        <v>431</v>
      </c>
      <c r="M21" s="18" t="n">
        <v>0.87887731</v>
      </c>
      <c r="N21" s="20" t="n">
        <v>0.43589891</v>
      </c>
      <c r="O21" s="18" t="n">
        <v>0</v>
      </c>
      <c r="P21" s="20" t="n">
        <v>0</v>
      </c>
      <c r="Q21" s="18" t="n">
        <v>0</v>
      </c>
      <c r="R21" s="20" t="n">
        <v>0</v>
      </c>
      <c r="S21" s="18" t="n">
        <v>2.36796331</v>
      </c>
      <c r="T21" s="20" t="n">
        <v>0.57602632</v>
      </c>
    </row>
    <row r="22" spans="1:20">
      <c r="A22" s="15" t="s">
        <v>446</v>
      </c>
      <c r="B22" s="17" t="n">
        <v>2931</v>
      </c>
      <c r="C22" s="18">
        <f>(2565.0/B22*100)</f>
        <v/>
      </c>
      <c r="D22" s="19" t="n">
        <v>366</v>
      </c>
      <c r="E22" s="18" t="n">
        <v>29.1578378</v>
      </c>
      <c r="F22" s="20" t="n">
        <v>2.35069598</v>
      </c>
      <c r="G22" s="18" t="n">
        <v>11.49975046</v>
      </c>
      <c r="H22" s="20" t="n">
        <v>1.97106519</v>
      </c>
      <c r="I22" s="18" t="n">
        <v>45.70603856</v>
      </c>
      <c r="J22" s="20" t="n">
        <v>2.699938</v>
      </c>
      <c r="K22" s="18" t="s">
        <v>431</v>
      </c>
      <c r="L22" s="20" t="s">
        <v>431</v>
      </c>
      <c r="M22" s="18" t="n">
        <v>1.14201066</v>
      </c>
      <c r="N22" s="20" t="n">
        <v>0.46758775</v>
      </c>
      <c r="O22" s="18" t="n">
        <v>0</v>
      </c>
      <c r="P22" s="20" t="n">
        <v>0</v>
      </c>
      <c r="Q22" s="18" t="n">
        <v>0</v>
      </c>
      <c r="R22" s="20" t="n">
        <v>0</v>
      </c>
      <c r="S22" s="18" t="n">
        <v>12.49436252</v>
      </c>
      <c r="T22" s="20" t="n">
        <v>1.61387707</v>
      </c>
    </row>
    <row r="23" spans="1:20">
      <c r="A23" s="15" t="s">
        <v>447</v>
      </c>
      <c r="B23" s="17" t="n">
        <v>5791</v>
      </c>
      <c r="C23" s="18">
        <f>(5067.0/B23*100)</f>
        <v/>
      </c>
      <c r="D23" s="19" t="n">
        <v>724</v>
      </c>
      <c r="E23" s="18" t="n">
        <v>19.57869121</v>
      </c>
      <c r="F23" s="20" t="n">
        <v>2.08295344</v>
      </c>
      <c r="G23" s="18" t="n">
        <v>17.74896049</v>
      </c>
      <c r="H23" s="20" t="n">
        <v>2.05393699</v>
      </c>
      <c r="I23" s="18" t="n">
        <v>53.34094186</v>
      </c>
      <c r="J23" s="20" t="n">
        <v>2.59822328</v>
      </c>
      <c r="K23" s="18" t="s">
        <v>431</v>
      </c>
      <c r="L23" s="20" t="s">
        <v>431</v>
      </c>
      <c r="M23" s="18" t="n">
        <v>1.48097968</v>
      </c>
      <c r="N23" s="20" t="n">
        <v>1.04264897</v>
      </c>
      <c r="O23" s="18" t="n">
        <v>0.83188061</v>
      </c>
      <c r="P23" s="20" t="n">
        <v>0.5256432599999999</v>
      </c>
      <c r="Q23" s="18" t="n">
        <v>0</v>
      </c>
      <c r="R23" s="20" t="n">
        <v>0</v>
      </c>
      <c r="S23" s="18" t="n">
        <v>7.01854615</v>
      </c>
      <c r="T23" s="20" t="n">
        <v>1.51208832</v>
      </c>
    </row>
    <row r="24" spans="1:20">
      <c r="A24" s="15" t="s">
        <v>448</v>
      </c>
      <c r="B24" s="17" t="n">
        <v>3338</v>
      </c>
      <c r="C24" s="18">
        <f>(2943.0/B24*100)</f>
        <v/>
      </c>
      <c r="D24" s="19" t="n">
        <v>395</v>
      </c>
      <c r="E24" s="18" t="n">
        <v>24.49692049</v>
      </c>
      <c r="F24" s="20" t="n">
        <v>2.26329267</v>
      </c>
      <c r="G24" s="18" t="n">
        <v>7.47968699</v>
      </c>
      <c r="H24" s="20" t="n">
        <v>1.50590625</v>
      </c>
      <c r="I24" s="18" t="n">
        <v>47.58558749</v>
      </c>
      <c r="J24" s="20" t="n">
        <v>2.6953017</v>
      </c>
      <c r="K24" s="18" t="s">
        <v>431</v>
      </c>
      <c r="L24" s="20" t="s">
        <v>431</v>
      </c>
      <c r="M24" s="18" t="n">
        <v>2.46528897</v>
      </c>
      <c r="N24" s="20" t="n">
        <v>0.77298721</v>
      </c>
      <c r="O24" s="18" t="n">
        <v>0</v>
      </c>
      <c r="P24" s="20" t="n">
        <v>0</v>
      </c>
      <c r="Q24" s="18" t="n">
        <v>0</v>
      </c>
      <c r="R24" s="20" t="n">
        <v>0</v>
      </c>
      <c r="S24" s="18" t="n">
        <v>17.97251606</v>
      </c>
      <c r="T24" s="20" t="n">
        <v>1.79383846</v>
      </c>
    </row>
    <row r="25" spans="1:20">
      <c r="A25" s="15" t="s">
        <v>449</v>
      </c>
      <c r="B25" s="17" t="n">
        <v>2912</v>
      </c>
      <c r="C25" s="18">
        <f>(2567.0/B25*100)</f>
        <v/>
      </c>
      <c r="D25" s="19" t="n">
        <v>345</v>
      </c>
      <c r="E25" s="18" t="n">
        <v>28.18323242</v>
      </c>
      <c r="F25" s="20" t="n">
        <v>2.69640409</v>
      </c>
      <c r="G25" s="18" t="n">
        <v>12.17030753</v>
      </c>
      <c r="H25" s="20" t="n">
        <v>1.98456314</v>
      </c>
      <c r="I25" s="18" t="n">
        <v>51.80585681</v>
      </c>
      <c r="J25" s="20" t="n">
        <v>2.80954046</v>
      </c>
      <c r="K25" s="18" t="s">
        <v>431</v>
      </c>
      <c r="L25" s="20" t="s">
        <v>431</v>
      </c>
      <c r="M25" s="18" t="n">
        <v>1.60649724</v>
      </c>
      <c r="N25" s="20" t="n">
        <v>0.65084379</v>
      </c>
      <c r="O25" s="18" t="n">
        <v>0</v>
      </c>
      <c r="P25" s="20" t="n">
        <v>0</v>
      </c>
      <c r="Q25" s="18" t="n">
        <v>0</v>
      </c>
      <c r="R25" s="20" t="n">
        <v>0</v>
      </c>
      <c r="S25" s="18" t="n">
        <v>6.23410599</v>
      </c>
      <c r="T25" s="20" t="n">
        <v>1.25352136</v>
      </c>
    </row>
    <row r="26" spans="1:20">
      <c r="A26" s="15" t="s">
        <v>450</v>
      </c>
      <c r="B26" s="17" t="n">
        <v>2450</v>
      </c>
      <c r="C26" s="18">
        <f>(2158.0/B26*100)</f>
        <v/>
      </c>
      <c r="D26" s="19" t="n">
        <v>292</v>
      </c>
      <c r="E26" s="18" t="n">
        <v>38.20288313</v>
      </c>
      <c r="F26" s="20" t="n">
        <v>2.84525965</v>
      </c>
      <c r="G26" s="18" t="n">
        <v>11.64732396</v>
      </c>
      <c r="H26" s="20" t="n">
        <v>2.02317476</v>
      </c>
      <c r="I26" s="18" t="n">
        <v>42.28700651</v>
      </c>
      <c r="J26" s="20" t="n">
        <v>3.05785695</v>
      </c>
      <c r="K26" s="18" t="s">
        <v>431</v>
      </c>
      <c r="L26" s="20" t="s">
        <v>431</v>
      </c>
      <c r="M26" s="18" t="n">
        <v>0.30653654</v>
      </c>
      <c r="N26" s="20" t="n">
        <v>0.30191699</v>
      </c>
      <c r="O26" s="18" t="n">
        <v>0.6811923</v>
      </c>
      <c r="P26" s="20" t="n">
        <v>0.68734003</v>
      </c>
      <c r="Q26" s="18" t="n">
        <v>0</v>
      </c>
      <c r="R26" s="20" t="n">
        <v>0</v>
      </c>
      <c r="S26" s="18" t="n">
        <v>6.87505757</v>
      </c>
      <c r="T26" s="20" t="n">
        <v>1.55576325</v>
      </c>
    </row>
    <row r="27" spans="1:20">
      <c r="A27" s="15" t="s">
        <v>451</v>
      </c>
      <c r="B27" s="17" t="n">
        <v>2616</v>
      </c>
      <c r="C27" s="18">
        <f>(2297.0/B27*100)</f>
        <v/>
      </c>
      <c r="D27" s="19" t="n">
        <v>319</v>
      </c>
      <c r="E27" s="18" t="n">
        <v>31.60479838</v>
      </c>
      <c r="F27" s="20" t="n">
        <v>2.93198442</v>
      </c>
      <c r="G27" s="18" t="n">
        <v>22.63241602</v>
      </c>
      <c r="H27" s="20" t="n">
        <v>2.13021289</v>
      </c>
      <c r="I27" s="18" t="n">
        <v>34.4284013</v>
      </c>
      <c r="J27" s="20" t="n">
        <v>2.64850682</v>
      </c>
      <c r="K27" s="18" t="s">
        <v>431</v>
      </c>
      <c r="L27" s="20" t="s">
        <v>431</v>
      </c>
      <c r="M27" s="18" t="n">
        <v>1.88050402</v>
      </c>
      <c r="N27" s="20" t="n">
        <v>0.7744556</v>
      </c>
      <c r="O27" s="18" t="n">
        <v>0</v>
      </c>
      <c r="P27" s="20" t="n">
        <v>0</v>
      </c>
      <c r="Q27" s="18" t="n">
        <v>0</v>
      </c>
      <c r="R27" s="20" t="n">
        <v>0</v>
      </c>
      <c r="S27" s="18" t="n">
        <v>9.453880270000001</v>
      </c>
      <c r="T27" s="20" t="n">
        <v>1.68511646</v>
      </c>
    </row>
    <row r="28" spans="1:20">
      <c r="A28" s="15" t="s">
        <v>452</v>
      </c>
      <c r="B28" s="17" t="n">
        <v>3765</v>
      </c>
      <c r="C28" s="18">
        <f>(3365.0/B28*100)</f>
        <v/>
      </c>
      <c r="D28" s="19" t="n">
        <v>400</v>
      </c>
      <c r="E28" s="18" t="n">
        <v>42.5596759</v>
      </c>
      <c r="F28" s="20" t="n">
        <v>2.91651499</v>
      </c>
      <c r="G28" s="18" t="n">
        <v>28.51859943</v>
      </c>
      <c r="H28" s="20" t="n">
        <v>2.33749941</v>
      </c>
      <c r="I28" s="18" t="n">
        <v>24.66679596</v>
      </c>
      <c r="J28" s="20" t="n">
        <v>2.76133739</v>
      </c>
      <c r="K28" s="18" t="s">
        <v>431</v>
      </c>
      <c r="L28" s="20" t="s">
        <v>431</v>
      </c>
      <c r="M28" s="18" t="n">
        <v>0.61649838</v>
      </c>
      <c r="N28" s="20" t="n">
        <v>0.3781927</v>
      </c>
      <c r="O28" s="18" t="n">
        <v>0.2169623</v>
      </c>
      <c r="P28" s="20" t="n">
        <v>0.2221397</v>
      </c>
      <c r="Q28" s="18" t="n">
        <v>0</v>
      </c>
      <c r="R28" s="20" t="n">
        <v>0</v>
      </c>
      <c r="S28" s="18" t="n">
        <v>3.42146804</v>
      </c>
      <c r="T28" s="20" t="n">
        <v>1.08046833</v>
      </c>
    </row>
    <row r="29" spans="1:20">
      <c r="A29" s="15" t="s">
        <v>453</v>
      </c>
      <c r="B29" s="17" t="n">
        <v>2685</v>
      </c>
      <c r="C29" s="18">
        <f>(2357.0/B29*100)</f>
        <v/>
      </c>
      <c r="D29" s="19" t="n">
        <v>328</v>
      </c>
      <c r="E29" s="18" t="n">
        <v>27.13490659</v>
      </c>
      <c r="F29" s="20" t="n">
        <v>2.15116465</v>
      </c>
      <c r="G29" s="18" t="n">
        <v>14.5968249</v>
      </c>
      <c r="H29" s="20" t="n">
        <v>2.14225912</v>
      </c>
      <c r="I29" s="18" t="n">
        <v>52.60831581</v>
      </c>
      <c r="J29" s="20" t="n">
        <v>2.68755481</v>
      </c>
      <c r="K29" s="18" t="s">
        <v>431</v>
      </c>
      <c r="L29" s="20" t="s">
        <v>431</v>
      </c>
      <c r="M29" s="18" t="n">
        <v>0.73933396</v>
      </c>
      <c r="N29" s="20" t="n">
        <v>0.42334956</v>
      </c>
      <c r="O29" s="18" t="n">
        <v>0</v>
      </c>
      <c r="P29" s="20" t="n">
        <v>0</v>
      </c>
      <c r="Q29" s="18" t="n">
        <v>0</v>
      </c>
      <c r="R29" s="20" t="n">
        <v>0</v>
      </c>
      <c r="S29" s="18" t="n">
        <v>4.92061874</v>
      </c>
      <c r="T29" s="20" t="n">
        <v>1.35319606</v>
      </c>
    </row>
    <row r="30" spans="1:20">
      <c r="A30" s="15" t="s">
        <v>454</v>
      </c>
      <c r="B30" s="17" t="n">
        <v>2263</v>
      </c>
      <c r="C30" s="18">
        <f>(1982.0/B30*100)</f>
        <v/>
      </c>
      <c r="D30" s="19" t="n">
        <v>281</v>
      </c>
      <c r="E30" s="18" t="n">
        <v>25.79214962</v>
      </c>
      <c r="F30" s="20" t="n">
        <v>3.01227427</v>
      </c>
      <c r="G30" s="18" t="n">
        <v>12.0935273</v>
      </c>
      <c r="H30" s="20" t="n">
        <v>2.15605969</v>
      </c>
      <c r="I30" s="18" t="n">
        <v>50.63675986</v>
      </c>
      <c r="J30" s="20" t="n">
        <v>3.26154187</v>
      </c>
      <c r="K30" s="18" t="s">
        <v>431</v>
      </c>
      <c r="L30" s="20" t="s">
        <v>431</v>
      </c>
      <c r="M30" s="18" t="n">
        <v>1.79276082</v>
      </c>
      <c r="N30" s="20" t="n">
        <v>0.6857373</v>
      </c>
      <c r="O30" s="18" t="n">
        <v>1.11260184</v>
      </c>
      <c r="P30" s="20" t="n">
        <v>0.80041332</v>
      </c>
      <c r="Q30" s="18" t="n">
        <v>0</v>
      </c>
      <c r="R30" s="20" t="n">
        <v>0</v>
      </c>
      <c r="S30" s="18" t="n">
        <v>8.572200560000001</v>
      </c>
      <c r="T30" s="20" t="n">
        <v>1.66800479</v>
      </c>
    </row>
    <row r="31" spans="1:20">
      <c r="A31" s="15" t="s">
        <v>455</v>
      </c>
      <c r="B31" s="17" t="n">
        <v>2750</v>
      </c>
      <c r="C31" s="18">
        <f>(2422.0/B31*100)</f>
        <v/>
      </c>
      <c r="D31" s="19" t="n">
        <v>328</v>
      </c>
      <c r="E31" s="18" t="n">
        <v>34.93041811</v>
      </c>
      <c r="F31" s="20" t="n">
        <v>2.61059025</v>
      </c>
      <c r="G31" s="18" t="n">
        <v>20.91482795</v>
      </c>
      <c r="H31" s="20" t="n">
        <v>2.36490091</v>
      </c>
      <c r="I31" s="18" t="n">
        <v>32.460059</v>
      </c>
      <c r="J31" s="20" t="n">
        <v>2.16427374</v>
      </c>
      <c r="K31" s="18" t="s">
        <v>431</v>
      </c>
      <c r="L31" s="20" t="s">
        <v>431</v>
      </c>
      <c r="M31" s="18" t="n">
        <v>3.31641146</v>
      </c>
      <c r="N31" s="20" t="n">
        <v>0.91341801</v>
      </c>
      <c r="O31" s="18" t="n">
        <v>0.30471977</v>
      </c>
      <c r="P31" s="20" t="n">
        <v>0.28818545</v>
      </c>
      <c r="Q31" s="18" t="n">
        <v>0</v>
      </c>
      <c r="R31" s="20" t="n">
        <v>0</v>
      </c>
      <c r="S31" s="18" t="n">
        <v>8.073563719999999</v>
      </c>
      <c r="T31" s="20" t="n">
        <v>1.62685336</v>
      </c>
    </row>
    <row r="32" spans="1:20">
      <c r="A32" s="15" t="s">
        <v>456</v>
      </c>
      <c r="B32" s="17" t="n">
        <v>2269</v>
      </c>
      <c r="C32" s="18">
        <f>(1917.0/B32*100)</f>
        <v/>
      </c>
      <c r="D32" s="19" t="n">
        <v>352</v>
      </c>
      <c r="E32" s="18" t="n">
        <v>13.58526001</v>
      </c>
      <c r="F32" s="20" t="n">
        <v>2.01390063</v>
      </c>
      <c r="G32" s="18" t="n">
        <v>16.21454463</v>
      </c>
      <c r="H32" s="20" t="n">
        <v>2.63512397</v>
      </c>
      <c r="I32" s="18" t="n">
        <v>62.2558467</v>
      </c>
      <c r="J32" s="20" t="n">
        <v>2.79211568</v>
      </c>
      <c r="K32" s="18" t="s">
        <v>431</v>
      </c>
      <c r="L32" s="20" t="s">
        <v>431</v>
      </c>
      <c r="M32" s="18" t="n">
        <v>1.11596299</v>
      </c>
      <c r="N32" s="20" t="n">
        <v>0.53488577</v>
      </c>
      <c r="O32" s="18" t="n">
        <v>0.26845643</v>
      </c>
      <c r="P32" s="20" t="n">
        <v>0.26629148</v>
      </c>
      <c r="Q32" s="18" t="n">
        <v>0</v>
      </c>
      <c r="R32" s="20" t="n">
        <v>0</v>
      </c>
      <c r="S32" s="18" t="n">
        <v>6.55992923</v>
      </c>
      <c r="T32" s="20" t="n">
        <v>1.6191598</v>
      </c>
    </row>
    <row r="33" spans="1:20">
      <c r="A33" s="15" t="s">
        <v>457</v>
      </c>
      <c r="B33" s="17" t="n">
        <v>3674</v>
      </c>
      <c r="C33" s="18">
        <f>(3218.0/B33*100)</f>
        <v/>
      </c>
      <c r="D33" s="19" t="n">
        <v>456</v>
      </c>
      <c r="E33" s="18" t="n">
        <v>20.16357048</v>
      </c>
      <c r="F33" s="20" t="n">
        <v>2.21744482</v>
      </c>
      <c r="G33" s="18" t="n">
        <v>15.39265378</v>
      </c>
      <c r="H33" s="20" t="n">
        <v>1.81771253</v>
      </c>
      <c r="I33" s="18" t="n">
        <v>60.17344443</v>
      </c>
      <c r="J33" s="20" t="n">
        <v>2.82168326</v>
      </c>
      <c r="K33" s="18" t="s">
        <v>431</v>
      </c>
      <c r="L33" s="20" t="s">
        <v>431</v>
      </c>
      <c r="M33" s="18" t="n">
        <v>0.5226733</v>
      </c>
      <c r="N33" s="20" t="n">
        <v>0.33680684</v>
      </c>
      <c r="O33" s="18" t="n">
        <v>0</v>
      </c>
      <c r="P33" s="20" t="n">
        <v>0</v>
      </c>
      <c r="Q33" s="18" t="n">
        <v>0</v>
      </c>
      <c r="R33" s="20" t="n">
        <v>0</v>
      </c>
      <c r="S33" s="18" t="n">
        <v>3.74765801</v>
      </c>
      <c r="T33" s="20" t="n">
        <v>0.87425553</v>
      </c>
    </row>
    <row r="34" spans="1:20">
      <c r="A34" s="15" t="s">
        <v>458</v>
      </c>
      <c r="B34" s="17" t="n">
        <v>3315</v>
      </c>
      <c r="C34" s="18">
        <f>(2928.0/B34*100)</f>
        <v/>
      </c>
      <c r="D34" s="19" t="n">
        <v>387</v>
      </c>
      <c r="E34" s="18" t="n">
        <v>31.24518021</v>
      </c>
      <c r="F34" s="20" t="n">
        <v>2.44145137</v>
      </c>
      <c r="G34" s="18" t="n">
        <v>24.84515435</v>
      </c>
      <c r="H34" s="20" t="n">
        <v>2.05806545</v>
      </c>
      <c r="I34" s="18" t="n">
        <v>32.76717625</v>
      </c>
      <c r="J34" s="20" t="n">
        <v>2.49404006</v>
      </c>
      <c r="K34" s="18" t="s">
        <v>431</v>
      </c>
      <c r="L34" s="20" t="s">
        <v>431</v>
      </c>
      <c r="M34" s="18" t="n">
        <v>1.94328868</v>
      </c>
      <c r="N34" s="20" t="n">
        <v>0.67847354</v>
      </c>
      <c r="O34" s="18" t="n">
        <v>0</v>
      </c>
      <c r="P34" s="20" t="n">
        <v>0</v>
      </c>
      <c r="Q34" s="18" t="n">
        <v>0</v>
      </c>
      <c r="R34" s="20" t="n">
        <v>0</v>
      </c>
      <c r="S34" s="18" t="n">
        <v>9.199200510000001</v>
      </c>
      <c r="T34" s="20" t="n">
        <v>1.51414742</v>
      </c>
    </row>
    <row r="35" spans="1:20">
      <c r="A35" s="15" t="s">
        <v>459</v>
      </c>
      <c r="B35" s="17" t="n">
        <v>3505</v>
      </c>
      <c r="C35" s="18">
        <f>(3071.0/B35*100)</f>
        <v/>
      </c>
      <c r="D35" s="19" t="n">
        <v>434</v>
      </c>
      <c r="E35" s="18" t="n">
        <v>15.08290407</v>
      </c>
      <c r="F35" s="20" t="n">
        <v>2.12310454</v>
      </c>
      <c r="G35" s="18" t="n">
        <v>29.99392471</v>
      </c>
      <c r="H35" s="20" t="n">
        <v>2.48124026</v>
      </c>
      <c r="I35" s="18" t="n">
        <v>49.10084765</v>
      </c>
      <c r="J35" s="20" t="n">
        <v>2.7319485</v>
      </c>
      <c r="K35" s="18" t="s">
        <v>431</v>
      </c>
      <c r="L35" s="20" t="s">
        <v>431</v>
      </c>
      <c r="M35" s="18" t="n">
        <v>0.40779083</v>
      </c>
      <c r="N35" s="20" t="n">
        <v>0.30430724</v>
      </c>
      <c r="O35" s="18" t="n">
        <v>0</v>
      </c>
      <c r="P35" s="20" t="n">
        <v>0</v>
      </c>
      <c r="Q35" s="18" t="n">
        <v>0</v>
      </c>
      <c r="R35" s="20" t="n">
        <v>0</v>
      </c>
      <c r="S35" s="18" t="n">
        <v>5.41453274</v>
      </c>
      <c r="T35" s="20" t="n">
        <v>1.05907001</v>
      </c>
    </row>
    <row r="36" spans="1:20">
      <c r="A36" s="15" t="s">
        <v>460</v>
      </c>
      <c r="B36" s="17" t="n">
        <v>3332</v>
      </c>
      <c r="C36" s="18">
        <f>(2927.0/B36*100)</f>
        <v/>
      </c>
      <c r="D36" s="19" t="n">
        <v>405</v>
      </c>
      <c r="E36" s="18" t="n">
        <v>23.4278772</v>
      </c>
      <c r="F36" s="20" t="n">
        <v>2.15098399</v>
      </c>
      <c r="G36" s="18" t="n">
        <v>23.42493709</v>
      </c>
      <c r="H36" s="20" t="n">
        <v>2.03305394</v>
      </c>
      <c r="I36" s="18" t="n">
        <v>46.1681544</v>
      </c>
      <c r="J36" s="20" t="n">
        <v>2.88000638</v>
      </c>
      <c r="K36" s="18" t="s">
        <v>431</v>
      </c>
      <c r="L36" s="20" t="s">
        <v>431</v>
      </c>
      <c r="M36" s="18" t="n">
        <v>0.90813575</v>
      </c>
      <c r="N36" s="20" t="n">
        <v>0.45488886</v>
      </c>
      <c r="O36" s="18" t="n">
        <v>0.75634159</v>
      </c>
      <c r="P36" s="20" t="n">
        <v>0.55079756</v>
      </c>
      <c r="Q36" s="18" t="n">
        <v>0</v>
      </c>
      <c r="R36" s="20" t="n">
        <v>0</v>
      </c>
      <c r="S36" s="18" t="n">
        <v>5.31455397</v>
      </c>
      <c r="T36" s="20" t="n">
        <v>1.39420195</v>
      </c>
    </row>
    <row r="37" spans="1:20">
      <c r="A37" s="15" t="s">
        <v>461</v>
      </c>
      <c r="B37" s="17" t="n">
        <v>2727</v>
      </c>
      <c r="C37" s="18">
        <f>(2388.0/B37*100)</f>
        <v/>
      </c>
      <c r="D37" s="19" t="n">
        <v>339</v>
      </c>
      <c r="E37" s="18" t="n">
        <v>25.95045522</v>
      </c>
      <c r="F37" s="20" t="n">
        <v>2.28073997</v>
      </c>
      <c r="G37" s="18" t="n">
        <v>22.29224209</v>
      </c>
      <c r="H37" s="20" t="n">
        <v>2.19939403</v>
      </c>
      <c r="I37" s="18" t="n">
        <v>41.29319383</v>
      </c>
      <c r="J37" s="20" t="n">
        <v>2.78740363</v>
      </c>
      <c r="K37" s="18" t="s">
        <v>431</v>
      </c>
      <c r="L37" s="20" t="s">
        <v>431</v>
      </c>
      <c r="M37" s="18" t="n">
        <v>3.56119891</v>
      </c>
      <c r="N37" s="20" t="n">
        <v>1.02712862</v>
      </c>
      <c r="O37" s="18" t="n">
        <v>0</v>
      </c>
      <c r="P37" s="20" t="n">
        <v>0</v>
      </c>
      <c r="Q37" s="18" t="n">
        <v>0</v>
      </c>
      <c r="R37" s="20" t="n">
        <v>0</v>
      </c>
      <c r="S37" s="18" t="n">
        <v>6.90290996</v>
      </c>
      <c r="T37" s="20" t="n">
        <v>1.67007068</v>
      </c>
    </row>
    <row r="38" spans="1:20">
      <c r="A38" s="15" t="s">
        <v>462</v>
      </c>
      <c r="B38" s="17" t="n">
        <v>3053</v>
      </c>
      <c r="C38" s="18">
        <f>(2594.0/B38*100)</f>
        <v/>
      </c>
      <c r="D38" s="19" t="n">
        <v>459</v>
      </c>
      <c r="E38" s="18" t="n">
        <v>28.06678257</v>
      </c>
      <c r="F38" s="20" t="n">
        <v>2.07779012</v>
      </c>
      <c r="G38" s="18" t="n">
        <v>18.62408551</v>
      </c>
      <c r="H38" s="20" t="n">
        <v>2.00178365</v>
      </c>
      <c r="I38" s="18" t="n">
        <v>46.77981246</v>
      </c>
      <c r="J38" s="20" t="n">
        <v>2.3554685</v>
      </c>
      <c r="K38" s="18" t="s">
        <v>431</v>
      </c>
      <c r="L38" s="20" t="s">
        <v>431</v>
      </c>
      <c r="M38" s="18" t="n">
        <v>1.38171419</v>
      </c>
      <c r="N38" s="20" t="n">
        <v>0.56941645</v>
      </c>
      <c r="O38" s="18" t="n">
        <v>0.42270033</v>
      </c>
      <c r="P38" s="20" t="n">
        <v>0.42055304</v>
      </c>
      <c r="Q38" s="18" t="n">
        <v>0</v>
      </c>
      <c r="R38" s="20" t="n">
        <v>0</v>
      </c>
      <c r="S38" s="18" t="n">
        <v>4.72490495</v>
      </c>
      <c r="T38" s="20" t="n">
        <v>1.01576989</v>
      </c>
    </row>
    <row r="39" spans="1:20">
      <c r="A39" s="15" t="s">
        <v>463</v>
      </c>
      <c r="B39" s="17" t="n">
        <v>2957</v>
      </c>
      <c r="C39" s="18">
        <f>(2590.0/B39*100)</f>
        <v/>
      </c>
      <c r="D39" s="19" t="n">
        <v>367</v>
      </c>
      <c r="E39" s="18" t="n">
        <v>54.27610695</v>
      </c>
      <c r="F39" s="20" t="n">
        <v>2.45574457</v>
      </c>
      <c r="G39" s="18" t="n">
        <v>7.28265601</v>
      </c>
      <c r="H39" s="20" t="n">
        <v>1.40062532</v>
      </c>
      <c r="I39" s="18" t="n">
        <v>15.71313247</v>
      </c>
      <c r="J39" s="20" t="n">
        <v>1.80033827</v>
      </c>
      <c r="K39" s="18" t="s">
        <v>431</v>
      </c>
      <c r="L39" s="20" t="s">
        <v>431</v>
      </c>
      <c r="M39" s="18" t="n">
        <v>1.2440195</v>
      </c>
      <c r="N39" s="20" t="n">
        <v>0.62532749</v>
      </c>
      <c r="O39" s="18" t="n">
        <v>0.23528998</v>
      </c>
      <c r="P39" s="20" t="n">
        <v>0.24228373</v>
      </c>
      <c r="Q39" s="18" t="n">
        <v>0</v>
      </c>
      <c r="R39" s="20" t="n">
        <v>0</v>
      </c>
      <c r="S39" s="18" t="n">
        <v>21.24879509</v>
      </c>
      <c r="T39" s="20" t="n">
        <v>1.9683894</v>
      </c>
    </row>
    <row r="40" spans="1:20">
      <c r="A40" s="15" t="s">
        <v>464</v>
      </c>
      <c r="B40" s="17" t="n">
        <v>7235</v>
      </c>
      <c r="C40" s="18">
        <f>(6337.0/B40*100)</f>
        <v/>
      </c>
      <c r="D40" s="19" t="n">
        <v>898</v>
      </c>
      <c r="E40" s="18" t="n">
        <v>23.82207</v>
      </c>
      <c r="F40" s="20" t="n">
        <v>1.99530536</v>
      </c>
      <c r="G40" s="18" t="n">
        <v>13.70745516</v>
      </c>
      <c r="H40" s="20" t="n">
        <v>1.92863522</v>
      </c>
      <c r="I40" s="18" t="n">
        <v>54.1565903</v>
      </c>
      <c r="J40" s="20" t="n">
        <v>2.62173564</v>
      </c>
      <c r="K40" s="18" t="s">
        <v>431</v>
      </c>
      <c r="L40" s="20" t="s">
        <v>431</v>
      </c>
      <c r="M40" s="18" t="n">
        <v>0.72070326</v>
      </c>
      <c r="N40" s="20" t="n">
        <v>0.29981156</v>
      </c>
      <c r="O40" s="18" t="n">
        <v>0.5641195</v>
      </c>
      <c r="P40" s="20" t="n">
        <v>0.40556912</v>
      </c>
      <c r="Q40" s="18" t="n">
        <v>0</v>
      </c>
      <c r="R40" s="20" t="n">
        <v>0</v>
      </c>
      <c r="S40" s="18" t="n">
        <v>7.02906178</v>
      </c>
      <c r="T40" s="20" t="n">
        <v>1.32382346</v>
      </c>
    </row>
    <row r="41" spans="1:20">
      <c r="A41" s="15" t="s">
        <v>465</v>
      </c>
      <c r="B41" s="17" t="n">
        <v>2858</v>
      </c>
      <c r="C41" s="18">
        <f>(2533.0/B41*100)</f>
        <v/>
      </c>
      <c r="D41" s="19" t="n">
        <v>325</v>
      </c>
      <c r="E41" s="18" t="n">
        <v>25.48431938</v>
      </c>
      <c r="F41" s="20" t="n">
        <v>2.81285955</v>
      </c>
      <c r="G41" s="18" t="n">
        <v>14.77126613</v>
      </c>
      <c r="H41" s="20" t="n">
        <v>2.00791863</v>
      </c>
      <c r="I41" s="18" t="n">
        <v>54.67300757</v>
      </c>
      <c r="J41" s="20" t="n">
        <v>3.0800729</v>
      </c>
      <c r="K41" s="18" t="s">
        <v>431</v>
      </c>
      <c r="L41" s="20" t="s">
        <v>431</v>
      </c>
      <c r="M41" s="18" t="n">
        <v>0.7681354</v>
      </c>
      <c r="N41" s="20" t="n">
        <v>0.5263347</v>
      </c>
      <c r="O41" s="18" t="n">
        <v>0</v>
      </c>
      <c r="P41" s="20" t="n">
        <v>0</v>
      </c>
      <c r="Q41" s="18" t="n">
        <v>0</v>
      </c>
      <c r="R41" s="20" t="n">
        <v>0</v>
      </c>
      <c r="S41" s="18" t="n">
        <v>4.30327152</v>
      </c>
      <c r="T41" s="20" t="n">
        <v>1.19888282</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11068</v>
      </c>
      <c r="C46" s="18">
        <f>(10031.0/B46*100)</f>
        <v/>
      </c>
      <c r="D46" s="19" t="n">
        <v>1037</v>
      </c>
      <c r="E46" s="18" t="n">
        <v>37.63853986</v>
      </c>
      <c r="F46" s="20" t="n">
        <v>1.88583638</v>
      </c>
      <c r="G46" s="18" t="n">
        <v>19.30388799</v>
      </c>
      <c r="H46" s="20" t="n">
        <v>1.52966606</v>
      </c>
      <c r="I46" s="18" t="n">
        <v>28.09645519</v>
      </c>
      <c r="J46" s="20" t="n">
        <v>1.51101431</v>
      </c>
      <c r="K46" s="18" t="s">
        <v>431</v>
      </c>
      <c r="L46" s="20" t="s">
        <v>431</v>
      </c>
      <c r="M46" s="18" t="n">
        <v>3.7054422</v>
      </c>
      <c r="N46" s="20" t="n">
        <v>0.7815763100000001</v>
      </c>
      <c r="O46" s="18" t="n">
        <v>0.67441515</v>
      </c>
      <c r="P46" s="20" t="n">
        <v>0.28222637</v>
      </c>
      <c r="Q46" s="18" t="n">
        <v>0</v>
      </c>
      <c r="R46" s="20" t="n">
        <v>0</v>
      </c>
      <c r="S46" s="18" t="n">
        <v>10.58125962</v>
      </c>
      <c r="T46" s="20" t="n">
        <v>1.32227122</v>
      </c>
    </row>
    <row r="47" spans="1:20">
      <c r="A47" s="15" t="s">
        <v>471</v>
      </c>
      <c r="B47" s="17" t="n">
        <v>3105</v>
      </c>
      <c r="C47" s="18">
        <f>(2721.0/B47*100)</f>
        <v/>
      </c>
      <c r="D47" s="19" t="n">
        <v>384</v>
      </c>
      <c r="E47" s="18" t="n">
        <v>36.48629514</v>
      </c>
      <c r="F47" s="20" t="n">
        <v>2.41090358</v>
      </c>
      <c r="G47" s="18" t="n">
        <v>15.5199417</v>
      </c>
      <c r="H47" s="20" t="n">
        <v>2.02169275</v>
      </c>
      <c r="I47" s="18" t="n">
        <v>26.28800777</v>
      </c>
      <c r="J47" s="20" t="n">
        <v>2.62914211</v>
      </c>
      <c r="K47" s="18" t="s">
        <v>431</v>
      </c>
      <c r="L47" s="20" t="s">
        <v>431</v>
      </c>
      <c r="M47" s="18" t="n">
        <v>3.90149817</v>
      </c>
      <c r="N47" s="20" t="n">
        <v>1.09984941</v>
      </c>
      <c r="O47" s="18" t="n">
        <v>0</v>
      </c>
      <c r="P47" s="20" t="n">
        <v>0</v>
      </c>
      <c r="Q47" s="18" t="n">
        <v>0</v>
      </c>
      <c r="R47" s="20" t="n">
        <v>0</v>
      </c>
      <c r="S47" s="18" t="n">
        <v>17.80425723</v>
      </c>
      <c r="T47" s="20" t="n">
        <v>1.90271242</v>
      </c>
    </row>
    <row r="48" spans="1:20">
      <c r="A48" s="15" t="s">
        <v>472</v>
      </c>
      <c r="B48" s="17" t="n">
        <v>5159</v>
      </c>
      <c r="C48" s="18">
        <f>(4536.0/B48*100)</f>
        <v/>
      </c>
      <c r="D48" s="19" t="n">
        <v>623</v>
      </c>
      <c r="E48" s="18" t="n">
        <v>24.05259864</v>
      </c>
      <c r="F48" s="20" t="n">
        <v>2.31194022</v>
      </c>
      <c r="G48" s="18" t="n">
        <v>9.310776860000001</v>
      </c>
      <c r="H48" s="20" t="n">
        <v>1.32172845</v>
      </c>
      <c r="I48" s="18" t="n">
        <v>59.41252908</v>
      </c>
      <c r="J48" s="20" t="n">
        <v>2.9213651</v>
      </c>
      <c r="K48" s="18" t="s">
        <v>431</v>
      </c>
      <c r="L48" s="20" t="s">
        <v>431</v>
      </c>
      <c r="M48" s="18" t="n">
        <v>1.1604703</v>
      </c>
      <c r="N48" s="20" t="n">
        <v>0.54003659</v>
      </c>
      <c r="O48" s="18" t="n">
        <v>0.00914301</v>
      </c>
      <c r="P48" s="20" t="n">
        <v>0.0092367</v>
      </c>
      <c r="Q48" s="18" t="n">
        <v>0</v>
      </c>
      <c r="R48" s="20" t="n">
        <v>0</v>
      </c>
      <c r="S48" s="18" t="n">
        <v>6.05448211</v>
      </c>
      <c r="T48" s="20" t="n">
        <v>1.0878704</v>
      </c>
    </row>
    <row r="49" spans="1:20">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5637</v>
      </c>
      <c r="C50" s="18">
        <f>(4970.0/B50*100)</f>
        <v/>
      </c>
      <c r="D50" s="19" t="n">
        <v>667</v>
      </c>
      <c r="E50" s="18" t="n">
        <v>46.85807158</v>
      </c>
      <c r="F50" s="20" t="n">
        <v>2.45431875</v>
      </c>
      <c r="G50" s="18" t="n">
        <v>14.0691714</v>
      </c>
      <c r="H50" s="20" t="n">
        <v>1.90718525</v>
      </c>
      <c r="I50" s="18" t="n">
        <v>28.35292807</v>
      </c>
      <c r="J50" s="20" t="n">
        <v>2.04577891</v>
      </c>
      <c r="K50" s="18" t="s">
        <v>431</v>
      </c>
      <c r="L50" s="20" t="s">
        <v>431</v>
      </c>
      <c r="M50" s="18" t="n">
        <v>3.46158903</v>
      </c>
      <c r="N50" s="20" t="n">
        <v>0.88247497</v>
      </c>
      <c r="O50" s="18" t="n">
        <v>0.04577969</v>
      </c>
      <c r="P50" s="20" t="n">
        <v>0.04567759</v>
      </c>
      <c r="Q50" s="18" t="n">
        <v>0</v>
      </c>
      <c r="R50" s="20" t="n">
        <v>0</v>
      </c>
      <c r="S50" s="18" t="n">
        <v>7.21246023</v>
      </c>
      <c r="T50" s="20" t="n">
        <v>1.46283701</v>
      </c>
    </row>
    <row r="51" spans="1:20">
      <c r="A51" s="15" t="s">
        <v>475</v>
      </c>
      <c r="B51" s="17" t="n">
        <v>3372</v>
      </c>
      <c r="C51" s="18">
        <f>(3015.0/B51*100)</f>
        <v/>
      </c>
      <c r="D51" s="19" t="n">
        <v>357</v>
      </c>
      <c r="E51" s="18" t="n">
        <v>45.50088996</v>
      </c>
      <c r="F51" s="20" t="n">
        <v>3.21317774</v>
      </c>
      <c r="G51" s="18" t="n">
        <v>16.03419866</v>
      </c>
      <c r="H51" s="20" t="n">
        <v>1.85246519</v>
      </c>
      <c r="I51" s="18" t="n">
        <v>32.69362013</v>
      </c>
      <c r="J51" s="20" t="n">
        <v>2.68620315</v>
      </c>
      <c r="K51" s="18" t="s">
        <v>431</v>
      </c>
      <c r="L51" s="20" t="s">
        <v>431</v>
      </c>
      <c r="M51" s="18" t="n">
        <v>0.82103474</v>
      </c>
      <c r="N51" s="20" t="n">
        <v>0.43609021</v>
      </c>
      <c r="O51" s="18" t="n">
        <v>0</v>
      </c>
      <c r="P51" s="20" t="n">
        <v>0</v>
      </c>
      <c r="Q51" s="18" t="n">
        <v>0</v>
      </c>
      <c r="R51" s="20" t="n">
        <v>0</v>
      </c>
      <c r="S51" s="18" t="n">
        <v>4.95025651</v>
      </c>
      <c r="T51" s="20" t="n">
        <v>1.14318538</v>
      </c>
    </row>
    <row r="52" spans="1:20">
      <c r="A52" s="15" t="s">
        <v>476</v>
      </c>
      <c r="B52" s="17" t="n">
        <v>2796</v>
      </c>
      <c r="C52" s="18">
        <f>(2444.0/B52*100)</f>
        <v/>
      </c>
      <c r="D52" s="19" t="n">
        <v>352</v>
      </c>
      <c r="E52" s="18" t="n">
        <v>56.27713204</v>
      </c>
      <c r="F52" s="20" t="n">
        <v>2.59842401</v>
      </c>
      <c r="G52" s="18" t="n">
        <v>11.32660708</v>
      </c>
      <c r="H52" s="20" t="n">
        <v>2.02772345</v>
      </c>
      <c r="I52" s="18" t="n">
        <v>21.54182892</v>
      </c>
      <c r="J52" s="20" t="n">
        <v>2.18893151</v>
      </c>
      <c r="K52" s="18" t="s">
        <v>431</v>
      </c>
      <c r="L52" s="20" t="s">
        <v>431</v>
      </c>
      <c r="M52" s="18" t="n">
        <v>1.20436778</v>
      </c>
      <c r="N52" s="20" t="n">
        <v>0.6223151099999999</v>
      </c>
      <c r="O52" s="18" t="n">
        <v>0</v>
      </c>
      <c r="P52" s="20" t="n">
        <v>0</v>
      </c>
      <c r="Q52" s="18" t="n">
        <v>0</v>
      </c>
      <c r="R52" s="20" t="n">
        <v>0</v>
      </c>
      <c r="S52" s="18" t="n">
        <v>9.650064179999999</v>
      </c>
      <c r="T52" s="20" t="n">
        <v>1.8414569</v>
      </c>
    </row>
    <row r="53" spans="1:20">
      <c r="A53" s="15" t="s">
        <v>477</v>
      </c>
      <c r="B53" s="17" t="n">
        <v>2811</v>
      </c>
      <c r="C53" s="18">
        <f>(2484.0/B53*100)</f>
        <v/>
      </c>
      <c r="D53" s="19" t="n">
        <v>327</v>
      </c>
      <c r="E53" s="18" t="n">
        <v>41.93372214</v>
      </c>
      <c r="F53" s="20" t="n">
        <v>2.9126148</v>
      </c>
      <c r="G53" s="18" t="n">
        <v>10.69573706</v>
      </c>
      <c r="H53" s="20" t="n">
        <v>1.81992724</v>
      </c>
      <c r="I53" s="18" t="n">
        <v>25.17519584</v>
      </c>
      <c r="J53" s="20" t="n">
        <v>2.48061385</v>
      </c>
      <c r="K53" s="18" t="s">
        <v>431</v>
      </c>
      <c r="L53" s="20" t="s">
        <v>431</v>
      </c>
      <c r="M53" s="18" t="n">
        <v>4.56599078</v>
      </c>
      <c r="N53" s="20" t="n">
        <v>1.19069623</v>
      </c>
      <c r="O53" s="18" t="n">
        <v>0</v>
      </c>
      <c r="P53" s="20" t="n">
        <v>0</v>
      </c>
      <c r="Q53" s="18" t="n">
        <v>0</v>
      </c>
      <c r="R53" s="20" t="n">
        <v>0</v>
      </c>
      <c r="S53" s="18" t="n">
        <v>17.62935419</v>
      </c>
      <c r="T53" s="20" t="n">
        <v>2.03837472</v>
      </c>
    </row>
    <row r="54" spans="1:20">
      <c r="A54" s="15" t="s">
        <v>478</v>
      </c>
      <c r="B54" s="17" t="n">
        <v>2266</v>
      </c>
      <c r="C54" s="18">
        <f>(1885.0/B54*100)</f>
        <v/>
      </c>
      <c r="D54" s="19" t="n">
        <v>381</v>
      </c>
      <c r="E54" s="18" t="n">
        <v>36.30971508</v>
      </c>
      <c r="F54" s="20" t="n">
        <v>2.58217231</v>
      </c>
      <c r="G54" s="18" t="n">
        <v>21.90525169</v>
      </c>
      <c r="H54" s="20" t="n">
        <v>2.68625156</v>
      </c>
      <c r="I54" s="18" t="n">
        <v>13.60709519</v>
      </c>
      <c r="J54" s="20" t="n">
        <v>1.39750076</v>
      </c>
      <c r="K54" s="18" t="s">
        <v>431</v>
      </c>
      <c r="L54" s="20" t="s">
        <v>431</v>
      </c>
      <c r="M54" s="18" t="n">
        <v>15.34225667</v>
      </c>
      <c r="N54" s="20" t="n">
        <v>2.07901456</v>
      </c>
      <c r="O54" s="18" t="n">
        <v>0.78110389</v>
      </c>
      <c r="P54" s="20" t="n">
        <v>0.75475629</v>
      </c>
      <c r="Q54" s="18" t="n">
        <v>0</v>
      </c>
      <c r="R54" s="20" t="n">
        <v>0</v>
      </c>
      <c r="S54" s="18" t="n">
        <v>12.05457747</v>
      </c>
      <c r="T54" s="20" t="n">
        <v>1.92322729</v>
      </c>
    </row>
    <row r="55" spans="1:20">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2684</v>
      </c>
      <c r="C56" s="18">
        <f>(2358.0/B56*100)</f>
        <v/>
      </c>
      <c r="D56" s="19" t="n">
        <v>326</v>
      </c>
      <c r="E56" s="18" t="n">
        <v>26.41430086</v>
      </c>
      <c r="F56" s="20" t="n">
        <v>2.76620873</v>
      </c>
      <c r="G56" s="18" t="n">
        <v>14.37910484</v>
      </c>
      <c r="H56" s="20" t="n">
        <v>1.95231927</v>
      </c>
      <c r="I56" s="18" t="n">
        <v>54.99054946</v>
      </c>
      <c r="J56" s="20" t="n">
        <v>2.75633733</v>
      </c>
      <c r="K56" s="18" t="s">
        <v>431</v>
      </c>
      <c r="L56" s="20" t="s">
        <v>431</v>
      </c>
      <c r="M56" s="18" t="n">
        <v>1.04565979</v>
      </c>
      <c r="N56" s="20" t="n">
        <v>0.62713317</v>
      </c>
      <c r="O56" s="18" t="n">
        <v>0</v>
      </c>
      <c r="P56" s="20" t="n">
        <v>0</v>
      </c>
      <c r="Q56" s="18" t="n">
        <v>0</v>
      </c>
      <c r="R56" s="20" t="n">
        <v>0</v>
      </c>
      <c r="S56" s="18" t="n">
        <v>3.17038505</v>
      </c>
      <c r="T56" s="20" t="n">
        <v>0.85649001</v>
      </c>
    </row>
    <row r="57" spans="1:20">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3324</v>
      </c>
      <c r="C61" s="18">
        <f>(2905.0/B61*100)</f>
        <v/>
      </c>
      <c r="D61" s="19" t="n">
        <v>419</v>
      </c>
      <c r="E61" s="18" t="n">
        <v>28.48058252</v>
      </c>
      <c r="F61" s="20" t="n">
        <v>2.32808818</v>
      </c>
      <c r="G61" s="18" t="n">
        <v>20.97595387</v>
      </c>
      <c r="H61" s="20" t="n">
        <v>1.96426047</v>
      </c>
      <c r="I61" s="18" t="n">
        <v>43.10999654</v>
      </c>
      <c r="J61" s="20" t="n">
        <v>3.00684592</v>
      </c>
      <c r="K61" s="18" t="s">
        <v>431</v>
      </c>
      <c r="L61" s="20" t="s">
        <v>431</v>
      </c>
      <c r="M61" s="18" t="n">
        <v>0.88228394</v>
      </c>
      <c r="N61" s="20" t="n">
        <v>0.44688175</v>
      </c>
      <c r="O61" s="18" t="n">
        <v>0</v>
      </c>
      <c r="P61" s="20" t="n">
        <v>0</v>
      </c>
      <c r="Q61" s="18" t="n">
        <v>0</v>
      </c>
      <c r="R61" s="20" t="n">
        <v>0</v>
      </c>
      <c r="S61" s="18" t="n">
        <v>6.55118313</v>
      </c>
      <c r="T61" s="20" t="n">
        <v>1.38702156</v>
      </c>
    </row>
    <row r="62" spans="1:20">
      <c r="A62" s="15" t="s">
        <v>486</v>
      </c>
      <c r="B62" s="17" t="n">
        <v>2246</v>
      </c>
      <c r="C62" s="18">
        <f>(1997.0/B62*100)</f>
        <v/>
      </c>
      <c r="D62" s="19" t="n">
        <v>249</v>
      </c>
      <c r="E62" s="18" t="n">
        <v>28.05780409</v>
      </c>
      <c r="F62" s="20" t="n">
        <v>2.82773265</v>
      </c>
      <c r="G62" s="18" t="n">
        <v>13.61632315</v>
      </c>
      <c r="H62" s="20" t="n">
        <v>2.49900263</v>
      </c>
      <c r="I62" s="18" t="n">
        <v>55.91208057</v>
      </c>
      <c r="J62" s="20" t="n">
        <v>3.0808569</v>
      </c>
      <c r="K62" s="18" t="s">
        <v>431</v>
      </c>
      <c r="L62" s="20" t="s">
        <v>431</v>
      </c>
      <c r="M62" s="18" t="n">
        <v>0</v>
      </c>
      <c r="N62" s="20" t="n">
        <v>0</v>
      </c>
      <c r="O62" s="18" t="n">
        <v>0</v>
      </c>
      <c r="P62" s="20" t="n">
        <v>0</v>
      </c>
      <c r="Q62" s="18" t="n">
        <v>0</v>
      </c>
      <c r="R62" s="20" t="n">
        <v>0</v>
      </c>
      <c r="S62" s="18" t="n">
        <v>2.4137922</v>
      </c>
      <c r="T62" s="20" t="n">
        <v>0.950761</v>
      </c>
    </row>
    <row r="63" spans="1:20">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2894</v>
      </c>
      <c r="C66" s="18">
        <f>(2565.0/B66*100)</f>
        <v/>
      </c>
      <c r="D66" s="19" t="n">
        <v>329</v>
      </c>
      <c r="E66" s="18" t="n">
        <v>47.88900732</v>
      </c>
      <c r="F66" s="20" t="n">
        <v>2.72411384</v>
      </c>
      <c r="G66" s="18" t="n">
        <v>11.38071873</v>
      </c>
      <c r="H66" s="20" t="n">
        <v>2.15407359</v>
      </c>
      <c r="I66" s="18" t="n">
        <v>15.55715619</v>
      </c>
      <c r="J66" s="20" t="n">
        <v>2.18907468</v>
      </c>
      <c r="K66" s="18" t="s">
        <v>431</v>
      </c>
      <c r="L66" s="20" t="s">
        <v>431</v>
      </c>
      <c r="M66" s="18" t="n">
        <v>4.08752442</v>
      </c>
      <c r="N66" s="20" t="n">
        <v>1.15802541</v>
      </c>
      <c r="O66" s="18" t="n">
        <v>1.89432852</v>
      </c>
      <c r="P66" s="20" t="n">
        <v>0.75801872</v>
      </c>
      <c r="Q66" s="18" t="n">
        <v>0</v>
      </c>
      <c r="R66" s="20" t="n">
        <v>0</v>
      </c>
      <c r="S66" s="18" t="n">
        <v>19.19126482</v>
      </c>
      <c r="T66" s="20" t="n">
        <v>2.36871803</v>
      </c>
    </row>
    <row r="67" spans="1:20">
      <c r="A67" s="15" t="s">
        <v>491</v>
      </c>
      <c r="B67" s="17" t="n">
        <v>3511</v>
      </c>
      <c r="C67" s="18">
        <f>(3132.0/B67*100)</f>
        <v/>
      </c>
      <c r="D67" s="19" t="n">
        <v>379</v>
      </c>
      <c r="E67" s="18" t="n">
        <v>43.97485015</v>
      </c>
      <c r="F67" s="20" t="n">
        <v>2.90886369</v>
      </c>
      <c r="G67" s="18" t="n">
        <v>16.79697141</v>
      </c>
      <c r="H67" s="20" t="n">
        <v>2.38259852</v>
      </c>
      <c r="I67" s="18" t="n">
        <v>31.94325517</v>
      </c>
      <c r="J67" s="20" t="n">
        <v>2.6812002</v>
      </c>
      <c r="K67" s="18" t="s">
        <v>431</v>
      </c>
      <c r="L67" s="20" t="s">
        <v>431</v>
      </c>
      <c r="M67" s="18" t="n">
        <v>1.20454621</v>
      </c>
      <c r="N67" s="20" t="n">
        <v>0.38190924</v>
      </c>
      <c r="O67" s="18" t="n">
        <v>0</v>
      </c>
      <c r="P67" s="20" t="n">
        <v>0</v>
      </c>
      <c r="Q67" s="18" t="n">
        <v>0</v>
      </c>
      <c r="R67" s="20" t="n">
        <v>0</v>
      </c>
      <c r="S67" s="18" t="n">
        <v>6.08037706</v>
      </c>
      <c r="T67" s="20" t="n">
        <v>1.35705342</v>
      </c>
    </row>
    <row r="68" spans="1:20">
      <c r="A68" s="15" t="s">
        <v>492</v>
      </c>
      <c r="B68" s="17" t="n">
        <v>6049</v>
      </c>
      <c r="C68" s="18">
        <f>(5052.0/B68*100)</f>
        <v/>
      </c>
      <c r="D68" s="19" t="n">
        <v>997</v>
      </c>
      <c r="E68" s="18" t="n">
        <v>45.0304029</v>
      </c>
      <c r="F68" s="20" t="n">
        <v>1.52830857</v>
      </c>
      <c r="G68" s="18" t="n">
        <v>13.5589874</v>
      </c>
      <c r="H68" s="20" t="n">
        <v>0.960414</v>
      </c>
      <c r="I68" s="18" t="n">
        <v>19.21873974</v>
      </c>
      <c r="J68" s="20" t="n">
        <v>1.12549826</v>
      </c>
      <c r="K68" s="18" t="s">
        <v>431</v>
      </c>
      <c r="L68" s="20" t="s">
        <v>431</v>
      </c>
      <c r="M68" s="18" t="n">
        <v>8.76936652</v>
      </c>
      <c r="N68" s="20" t="n">
        <v>0.92448728</v>
      </c>
      <c r="O68" s="18" t="n">
        <v>0.09696976</v>
      </c>
      <c r="P68" s="20" t="n">
        <v>0.09688743</v>
      </c>
      <c r="Q68" s="18" t="n">
        <v>0</v>
      </c>
      <c r="R68" s="20" t="n">
        <v>0</v>
      </c>
      <c r="S68" s="18" t="n">
        <v>13.32553367</v>
      </c>
      <c r="T68" s="20" t="n">
        <v>0.9850034600000001</v>
      </c>
    </row>
    <row r="69" spans="1:20">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2929</v>
      </c>
      <c r="C70" s="18">
        <f>(2614.0/B70*100)</f>
        <v/>
      </c>
      <c r="D70" s="19" t="n">
        <v>315</v>
      </c>
      <c r="E70" s="18" t="n">
        <v>45.40162673</v>
      </c>
      <c r="F70" s="20" t="n">
        <v>3.19143263</v>
      </c>
      <c r="G70" s="18" t="n">
        <v>12.88314845</v>
      </c>
      <c r="H70" s="20" t="n">
        <v>1.92205316</v>
      </c>
      <c r="I70" s="18" t="n">
        <v>35.95454579</v>
      </c>
      <c r="J70" s="20" t="n">
        <v>2.87874259</v>
      </c>
      <c r="K70" s="18" t="s">
        <v>431</v>
      </c>
      <c r="L70" s="20" t="s">
        <v>431</v>
      </c>
      <c r="M70" s="18" t="n">
        <v>0.94252456</v>
      </c>
      <c r="N70" s="20" t="n">
        <v>0.51534541</v>
      </c>
      <c r="O70" s="18" t="n">
        <v>0</v>
      </c>
      <c r="P70" s="20" t="n">
        <v>0</v>
      </c>
      <c r="Q70" s="18" t="n">
        <v>0</v>
      </c>
      <c r="R70" s="20" t="n">
        <v>0</v>
      </c>
      <c r="S70" s="18" t="n">
        <v>4.81815447</v>
      </c>
      <c r="T70" s="20" t="n">
        <v>1.19157073</v>
      </c>
    </row>
    <row r="71" spans="1:20">
      <c r="A71" s="15" t="s">
        <v>495</v>
      </c>
      <c r="B71" s="17" t="n">
        <v>3142</v>
      </c>
      <c r="C71" s="18">
        <f>(2759.0/B71*100)</f>
        <v/>
      </c>
      <c r="D71" s="19" t="n">
        <v>383</v>
      </c>
      <c r="E71" s="18" t="n">
        <v>21.31772869</v>
      </c>
      <c r="F71" s="20" t="n">
        <v>2.22107466</v>
      </c>
      <c r="G71" s="18" t="n">
        <v>10.52330021</v>
      </c>
      <c r="H71" s="20" t="n">
        <v>1.51224123</v>
      </c>
      <c r="I71" s="18" t="n">
        <v>65.33809050000001</v>
      </c>
      <c r="J71" s="20" t="n">
        <v>2.68619109</v>
      </c>
      <c r="K71" s="18" t="s">
        <v>431</v>
      </c>
      <c r="L71" s="20" t="s">
        <v>431</v>
      </c>
      <c r="M71" s="18" t="n">
        <v>0.55287687</v>
      </c>
      <c r="N71" s="20" t="n">
        <v>0.38971539</v>
      </c>
      <c r="O71" s="18" t="n">
        <v>0.13654429</v>
      </c>
      <c r="P71" s="20" t="n">
        <v>0.13968033</v>
      </c>
      <c r="Q71" s="18" t="n">
        <v>0</v>
      </c>
      <c r="R71" s="20" t="n">
        <v>0</v>
      </c>
      <c r="S71" s="18" t="n">
        <v>2.13145943</v>
      </c>
      <c r="T71" s="20" t="n">
        <v>0.91406937</v>
      </c>
    </row>
    <row r="72" spans="1:20">
      <c r="A72" s="15" t="s">
        <v>496</v>
      </c>
      <c r="B72" s="17" t="n">
        <v>3889</v>
      </c>
      <c r="C72" s="18">
        <f>(3395.0/B72*100)</f>
        <v/>
      </c>
      <c r="D72" s="19" t="n">
        <v>494</v>
      </c>
      <c r="E72" s="18" t="n">
        <v>24.23666938</v>
      </c>
      <c r="F72" s="20" t="n">
        <v>1.9641356</v>
      </c>
      <c r="G72" s="18" t="n">
        <v>15.10414115</v>
      </c>
      <c r="H72" s="20" t="n">
        <v>1.76198031</v>
      </c>
      <c r="I72" s="18" t="n">
        <v>53.86546655</v>
      </c>
      <c r="J72" s="20" t="n">
        <v>2.4254348</v>
      </c>
      <c r="K72" s="18" t="s">
        <v>431</v>
      </c>
      <c r="L72" s="20" t="s">
        <v>431</v>
      </c>
      <c r="M72" s="18" t="n">
        <v>1.02772421</v>
      </c>
      <c r="N72" s="20" t="n">
        <v>0.33573083</v>
      </c>
      <c r="O72" s="18" t="n">
        <v>0</v>
      </c>
      <c r="P72" s="20" t="n">
        <v>0</v>
      </c>
      <c r="Q72" s="18" t="n">
        <v>0</v>
      </c>
      <c r="R72" s="20" t="n">
        <v>0</v>
      </c>
      <c r="S72" s="18" t="n">
        <v>5.76599871</v>
      </c>
      <c r="T72" s="20" t="n">
        <v>1.00475102</v>
      </c>
    </row>
    <row r="73" spans="1:20">
      <c r="A73" s="15" t="s">
        <v>497</v>
      </c>
      <c r="B73" s="17" t="n">
        <v>3597</v>
      </c>
      <c r="C73" s="18">
        <f>(3181.0/B73*100)</f>
        <v/>
      </c>
      <c r="D73" s="19" t="n">
        <v>416</v>
      </c>
      <c r="E73" s="18" t="n">
        <v>68.69398377</v>
      </c>
      <c r="F73" s="20" t="n">
        <v>2.71569592</v>
      </c>
      <c r="G73" s="18" t="n">
        <v>8.495506539999999</v>
      </c>
      <c r="H73" s="20" t="n">
        <v>1.70344973</v>
      </c>
      <c r="I73" s="18" t="n">
        <v>19.00247422</v>
      </c>
      <c r="J73" s="20" t="n">
        <v>2.65696752</v>
      </c>
      <c r="K73" s="18" t="s">
        <v>431</v>
      </c>
      <c r="L73" s="20" t="s">
        <v>431</v>
      </c>
      <c r="M73" s="18" t="n">
        <v>0.02720091</v>
      </c>
      <c r="N73" s="20" t="n">
        <v>0.02750419</v>
      </c>
      <c r="O73" s="18" t="n">
        <v>0</v>
      </c>
      <c r="P73" s="20" t="n">
        <v>0</v>
      </c>
      <c r="Q73" s="18" t="n">
        <v>0</v>
      </c>
      <c r="R73" s="20" t="n">
        <v>0</v>
      </c>
      <c r="S73" s="18" t="n">
        <v>3.78083456</v>
      </c>
      <c r="T73" s="20" t="n">
        <v>0.99742003</v>
      </c>
    </row>
    <row r="74" spans="1:20">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2406</v>
      </c>
      <c r="C75" s="18">
        <f>(2154.0/B75*100)</f>
        <v/>
      </c>
      <c r="D75" s="19" t="n">
        <v>252</v>
      </c>
      <c r="E75" s="18" t="n">
        <v>45.43570726</v>
      </c>
      <c r="F75" s="20" t="n">
        <v>3.01103293</v>
      </c>
      <c r="G75" s="18" t="n">
        <v>17.18963138</v>
      </c>
      <c r="H75" s="20" t="n">
        <v>2.12114655</v>
      </c>
      <c r="I75" s="18" t="n">
        <v>12.5719417</v>
      </c>
      <c r="J75" s="20" t="n">
        <v>2.23407364</v>
      </c>
      <c r="K75" s="18" t="s">
        <v>431</v>
      </c>
      <c r="L75" s="20" t="s">
        <v>431</v>
      </c>
      <c r="M75" s="18" t="n">
        <v>4.32629576</v>
      </c>
      <c r="N75" s="20" t="n">
        <v>1.29081492</v>
      </c>
      <c r="O75" s="18" t="n">
        <v>1.54463948</v>
      </c>
      <c r="P75" s="20" t="n">
        <v>0.88849718</v>
      </c>
      <c r="Q75" s="18" t="n">
        <v>0</v>
      </c>
      <c r="R75" s="20" t="n">
        <v>0</v>
      </c>
      <c r="S75" s="18" t="n">
        <v>18.93178441</v>
      </c>
      <c r="T75" s="20" t="n">
        <v>2.34749077</v>
      </c>
    </row>
    <row r="76" spans="1:20">
      <c r="A76" s="15" t="s">
        <v>500</v>
      </c>
      <c r="B76" s="17" t="n">
        <v>7052</v>
      </c>
      <c r="C76" s="18">
        <f>(6221.0/B76*100)</f>
        <v/>
      </c>
      <c r="D76" s="19" t="n">
        <v>831</v>
      </c>
      <c r="E76" s="18" t="n">
        <v>45.79490943</v>
      </c>
      <c r="F76" s="20" t="n">
        <v>2.09382471</v>
      </c>
      <c r="G76" s="18" t="n">
        <v>13.56501755</v>
      </c>
      <c r="H76" s="20" t="n">
        <v>1.31980411</v>
      </c>
      <c r="I76" s="18" t="n">
        <v>27.73670294</v>
      </c>
      <c r="J76" s="20" t="n">
        <v>1.88046316</v>
      </c>
      <c r="K76" s="18" t="s">
        <v>431</v>
      </c>
      <c r="L76" s="20" t="s">
        <v>431</v>
      </c>
      <c r="M76" s="18" t="n">
        <v>2.40311251</v>
      </c>
      <c r="N76" s="20" t="n">
        <v>0.61292144</v>
      </c>
      <c r="O76" s="18" t="n">
        <v>0.27496058</v>
      </c>
      <c r="P76" s="20" t="n">
        <v>0.20149505</v>
      </c>
      <c r="Q76" s="18" t="n">
        <v>0</v>
      </c>
      <c r="R76" s="20" t="n">
        <v>0</v>
      </c>
      <c r="S76" s="18" t="n">
        <v>10.225297</v>
      </c>
      <c r="T76" s="20" t="n">
        <v>1.44509078</v>
      </c>
    </row>
    <row r="77" spans="1:20">
      <c r="A77" s="15" t="s">
        <v>501</v>
      </c>
      <c r="B77" s="17" t="n">
        <v>2908</v>
      </c>
      <c r="C77" s="18">
        <f>(2555.0/B77*100)</f>
        <v/>
      </c>
      <c r="D77" s="19" t="n">
        <v>353</v>
      </c>
      <c r="E77" s="18" t="n">
        <v>31.47478602</v>
      </c>
      <c r="F77" s="20" t="n">
        <v>2.90084952</v>
      </c>
      <c r="G77" s="18" t="n">
        <v>11.94613387</v>
      </c>
      <c r="H77" s="20" t="n">
        <v>1.61990195</v>
      </c>
      <c r="I77" s="18" t="n">
        <v>40.3522416</v>
      </c>
      <c r="J77" s="20" t="n">
        <v>2.99154795</v>
      </c>
      <c r="K77" s="18" t="s">
        <v>431</v>
      </c>
      <c r="L77" s="20" t="s">
        <v>431</v>
      </c>
      <c r="M77" s="18" t="n">
        <v>3.40817881</v>
      </c>
      <c r="N77" s="20" t="n">
        <v>1.06205165</v>
      </c>
      <c r="O77" s="18" t="n">
        <v>0.31379766</v>
      </c>
      <c r="P77" s="20" t="n">
        <v>0.32369587</v>
      </c>
      <c r="Q77" s="18" t="n">
        <v>0</v>
      </c>
      <c r="R77" s="20" t="n">
        <v>0</v>
      </c>
      <c r="S77" s="18" t="n">
        <v>12.50486203</v>
      </c>
      <c r="T77" s="20" t="n">
        <v>2.31057733</v>
      </c>
    </row>
    <row r="78" spans="1:20">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(3668.0/B81*100)</f>
        <v/>
      </c>
      <c r="D81" s="19" t="n">
        <v>495</v>
      </c>
      <c r="E81" s="18" t="n">
        <v>60.20581884</v>
      </c>
      <c r="F81" s="20" t="n">
        <v>3.24056942</v>
      </c>
      <c r="G81" s="18" t="n">
        <v>7.51767399</v>
      </c>
      <c r="H81" s="20" t="n">
        <v>1.59666331</v>
      </c>
      <c r="I81" s="18" t="n">
        <v>27.11446114</v>
      </c>
      <c r="J81" s="20" t="n">
        <v>2.77921784</v>
      </c>
      <c r="K81" s="18" t="s">
        <v>431</v>
      </c>
      <c r="L81" s="20" t="s">
        <v>431</v>
      </c>
      <c r="M81" s="18" t="n">
        <v>0.79308148</v>
      </c>
      <c r="N81" s="20" t="n">
        <v>0.55395528</v>
      </c>
      <c r="O81" s="18" t="n">
        <v>0</v>
      </c>
      <c r="P81" s="20" t="n">
        <v>0</v>
      </c>
      <c r="Q81" s="18" t="n">
        <v>0</v>
      </c>
      <c r="R81" s="20" t="n">
        <v>0</v>
      </c>
      <c r="S81" s="18" t="n">
        <v>4.36896456</v>
      </c>
      <c r="T81" s="20" t="n">
        <v>1.17378516</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(6514.0/B7*100)</f>
        <v/>
      </c>
      <c r="D7" s="19" t="n">
        <v>853</v>
      </c>
      <c r="E7" s="18" t="n">
        <v>22.39063481</v>
      </c>
      <c r="F7" s="20" t="n">
        <v>1.80433146</v>
      </c>
      <c r="G7" s="18" t="n">
        <v>68.41405836</v>
      </c>
      <c r="H7" s="20" t="n">
        <v>2.05394097</v>
      </c>
      <c r="I7" s="18" t="s">
        <v>431</v>
      </c>
      <c r="J7" s="20" t="s">
        <v>431</v>
      </c>
      <c r="K7" s="18" t="n">
        <v>1.83919311</v>
      </c>
      <c r="L7" s="20" t="n">
        <v>0.5964496</v>
      </c>
      <c r="M7" s="18" t="n">
        <v>0.05344449</v>
      </c>
      <c r="N7" s="20" t="n">
        <v>0.04099957</v>
      </c>
      <c r="O7" s="18" t="n">
        <v>0</v>
      </c>
      <c r="P7" s="20" t="n">
        <v>0</v>
      </c>
      <c r="Q7" s="18" t="n">
        <v>7.30266923</v>
      </c>
      <c r="R7" s="20" t="n">
        <v>1.11681504</v>
      </c>
    </row>
    <row r="8" spans="1:18">
      <c r="A8" s="15" t="s">
        <v>432</v>
      </c>
      <c r="B8" s="17" t="n">
        <v>3564</v>
      </c>
      <c r="C8" s="18">
        <f>(3156.0/B8*100)</f>
        <v/>
      </c>
      <c r="D8" s="19" t="n">
        <v>408</v>
      </c>
      <c r="E8" s="18" t="n">
        <v>25.98099914</v>
      </c>
      <c r="F8" s="20" t="n">
        <v>2.45181261</v>
      </c>
      <c r="G8" s="18" t="n">
        <v>62.77138597</v>
      </c>
      <c r="H8" s="20" t="n">
        <v>2.88457581</v>
      </c>
      <c r="I8" s="18" t="s">
        <v>431</v>
      </c>
      <c r="J8" s="20" t="s">
        <v>431</v>
      </c>
      <c r="K8" s="18" t="n">
        <v>1.97641314</v>
      </c>
      <c r="L8" s="20" t="n">
        <v>0.76515068</v>
      </c>
      <c r="M8" s="18" t="n">
        <v>0</v>
      </c>
      <c r="N8" s="20" t="n">
        <v>0</v>
      </c>
      <c r="O8" s="18" t="n">
        <v>0</v>
      </c>
      <c r="P8" s="20" t="n">
        <v>0</v>
      </c>
      <c r="Q8" s="18" t="n">
        <v>9.271201749999999</v>
      </c>
      <c r="R8" s="20" t="n">
        <v>1.49338635</v>
      </c>
    </row>
    <row r="9" spans="1:18">
      <c r="A9" s="15" t="s">
        <v>433</v>
      </c>
      <c r="B9" s="17" t="n">
        <v>4899</v>
      </c>
      <c r="C9" s="18">
        <f>(4328.0/B9*100)</f>
        <v/>
      </c>
      <c r="D9" s="19" t="n">
        <v>571</v>
      </c>
      <c r="E9" s="18" t="n">
        <v>23.60078797</v>
      </c>
      <c r="F9" s="20" t="n">
        <v>2.08334893</v>
      </c>
      <c r="G9" s="18" t="n">
        <v>68.96821306</v>
      </c>
      <c r="H9" s="20" t="n">
        <v>2.53025364</v>
      </c>
      <c r="I9" s="18" t="s">
        <v>431</v>
      </c>
      <c r="J9" s="20" t="s">
        <v>431</v>
      </c>
      <c r="K9" s="18" t="n">
        <v>1.58134257</v>
      </c>
      <c r="L9" s="20" t="n">
        <v>0.7074141900000001</v>
      </c>
      <c r="M9" s="18" t="n">
        <v>0.29760248</v>
      </c>
      <c r="N9" s="20" t="n">
        <v>0.21456123</v>
      </c>
      <c r="O9" s="18" t="n">
        <v>0</v>
      </c>
      <c r="P9" s="20" t="n">
        <v>0</v>
      </c>
      <c r="Q9" s="18" t="n">
        <v>5.55205392</v>
      </c>
      <c r="R9" s="20" t="n">
        <v>1.13402221</v>
      </c>
    </row>
    <row r="10" spans="1:18">
      <c r="A10" s="15" t="s">
        <v>434</v>
      </c>
      <c r="B10" s="17" t="n">
        <v>10036</v>
      </c>
      <c r="C10" s="18">
        <f>(8823.0/B10*100)</f>
        <v/>
      </c>
      <c r="D10" s="19" t="n">
        <v>1213</v>
      </c>
      <c r="E10" s="18" t="n">
        <v>16.40446591</v>
      </c>
      <c r="F10" s="20" t="n">
        <v>1.33402528</v>
      </c>
      <c r="G10" s="18" t="n">
        <v>77.71576206</v>
      </c>
      <c r="H10" s="20" t="n">
        <v>1.58144199</v>
      </c>
      <c r="I10" s="18" t="s">
        <v>431</v>
      </c>
      <c r="J10" s="20" t="s">
        <v>431</v>
      </c>
      <c r="K10" s="18" t="n">
        <v>2.04882044</v>
      </c>
      <c r="L10" s="20" t="n">
        <v>0.70665247</v>
      </c>
      <c r="M10" s="18" t="n">
        <v>0</v>
      </c>
      <c r="N10" s="20" t="n">
        <v>0</v>
      </c>
      <c r="O10" s="18" t="n">
        <v>0</v>
      </c>
      <c r="P10" s="20" t="n">
        <v>0</v>
      </c>
      <c r="Q10" s="18" t="n">
        <v>3.83095159</v>
      </c>
      <c r="R10" s="20" t="n">
        <v>0.77314587</v>
      </c>
    </row>
    <row r="11" spans="1:18">
      <c r="A11" s="15" t="s">
        <v>435</v>
      </c>
      <c r="B11" s="17" t="n">
        <v>3553</v>
      </c>
      <c r="C11" s="18">
        <f>(3110.0/B11*100)</f>
        <v/>
      </c>
      <c r="D11" s="19" t="n">
        <v>443</v>
      </c>
      <c r="E11" s="18" t="n">
        <v>30.20907933</v>
      </c>
      <c r="F11" s="20" t="n">
        <v>2.4097517</v>
      </c>
      <c r="G11" s="18" t="n">
        <v>55.82505697</v>
      </c>
      <c r="H11" s="20" t="n">
        <v>2.27128274</v>
      </c>
      <c r="I11" s="18" t="s">
        <v>431</v>
      </c>
      <c r="J11" s="20" t="s">
        <v>431</v>
      </c>
      <c r="K11" s="18" t="n">
        <v>1.97417475</v>
      </c>
      <c r="L11" s="20" t="n">
        <v>0.87396074</v>
      </c>
      <c r="M11" s="18" t="n">
        <v>0</v>
      </c>
      <c r="N11" s="20" t="n">
        <v>0</v>
      </c>
      <c r="O11" s="18" t="n">
        <v>0</v>
      </c>
      <c r="P11" s="20" t="n">
        <v>0</v>
      </c>
      <c r="Q11" s="18" t="n">
        <v>11.99168895</v>
      </c>
      <c r="R11" s="20" t="n">
        <v>1.99808439</v>
      </c>
    </row>
    <row r="12" spans="1:18">
      <c r="A12" s="15" t="s">
        <v>436</v>
      </c>
      <c r="B12" s="17" t="n">
        <v>3472</v>
      </c>
      <c r="C12" s="18">
        <f>(3045.0/B12*100)</f>
        <v/>
      </c>
      <c r="D12" s="19" t="n">
        <v>427</v>
      </c>
      <c r="E12" s="18" t="n">
        <v>24.06088702</v>
      </c>
      <c r="F12" s="20" t="n">
        <v>2.42387144</v>
      </c>
      <c r="G12" s="18" t="n">
        <v>65.13868349000001</v>
      </c>
      <c r="H12" s="20" t="n">
        <v>2.87847377</v>
      </c>
      <c r="I12" s="18" t="s">
        <v>431</v>
      </c>
      <c r="J12" s="20" t="s">
        <v>431</v>
      </c>
      <c r="K12" s="18" t="n">
        <v>2.23164802</v>
      </c>
      <c r="L12" s="20" t="n">
        <v>0.9205721100000001</v>
      </c>
      <c r="M12" s="18" t="n">
        <v>0.13911866</v>
      </c>
      <c r="N12" s="20" t="n">
        <v>0.18423702</v>
      </c>
      <c r="O12" s="18" t="n">
        <v>0</v>
      </c>
      <c r="P12" s="20" t="n">
        <v>0</v>
      </c>
      <c r="Q12" s="18" t="n">
        <v>8.429662820000001</v>
      </c>
      <c r="R12" s="20" t="n">
        <v>1.59179253</v>
      </c>
    </row>
    <row r="13" spans="1:18">
      <c r="A13" s="15" t="s">
        <v>437</v>
      </c>
      <c r="B13" s="17" t="n">
        <v>3559</v>
      </c>
      <c r="C13" s="18">
        <f>(3148.0/B13*100)</f>
        <v/>
      </c>
      <c r="D13" s="19" t="n">
        <v>411</v>
      </c>
      <c r="E13" s="18" t="n">
        <v>20.21936511</v>
      </c>
      <c r="F13" s="20" t="n">
        <v>1.95706786</v>
      </c>
      <c r="G13" s="18" t="n">
        <v>73.06876422000001</v>
      </c>
      <c r="H13" s="20" t="n">
        <v>2.17107375</v>
      </c>
      <c r="I13" s="18" t="s">
        <v>431</v>
      </c>
      <c r="J13" s="20" t="s">
        <v>431</v>
      </c>
      <c r="K13" s="18" t="n">
        <v>2.24654552</v>
      </c>
      <c r="L13" s="20" t="n">
        <v>0.88814848</v>
      </c>
      <c r="M13" s="18" t="n">
        <v>0</v>
      </c>
      <c r="N13" s="20" t="n">
        <v>0</v>
      </c>
      <c r="O13" s="18" t="n">
        <v>0</v>
      </c>
      <c r="P13" s="20" t="n">
        <v>0</v>
      </c>
      <c r="Q13" s="18" t="n">
        <v>4.46532515</v>
      </c>
      <c r="R13" s="20" t="n">
        <v>0.99934226</v>
      </c>
    </row>
    <row r="14" spans="1:18">
      <c r="A14" s="15" t="s">
        <v>438</v>
      </c>
      <c r="B14" s="17" t="n">
        <v>2799</v>
      </c>
      <c r="C14" s="18">
        <f>(2464.0/B14*100)</f>
        <v/>
      </c>
      <c r="D14" s="19" t="n">
        <v>335</v>
      </c>
      <c r="E14" s="18" t="n">
        <v>18.45876077</v>
      </c>
      <c r="F14" s="20" t="n">
        <v>2.35767953</v>
      </c>
      <c r="G14" s="18" t="n">
        <v>77.19559069</v>
      </c>
      <c r="H14" s="20" t="n">
        <v>2.61634069</v>
      </c>
      <c r="I14" s="18" t="s">
        <v>431</v>
      </c>
      <c r="J14" s="20" t="s">
        <v>431</v>
      </c>
      <c r="K14" s="18" t="n">
        <v>0.97440782</v>
      </c>
      <c r="L14" s="20" t="n">
        <v>0.48942161</v>
      </c>
      <c r="M14" s="18" t="n">
        <v>0</v>
      </c>
      <c r="N14" s="20" t="n">
        <v>0</v>
      </c>
      <c r="O14" s="18" t="n">
        <v>0</v>
      </c>
      <c r="P14" s="20" t="n">
        <v>0</v>
      </c>
      <c r="Q14" s="18" t="n">
        <v>3.37124073</v>
      </c>
      <c r="R14" s="20" t="n">
        <v>1.12792971</v>
      </c>
    </row>
    <row r="15" spans="1:18">
      <c r="A15" s="15" t="s">
        <v>439</v>
      </c>
      <c r="B15" s="17" t="n">
        <v>3019</v>
      </c>
      <c r="C15" s="18">
        <f>(2645.0/B15*100)</f>
        <v/>
      </c>
      <c r="D15" s="19" t="n">
        <v>374</v>
      </c>
      <c r="E15" s="18" t="n">
        <v>17.80387239</v>
      </c>
      <c r="F15" s="20" t="n">
        <v>2.12906929</v>
      </c>
      <c r="G15" s="18" t="n">
        <v>77.57468471999999</v>
      </c>
      <c r="H15" s="20" t="n">
        <v>2.47294321</v>
      </c>
      <c r="I15" s="18" t="s">
        <v>431</v>
      </c>
      <c r="J15" s="20" t="s">
        <v>431</v>
      </c>
      <c r="K15" s="18" t="n">
        <v>2.29922606</v>
      </c>
      <c r="L15" s="20" t="n">
        <v>0.83270584</v>
      </c>
      <c r="M15" s="18" t="n">
        <v>0</v>
      </c>
      <c r="N15" s="20" t="n">
        <v>0</v>
      </c>
      <c r="O15" s="18" t="n">
        <v>0</v>
      </c>
      <c r="P15" s="20" t="n">
        <v>0</v>
      </c>
      <c r="Q15" s="18" t="n">
        <v>2.32221683</v>
      </c>
      <c r="R15" s="20" t="n">
        <v>0.76751871</v>
      </c>
    </row>
    <row r="16" spans="1:18">
      <c r="A16" s="15" t="s">
        <v>440</v>
      </c>
      <c r="B16" s="17" t="n">
        <v>2997</v>
      </c>
      <c r="C16" s="18">
        <f>(2618.0/B16*100)</f>
        <v/>
      </c>
      <c r="D16" s="19" t="n">
        <v>379</v>
      </c>
      <c r="E16" s="18" t="n">
        <v>17.6108241</v>
      </c>
      <c r="F16" s="20" t="n">
        <v>2.08954753</v>
      </c>
      <c r="G16" s="18" t="n">
        <v>64.49677746</v>
      </c>
      <c r="H16" s="20" t="n">
        <v>2.56682419</v>
      </c>
      <c r="I16" s="18" t="s">
        <v>431</v>
      </c>
      <c r="J16" s="20" t="s">
        <v>431</v>
      </c>
      <c r="K16" s="18" t="n">
        <v>3.10565809</v>
      </c>
      <c r="L16" s="20" t="n">
        <v>0.94304827</v>
      </c>
      <c r="M16" s="18" t="n">
        <v>0</v>
      </c>
      <c r="N16" s="20" t="n">
        <v>0</v>
      </c>
      <c r="O16" s="18" t="n">
        <v>0</v>
      </c>
      <c r="P16" s="20" t="n">
        <v>0</v>
      </c>
      <c r="Q16" s="18" t="n">
        <v>14.78674036</v>
      </c>
      <c r="R16" s="20" t="n">
        <v>1.60986363</v>
      </c>
    </row>
    <row r="17" spans="1:18">
      <c r="A17" s="15" t="s">
        <v>441</v>
      </c>
      <c r="B17" s="17" t="n">
        <v>3307</v>
      </c>
      <c r="C17" s="18">
        <f>(2909.0/B17*100)</f>
        <v/>
      </c>
      <c r="D17" s="19" t="n">
        <v>398</v>
      </c>
      <c r="E17" s="18" t="n">
        <v>22.85508143</v>
      </c>
      <c r="F17" s="20" t="n">
        <v>2.44499911</v>
      </c>
      <c r="G17" s="18" t="n">
        <v>66.89873722</v>
      </c>
      <c r="H17" s="20" t="n">
        <v>2.90188082</v>
      </c>
      <c r="I17" s="18" t="s">
        <v>431</v>
      </c>
      <c r="J17" s="20" t="s">
        <v>431</v>
      </c>
      <c r="K17" s="18" t="n">
        <v>1.77786489</v>
      </c>
      <c r="L17" s="20" t="n">
        <v>0.79600942</v>
      </c>
      <c r="M17" s="18" t="n">
        <v>0</v>
      </c>
      <c r="N17" s="20" t="n">
        <v>0</v>
      </c>
      <c r="O17" s="18" t="n">
        <v>0</v>
      </c>
      <c r="P17" s="20" t="n">
        <v>0</v>
      </c>
      <c r="Q17" s="18" t="n">
        <v>8.46831646</v>
      </c>
      <c r="R17" s="20" t="n">
        <v>1.3151722</v>
      </c>
    </row>
    <row r="18" spans="1:18">
      <c r="A18" s="15" t="s">
        <v>442</v>
      </c>
      <c r="B18" s="17" t="n">
        <v>2826</v>
      </c>
      <c r="C18" s="18">
        <f>(2501.0/B18*100)</f>
        <v/>
      </c>
      <c r="D18" s="19" t="n">
        <v>325</v>
      </c>
      <c r="E18" s="18" t="n">
        <v>44.90154963</v>
      </c>
      <c r="F18" s="20" t="n">
        <v>2.78481633</v>
      </c>
      <c r="G18" s="18" t="n">
        <v>34.24425117</v>
      </c>
      <c r="H18" s="20" t="n">
        <v>2.88971861</v>
      </c>
      <c r="I18" s="18" t="s">
        <v>431</v>
      </c>
      <c r="J18" s="20" t="s">
        <v>431</v>
      </c>
      <c r="K18" s="18" t="n">
        <v>3.59532304</v>
      </c>
      <c r="L18" s="20" t="n">
        <v>1.39600808</v>
      </c>
      <c r="M18" s="18" t="n">
        <v>0</v>
      </c>
      <c r="N18" s="20" t="n">
        <v>0</v>
      </c>
      <c r="O18" s="18" t="n">
        <v>0</v>
      </c>
      <c r="P18" s="20" t="n">
        <v>0</v>
      </c>
      <c r="Q18" s="18" t="n">
        <v>17.25887616</v>
      </c>
      <c r="R18" s="20" t="n">
        <v>2.00643583</v>
      </c>
    </row>
    <row r="19" spans="1:18">
      <c r="A19" s="15" t="s">
        <v>443</v>
      </c>
      <c r="B19" s="17" t="n">
        <v>2808</v>
      </c>
      <c r="C19" s="18">
        <f>(2472.0/B19*100)</f>
        <v/>
      </c>
      <c r="D19" s="19" t="n">
        <v>336</v>
      </c>
      <c r="E19" s="18" t="n">
        <v>26.94034096</v>
      </c>
      <c r="F19" s="20" t="n">
        <v>2.56294332</v>
      </c>
      <c r="G19" s="18" t="n">
        <v>58.62181574</v>
      </c>
      <c r="H19" s="20" t="n">
        <v>2.91879285</v>
      </c>
      <c r="I19" s="18" t="s">
        <v>431</v>
      </c>
      <c r="J19" s="20" t="s">
        <v>431</v>
      </c>
      <c r="K19" s="18" t="n">
        <v>2.2651514</v>
      </c>
      <c r="L19" s="20" t="n">
        <v>1.1229476</v>
      </c>
      <c r="M19" s="18" t="n">
        <v>0</v>
      </c>
      <c r="N19" s="20" t="n">
        <v>0</v>
      </c>
      <c r="O19" s="18" t="n">
        <v>0</v>
      </c>
      <c r="P19" s="20" t="n">
        <v>0</v>
      </c>
      <c r="Q19" s="18" t="n">
        <v>12.17269189</v>
      </c>
      <c r="R19" s="20" t="n">
        <v>1.80195726</v>
      </c>
    </row>
    <row r="20" spans="1:18">
      <c r="A20" s="15" t="s">
        <v>444</v>
      </c>
      <c r="B20" s="17" t="n">
        <v>1630</v>
      </c>
      <c r="C20" s="18">
        <f>(1424.0/B20*100)</f>
        <v/>
      </c>
      <c r="D20" s="19" t="n">
        <v>206</v>
      </c>
      <c r="E20" s="18" t="n">
        <v>34.66231559</v>
      </c>
      <c r="F20" s="20" t="n">
        <v>2.89070216</v>
      </c>
      <c r="G20" s="18" t="n">
        <v>57.48550801</v>
      </c>
      <c r="H20" s="20" t="n">
        <v>3.10619393</v>
      </c>
      <c r="I20" s="18" t="s">
        <v>431</v>
      </c>
      <c r="J20" s="20" t="s">
        <v>431</v>
      </c>
      <c r="K20" s="18" t="n">
        <v>2.43232306</v>
      </c>
      <c r="L20" s="20" t="n">
        <v>1.05339222</v>
      </c>
      <c r="M20" s="18" t="n">
        <v>1.15335289</v>
      </c>
      <c r="N20" s="20" t="n">
        <v>0.66660772</v>
      </c>
      <c r="O20" s="18" t="n">
        <v>0</v>
      </c>
      <c r="P20" s="20" t="n">
        <v>0</v>
      </c>
      <c r="Q20" s="18" t="n">
        <v>4.26650045</v>
      </c>
      <c r="R20" s="20" t="n">
        <v>1.36822464</v>
      </c>
    </row>
    <row r="21" spans="1:18">
      <c r="A21" s="15" t="s">
        <v>445</v>
      </c>
      <c r="B21" s="17" t="n">
        <v>2908</v>
      </c>
      <c r="C21" s="18">
        <f>(2442.0/B21*100)</f>
        <v/>
      </c>
      <c r="D21" s="19" t="n">
        <v>466</v>
      </c>
      <c r="E21" s="18" t="n">
        <v>16.86850036</v>
      </c>
      <c r="F21" s="20" t="n">
        <v>1.66396892</v>
      </c>
      <c r="G21" s="18" t="n">
        <v>76.53700655999999</v>
      </c>
      <c r="H21" s="20" t="n">
        <v>1.83418394</v>
      </c>
      <c r="I21" s="18" t="s">
        <v>431</v>
      </c>
      <c r="J21" s="20" t="s">
        <v>431</v>
      </c>
      <c r="K21" s="18" t="n">
        <v>1.06741655</v>
      </c>
      <c r="L21" s="20" t="n">
        <v>0.45697558</v>
      </c>
      <c r="M21" s="18" t="n">
        <v>0</v>
      </c>
      <c r="N21" s="20" t="n">
        <v>0</v>
      </c>
      <c r="O21" s="18" t="n">
        <v>0</v>
      </c>
      <c r="P21" s="20" t="n">
        <v>0</v>
      </c>
      <c r="Q21" s="18" t="n">
        <v>5.52707654</v>
      </c>
      <c r="R21" s="20" t="n">
        <v>0.9456107500000001</v>
      </c>
    </row>
    <row r="22" spans="1:18">
      <c r="A22" s="15" t="s">
        <v>446</v>
      </c>
      <c r="B22" s="17" t="n">
        <v>2931</v>
      </c>
      <c r="C22" s="18">
        <f>(2565.0/B22*100)</f>
        <v/>
      </c>
      <c r="D22" s="19" t="n">
        <v>366</v>
      </c>
      <c r="E22" s="18" t="n">
        <v>22.32003677</v>
      </c>
      <c r="F22" s="20" t="n">
        <v>2.52259234</v>
      </c>
      <c r="G22" s="18" t="n">
        <v>63.65723456</v>
      </c>
      <c r="H22" s="20" t="n">
        <v>2.91748418</v>
      </c>
      <c r="I22" s="18" t="s">
        <v>431</v>
      </c>
      <c r="J22" s="20" t="s">
        <v>431</v>
      </c>
      <c r="K22" s="18" t="n">
        <v>1.79701619</v>
      </c>
      <c r="L22" s="20" t="n">
        <v>0.57257284</v>
      </c>
      <c r="M22" s="18" t="n">
        <v>0</v>
      </c>
      <c r="N22" s="20" t="n">
        <v>0</v>
      </c>
      <c r="O22" s="18" t="n">
        <v>0</v>
      </c>
      <c r="P22" s="20" t="n">
        <v>0</v>
      </c>
      <c r="Q22" s="18" t="n">
        <v>12.22571248</v>
      </c>
      <c r="R22" s="20" t="n">
        <v>1.54372161</v>
      </c>
    </row>
    <row r="23" spans="1:18">
      <c r="A23" s="15" t="s">
        <v>447</v>
      </c>
      <c r="B23" s="17" t="n">
        <v>5791</v>
      </c>
      <c r="C23" s="18">
        <f>(5067.0/B23*100)</f>
        <v/>
      </c>
      <c r="D23" s="19" t="n">
        <v>724</v>
      </c>
      <c r="E23" s="18" t="n">
        <v>18.40869824</v>
      </c>
      <c r="F23" s="20" t="n">
        <v>2.23983679</v>
      </c>
      <c r="G23" s="18" t="n">
        <v>69.9626851</v>
      </c>
      <c r="H23" s="20" t="n">
        <v>2.46201615</v>
      </c>
      <c r="I23" s="18" t="s">
        <v>431</v>
      </c>
      <c r="J23" s="20" t="s">
        <v>431</v>
      </c>
      <c r="K23" s="18" t="n">
        <v>1.71118813</v>
      </c>
      <c r="L23" s="20" t="n">
        <v>1.05712958</v>
      </c>
      <c r="M23" s="18" t="n">
        <v>0.83188061</v>
      </c>
      <c r="N23" s="20" t="n">
        <v>0.5256432599999999</v>
      </c>
      <c r="O23" s="18" t="n">
        <v>0</v>
      </c>
      <c r="P23" s="20" t="n">
        <v>0</v>
      </c>
      <c r="Q23" s="18" t="n">
        <v>9.08554792</v>
      </c>
      <c r="R23" s="20" t="n">
        <v>1.51314013</v>
      </c>
    </row>
    <row r="24" spans="1:18">
      <c r="A24" s="15" t="s">
        <v>448</v>
      </c>
      <c r="B24" s="17" t="n">
        <v>3338</v>
      </c>
      <c r="C24" s="18">
        <f>(2943.0/B24*100)</f>
        <v/>
      </c>
      <c r="D24" s="19" t="n">
        <v>395</v>
      </c>
      <c r="E24" s="18" t="n">
        <v>28.84148806</v>
      </c>
      <c r="F24" s="20" t="n">
        <v>2.45819425</v>
      </c>
      <c r="G24" s="18" t="n">
        <v>44.90338905</v>
      </c>
      <c r="H24" s="20" t="n">
        <v>2.41839152</v>
      </c>
      <c r="I24" s="18" t="s">
        <v>431</v>
      </c>
      <c r="J24" s="20" t="s">
        <v>431</v>
      </c>
      <c r="K24" s="18" t="n">
        <v>2.88475942</v>
      </c>
      <c r="L24" s="20" t="n">
        <v>0.9033479599999999</v>
      </c>
      <c r="M24" s="18" t="n">
        <v>0</v>
      </c>
      <c r="N24" s="20" t="n">
        <v>0</v>
      </c>
      <c r="O24" s="18" t="n">
        <v>0</v>
      </c>
      <c r="P24" s="20" t="n">
        <v>0</v>
      </c>
      <c r="Q24" s="18" t="n">
        <v>23.37036347</v>
      </c>
      <c r="R24" s="20" t="n">
        <v>2.56090763</v>
      </c>
    </row>
    <row r="25" spans="1:18">
      <c r="A25" s="15" t="s">
        <v>449</v>
      </c>
      <c r="B25" s="17" t="n">
        <v>2912</v>
      </c>
      <c r="C25" s="18">
        <f>(2567.0/B25*100)</f>
        <v/>
      </c>
      <c r="D25" s="19" t="n">
        <v>345</v>
      </c>
      <c r="E25" s="18" t="n">
        <v>14.43574271</v>
      </c>
      <c r="F25" s="20" t="n">
        <v>2.2413647</v>
      </c>
      <c r="G25" s="18" t="n">
        <v>76.96334747</v>
      </c>
      <c r="H25" s="20" t="n">
        <v>2.63013228</v>
      </c>
      <c r="I25" s="18" t="s">
        <v>431</v>
      </c>
      <c r="J25" s="20" t="s">
        <v>431</v>
      </c>
      <c r="K25" s="18" t="n">
        <v>1.60649724</v>
      </c>
      <c r="L25" s="20" t="n">
        <v>0.65084379</v>
      </c>
      <c r="M25" s="18" t="n">
        <v>0</v>
      </c>
      <c r="N25" s="20" t="n">
        <v>0</v>
      </c>
      <c r="O25" s="18" t="n">
        <v>0</v>
      </c>
      <c r="P25" s="20" t="n">
        <v>0</v>
      </c>
      <c r="Q25" s="18" t="n">
        <v>6.99441257</v>
      </c>
      <c r="R25" s="20" t="n">
        <v>1.6533896</v>
      </c>
    </row>
    <row r="26" spans="1:18">
      <c r="A26" s="15" t="s">
        <v>450</v>
      </c>
      <c r="B26" s="17" t="n">
        <v>2450</v>
      </c>
      <c r="C26" s="18">
        <f>(2158.0/B26*100)</f>
        <v/>
      </c>
      <c r="D26" s="19" t="n">
        <v>292</v>
      </c>
      <c r="E26" s="18" t="n">
        <v>23.2935878</v>
      </c>
      <c r="F26" s="20" t="n">
        <v>3.14357243</v>
      </c>
      <c r="G26" s="18" t="n">
        <v>69.16001924</v>
      </c>
      <c r="H26" s="20" t="n">
        <v>3.37418751</v>
      </c>
      <c r="I26" s="18" t="s">
        <v>431</v>
      </c>
      <c r="J26" s="20" t="s">
        <v>431</v>
      </c>
      <c r="K26" s="18" t="n">
        <v>0.81990222</v>
      </c>
      <c r="L26" s="20" t="n">
        <v>0.47254207</v>
      </c>
      <c r="M26" s="18" t="n">
        <v>0.6811923</v>
      </c>
      <c r="N26" s="20" t="n">
        <v>0.68734003</v>
      </c>
      <c r="O26" s="18" t="n">
        <v>0</v>
      </c>
      <c r="P26" s="20" t="n">
        <v>0</v>
      </c>
      <c r="Q26" s="18" t="n">
        <v>6.04529844</v>
      </c>
      <c r="R26" s="20" t="n">
        <v>1.56387582</v>
      </c>
    </row>
    <row r="27" spans="1:18">
      <c r="A27" s="15" t="s">
        <v>451</v>
      </c>
      <c r="B27" s="17" t="n">
        <v>2616</v>
      </c>
      <c r="C27" s="18">
        <f>(2297.0/B27*100)</f>
        <v/>
      </c>
      <c r="D27" s="19" t="n">
        <v>319</v>
      </c>
      <c r="E27" s="18" t="n">
        <v>21.69208208</v>
      </c>
      <c r="F27" s="20" t="n">
        <v>2.13214907</v>
      </c>
      <c r="G27" s="18" t="n">
        <v>62.87672098</v>
      </c>
      <c r="H27" s="20" t="n">
        <v>2.64423958</v>
      </c>
      <c r="I27" s="18" t="s">
        <v>431</v>
      </c>
      <c r="J27" s="20" t="s">
        <v>431</v>
      </c>
      <c r="K27" s="18" t="n">
        <v>2.18872466</v>
      </c>
      <c r="L27" s="20" t="n">
        <v>0.69484806</v>
      </c>
      <c r="M27" s="18" t="n">
        <v>0</v>
      </c>
      <c r="N27" s="20" t="n">
        <v>0</v>
      </c>
      <c r="O27" s="18" t="n">
        <v>0</v>
      </c>
      <c r="P27" s="20" t="n">
        <v>0</v>
      </c>
      <c r="Q27" s="18" t="n">
        <v>13.24247228</v>
      </c>
      <c r="R27" s="20" t="n">
        <v>1.78768577</v>
      </c>
    </row>
    <row r="28" spans="1:18">
      <c r="A28" s="15" t="s">
        <v>452</v>
      </c>
      <c r="B28" s="17" t="n">
        <v>3765</v>
      </c>
      <c r="C28" s="18">
        <f>(3365.0/B28*100)</f>
        <v/>
      </c>
      <c r="D28" s="19" t="n">
        <v>400</v>
      </c>
      <c r="E28" s="18" t="n">
        <v>53.93495386</v>
      </c>
      <c r="F28" s="20" t="n">
        <v>2.53628513</v>
      </c>
      <c r="G28" s="18" t="n">
        <v>39.47154994</v>
      </c>
      <c r="H28" s="20" t="n">
        <v>2.52396538</v>
      </c>
      <c r="I28" s="18" t="s">
        <v>431</v>
      </c>
      <c r="J28" s="20" t="s">
        <v>431</v>
      </c>
      <c r="K28" s="18" t="n">
        <v>0.83346068</v>
      </c>
      <c r="L28" s="20" t="n">
        <v>0.43796135</v>
      </c>
      <c r="M28" s="18" t="n">
        <v>0.2169623</v>
      </c>
      <c r="N28" s="20" t="n">
        <v>0.2221397</v>
      </c>
      <c r="O28" s="18" t="n">
        <v>0</v>
      </c>
      <c r="P28" s="20" t="n">
        <v>0</v>
      </c>
      <c r="Q28" s="18" t="n">
        <v>5.54307323</v>
      </c>
      <c r="R28" s="20" t="n">
        <v>1.35613461</v>
      </c>
    </row>
    <row r="29" spans="1:18">
      <c r="A29" s="15" t="s">
        <v>453</v>
      </c>
      <c r="B29" s="17" t="n">
        <v>2685</v>
      </c>
      <c r="C29" s="18">
        <f>(2357.0/B29*100)</f>
        <v/>
      </c>
      <c r="D29" s="19" t="n">
        <v>328</v>
      </c>
      <c r="E29" s="18" t="n">
        <v>21.7343043</v>
      </c>
      <c r="F29" s="20" t="n">
        <v>2.7084812</v>
      </c>
      <c r="G29" s="18" t="n">
        <v>75.39894673000001</v>
      </c>
      <c r="H29" s="20" t="n">
        <v>2.71617634</v>
      </c>
      <c r="I29" s="18" t="s">
        <v>431</v>
      </c>
      <c r="J29" s="20" t="s">
        <v>431</v>
      </c>
      <c r="K29" s="18" t="n">
        <v>0.73933396</v>
      </c>
      <c r="L29" s="20" t="n">
        <v>0.42334956</v>
      </c>
      <c r="M29" s="18" t="n">
        <v>0</v>
      </c>
      <c r="N29" s="20" t="n">
        <v>0</v>
      </c>
      <c r="O29" s="18" t="n">
        <v>0</v>
      </c>
      <c r="P29" s="20" t="n">
        <v>0</v>
      </c>
      <c r="Q29" s="18" t="n">
        <v>2.12741501</v>
      </c>
      <c r="R29" s="20" t="n">
        <v>0.8160958</v>
      </c>
    </row>
    <row r="30" spans="1:18">
      <c r="A30" s="15" t="s">
        <v>454</v>
      </c>
      <c r="B30" s="17" t="n">
        <v>2263</v>
      </c>
      <c r="C30" s="18">
        <f>(1982.0/B30*100)</f>
        <v/>
      </c>
      <c r="D30" s="19" t="n">
        <v>281</v>
      </c>
      <c r="E30" s="18" t="n">
        <v>21.51885383</v>
      </c>
      <c r="F30" s="20" t="n">
        <v>2.57644601</v>
      </c>
      <c r="G30" s="18" t="n">
        <v>66.64808647</v>
      </c>
      <c r="H30" s="20" t="n">
        <v>3.31554971</v>
      </c>
      <c r="I30" s="18" t="s">
        <v>431</v>
      </c>
      <c r="J30" s="20" t="s">
        <v>431</v>
      </c>
      <c r="K30" s="18" t="n">
        <v>1.79276082</v>
      </c>
      <c r="L30" s="20" t="n">
        <v>0.6857373</v>
      </c>
      <c r="M30" s="18" t="n">
        <v>0.52054071</v>
      </c>
      <c r="N30" s="20" t="n">
        <v>0.51222238</v>
      </c>
      <c r="O30" s="18" t="n">
        <v>0</v>
      </c>
      <c r="P30" s="20" t="n">
        <v>0</v>
      </c>
      <c r="Q30" s="18" t="n">
        <v>9.519758169999999</v>
      </c>
      <c r="R30" s="20" t="n">
        <v>1.81916867</v>
      </c>
    </row>
    <row r="31" spans="1:18">
      <c r="A31" s="15" t="s">
        <v>455</v>
      </c>
      <c r="B31" s="17" t="n">
        <v>2750</v>
      </c>
      <c r="C31" s="18">
        <f>(2422.0/B31*100)</f>
        <v/>
      </c>
      <c r="D31" s="19" t="n">
        <v>328</v>
      </c>
      <c r="E31" s="18" t="n">
        <v>24.29122999</v>
      </c>
      <c r="F31" s="20" t="n">
        <v>2.68722328</v>
      </c>
      <c r="G31" s="18" t="n">
        <v>62.88288749</v>
      </c>
      <c r="H31" s="20" t="n">
        <v>2.88622935</v>
      </c>
      <c r="I31" s="18" t="s">
        <v>431</v>
      </c>
      <c r="J31" s="20" t="s">
        <v>431</v>
      </c>
      <c r="K31" s="18" t="n">
        <v>3.96987241</v>
      </c>
      <c r="L31" s="20" t="n">
        <v>1.03872514</v>
      </c>
      <c r="M31" s="18" t="n">
        <v>0.30471977</v>
      </c>
      <c r="N31" s="20" t="n">
        <v>0.28818545</v>
      </c>
      <c r="O31" s="18" t="n">
        <v>0</v>
      </c>
      <c r="P31" s="20" t="n">
        <v>0</v>
      </c>
      <c r="Q31" s="18" t="n">
        <v>8.55129034</v>
      </c>
      <c r="R31" s="20" t="n">
        <v>1.61465794</v>
      </c>
    </row>
    <row r="32" spans="1:18">
      <c r="A32" s="15" t="s">
        <v>456</v>
      </c>
      <c r="B32" s="17" t="n">
        <v>2269</v>
      </c>
      <c r="C32" s="18">
        <f>(1917.0/B32*100)</f>
        <v/>
      </c>
      <c r="D32" s="19" t="n">
        <v>352</v>
      </c>
      <c r="E32" s="18" t="n">
        <v>13.61948584</v>
      </c>
      <c r="F32" s="20" t="n">
        <v>1.71970853</v>
      </c>
      <c r="G32" s="18" t="n">
        <v>79.70597171999999</v>
      </c>
      <c r="H32" s="20" t="n">
        <v>1.86686916</v>
      </c>
      <c r="I32" s="18" t="s">
        <v>431</v>
      </c>
      <c r="J32" s="20" t="s">
        <v>431</v>
      </c>
      <c r="K32" s="18" t="n">
        <v>1.115909</v>
      </c>
      <c r="L32" s="20" t="n">
        <v>0.534388</v>
      </c>
      <c r="M32" s="18" t="n">
        <v>0.26844344</v>
      </c>
      <c r="N32" s="20" t="n">
        <v>0.26628312</v>
      </c>
      <c r="O32" s="18" t="n">
        <v>0</v>
      </c>
      <c r="P32" s="20" t="n">
        <v>0</v>
      </c>
      <c r="Q32" s="18" t="n">
        <v>5.29019</v>
      </c>
      <c r="R32" s="20" t="n">
        <v>1.246489</v>
      </c>
    </row>
    <row r="33" spans="1:18">
      <c r="A33" s="15" t="s">
        <v>457</v>
      </c>
      <c r="B33" s="17" t="n">
        <v>3674</v>
      </c>
      <c r="C33" s="18">
        <f>(3218.0/B33*100)</f>
        <v/>
      </c>
      <c r="D33" s="19" t="n">
        <v>456</v>
      </c>
      <c r="E33" s="18" t="n">
        <v>21.56617257</v>
      </c>
      <c r="F33" s="20" t="n">
        <v>2.72355726</v>
      </c>
      <c r="G33" s="18" t="n">
        <v>70.58173404</v>
      </c>
      <c r="H33" s="20" t="n">
        <v>2.91630585</v>
      </c>
      <c r="I33" s="18" t="s">
        <v>431</v>
      </c>
      <c r="J33" s="20" t="s">
        <v>431</v>
      </c>
      <c r="K33" s="18" t="n">
        <v>0.5226733</v>
      </c>
      <c r="L33" s="20" t="n">
        <v>0.33680684</v>
      </c>
      <c r="M33" s="18" t="n">
        <v>0</v>
      </c>
      <c r="N33" s="20" t="n">
        <v>0</v>
      </c>
      <c r="O33" s="18" t="n">
        <v>0</v>
      </c>
      <c r="P33" s="20" t="n">
        <v>0</v>
      </c>
      <c r="Q33" s="18" t="n">
        <v>7.32942009</v>
      </c>
      <c r="R33" s="20" t="n">
        <v>1.30014952</v>
      </c>
    </row>
    <row r="34" spans="1:18">
      <c r="A34" s="15" t="s">
        <v>458</v>
      </c>
      <c r="B34" s="17" t="n">
        <v>3315</v>
      </c>
      <c r="C34" s="18">
        <f>(2928.0/B34*100)</f>
        <v/>
      </c>
      <c r="D34" s="19" t="n">
        <v>387</v>
      </c>
      <c r="E34" s="18" t="n">
        <v>29.24736178</v>
      </c>
      <c r="F34" s="20" t="n">
        <v>2.56762674</v>
      </c>
      <c r="G34" s="18" t="n">
        <v>55.30035838</v>
      </c>
      <c r="H34" s="20" t="n">
        <v>2.68866655</v>
      </c>
      <c r="I34" s="18" t="s">
        <v>431</v>
      </c>
      <c r="J34" s="20" t="s">
        <v>431</v>
      </c>
      <c r="K34" s="18" t="n">
        <v>2.83378939</v>
      </c>
      <c r="L34" s="20" t="n">
        <v>0.75622037</v>
      </c>
      <c r="M34" s="18" t="n">
        <v>0</v>
      </c>
      <c r="N34" s="20" t="n">
        <v>0</v>
      </c>
      <c r="O34" s="18" t="n">
        <v>0</v>
      </c>
      <c r="P34" s="20" t="n">
        <v>0</v>
      </c>
      <c r="Q34" s="18" t="n">
        <v>12.61849045</v>
      </c>
      <c r="R34" s="20" t="n">
        <v>2.30919229</v>
      </c>
    </row>
    <row r="35" spans="1:18">
      <c r="A35" s="15" t="s">
        <v>459</v>
      </c>
      <c r="B35" s="17" t="n">
        <v>3505</v>
      </c>
      <c r="C35" s="18">
        <f>(3071.0/B35*100)</f>
        <v/>
      </c>
      <c r="D35" s="19" t="n">
        <v>434</v>
      </c>
      <c r="E35" s="18" t="n">
        <v>20.03634277</v>
      </c>
      <c r="F35" s="20" t="n">
        <v>2.45997835</v>
      </c>
      <c r="G35" s="18" t="n">
        <v>75.58359081</v>
      </c>
      <c r="H35" s="20" t="n">
        <v>2.55260353</v>
      </c>
      <c r="I35" s="18" t="s">
        <v>431</v>
      </c>
      <c r="J35" s="20" t="s">
        <v>431</v>
      </c>
      <c r="K35" s="18" t="n">
        <v>0.40779083</v>
      </c>
      <c r="L35" s="20" t="n">
        <v>0.30430724</v>
      </c>
      <c r="M35" s="18" t="n">
        <v>0</v>
      </c>
      <c r="N35" s="20" t="n">
        <v>0</v>
      </c>
      <c r="O35" s="18" t="n">
        <v>0</v>
      </c>
      <c r="P35" s="20" t="n">
        <v>0</v>
      </c>
      <c r="Q35" s="18" t="n">
        <v>3.97227559</v>
      </c>
      <c r="R35" s="20" t="n">
        <v>0.97767296</v>
      </c>
    </row>
    <row r="36" spans="1:18">
      <c r="A36" s="15" t="s">
        <v>460</v>
      </c>
      <c r="B36" s="17" t="n">
        <v>3332</v>
      </c>
      <c r="C36" s="18">
        <f>(2927.0/B36*100)</f>
        <v/>
      </c>
      <c r="D36" s="19" t="n">
        <v>405</v>
      </c>
      <c r="E36" s="18" t="n">
        <v>25.99415425</v>
      </c>
      <c r="F36" s="20" t="n">
        <v>2.58616331</v>
      </c>
      <c r="G36" s="18" t="n">
        <v>65.61253484</v>
      </c>
      <c r="H36" s="20" t="n">
        <v>2.49539223</v>
      </c>
      <c r="I36" s="18" t="s">
        <v>431</v>
      </c>
      <c r="J36" s="20" t="s">
        <v>431</v>
      </c>
      <c r="K36" s="18" t="n">
        <v>0.90813575</v>
      </c>
      <c r="L36" s="20" t="n">
        <v>0.45488886</v>
      </c>
      <c r="M36" s="18" t="n">
        <v>0.75634159</v>
      </c>
      <c r="N36" s="20" t="n">
        <v>0.55079756</v>
      </c>
      <c r="O36" s="18" t="n">
        <v>0</v>
      </c>
      <c r="P36" s="20" t="n">
        <v>0</v>
      </c>
      <c r="Q36" s="18" t="n">
        <v>6.72883358</v>
      </c>
      <c r="R36" s="20" t="n">
        <v>1.46407863</v>
      </c>
    </row>
    <row r="37" spans="1:18">
      <c r="A37" s="15" t="s">
        <v>461</v>
      </c>
      <c r="B37" s="17" t="n">
        <v>2727</v>
      </c>
      <c r="C37" s="18">
        <f>(2388.0/B37*100)</f>
        <v/>
      </c>
      <c r="D37" s="19" t="n">
        <v>339</v>
      </c>
      <c r="E37" s="18" t="n">
        <v>18.55760186</v>
      </c>
      <c r="F37" s="20" t="n">
        <v>2.16667616</v>
      </c>
      <c r="G37" s="18" t="n">
        <v>68.96092461000001</v>
      </c>
      <c r="H37" s="20" t="n">
        <v>3.0011458</v>
      </c>
      <c r="I37" s="18" t="s">
        <v>431</v>
      </c>
      <c r="J37" s="20" t="s">
        <v>431</v>
      </c>
      <c r="K37" s="18" t="n">
        <v>3.82265846</v>
      </c>
      <c r="L37" s="20" t="n">
        <v>1.0590413</v>
      </c>
      <c r="M37" s="18" t="n">
        <v>0</v>
      </c>
      <c r="N37" s="20" t="n">
        <v>0</v>
      </c>
      <c r="O37" s="18" t="n">
        <v>0</v>
      </c>
      <c r="P37" s="20" t="n">
        <v>0</v>
      </c>
      <c r="Q37" s="18" t="n">
        <v>8.658815069999999</v>
      </c>
      <c r="R37" s="20" t="n">
        <v>1.87965977</v>
      </c>
    </row>
    <row r="38" spans="1:18">
      <c r="A38" s="15" t="s">
        <v>462</v>
      </c>
      <c r="B38" s="17" t="n">
        <v>3053</v>
      </c>
      <c r="C38" s="18">
        <f>(2594.0/B38*100)</f>
        <v/>
      </c>
      <c r="D38" s="19" t="n">
        <v>459</v>
      </c>
      <c r="E38" s="18" t="n">
        <v>25.61453912</v>
      </c>
      <c r="F38" s="20" t="n">
        <v>2.41349522</v>
      </c>
      <c r="G38" s="18" t="n">
        <v>64.72989994</v>
      </c>
      <c r="H38" s="20" t="n">
        <v>2.60036457</v>
      </c>
      <c r="I38" s="18" t="s">
        <v>431</v>
      </c>
      <c r="J38" s="20" t="s">
        <v>431</v>
      </c>
      <c r="K38" s="18" t="n">
        <v>2.07294905</v>
      </c>
      <c r="L38" s="20" t="n">
        <v>0.62086106</v>
      </c>
      <c r="M38" s="18" t="n">
        <v>0.42270033</v>
      </c>
      <c r="N38" s="20" t="n">
        <v>0.42055304</v>
      </c>
      <c r="O38" s="18" t="n">
        <v>0</v>
      </c>
      <c r="P38" s="20" t="n">
        <v>0</v>
      </c>
      <c r="Q38" s="18" t="n">
        <v>7.15991156</v>
      </c>
      <c r="R38" s="20" t="n">
        <v>1.30605175</v>
      </c>
    </row>
    <row r="39" spans="1:18">
      <c r="A39" s="15" t="s">
        <v>463</v>
      </c>
      <c r="B39" s="17" t="n">
        <v>2957</v>
      </c>
      <c r="C39" s="18">
        <f>(2590.0/B39*100)</f>
        <v/>
      </c>
      <c r="D39" s="19" t="n">
        <v>367</v>
      </c>
      <c r="E39" s="18" t="n">
        <v>38.70321811</v>
      </c>
      <c r="F39" s="20" t="n">
        <v>2.79704432</v>
      </c>
      <c r="G39" s="18" t="n">
        <v>46.17835753</v>
      </c>
      <c r="H39" s="20" t="n">
        <v>2.79684137</v>
      </c>
      <c r="I39" s="18" t="s">
        <v>431</v>
      </c>
      <c r="J39" s="20" t="s">
        <v>431</v>
      </c>
      <c r="K39" s="18" t="n">
        <v>1.43312854</v>
      </c>
      <c r="L39" s="20" t="n">
        <v>0.65538717</v>
      </c>
      <c r="M39" s="18" t="n">
        <v>0.23528998</v>
      </c>
      <c r="N39" s="20" t="n">
        <v>0.24228373</v>
      </c>
      <c r="O39" s="18" t="n">
        <v>0</v>
      </c>
      <c r="P39" s="20" t="n">
        <v>0</v>
      </c>
      <c r="Q39" s="18" t="n">
        <v>13.45000583</v>
      </c>
      <c r="R39" s="20" t="n">
        <v>1.81669504</v>
      </c>
    </row>
    <row r="40" spans="1:18">
      <c r="A40" s="15" t="s">
        <v>464</v>
      </c>
      <c r="B40" s="17" t="n">
        <v>7235</v>
      </c>
      <c r="C40" s="18">
        <f>(6337.0/B40*100)</f>
        <v/>
      </c>
      <c r="D40" s="19" t="n">
        <v>898</v>
      </c>
      <c r="E40" s="18" t="n">
        <v>17.33715238</v>
      </c>
      <c r="F40" s="20" t="n">
        <v>1.80747667</v>
      </c>
      <c r="G40" s="18" t="n">
        <v>71.40452849</v>
      </c>
      <c r="H40" s="20" t="n">
        <v>2.18421086</v>
      </c>
      <c r="I40" s="18" t="s">
        <v>431</v>
      </c>
      <c r="J40" s="20" t="s">
        <v>431</v>
      </c>
      <c r="K40" s="18" t="n">
        <v>1.6998525</v>
      </c>
      <c r="L40" s="20" t="n">
        <v>0.55320512</v>
      </c>
      <c r="M40" s="18" t="n">
        <v>0.5641195</v>
      </c>
      <c r="N40" s="20" t="n">
        <v>0.40556912</v>
      </c>
      <c r="O40" s="18" t="n">
        <v>0</v>
      </c>
      <c r="P40" s="20" t="n">
        <v>0</v>
      </c>
      <c r="Q40" s="18" t="n">
        <v>8.99434713</v>
      </c>
      <c r="R40" s="20" t="n">
        <v>1.48928023</v>
      </c>
    </row>
    <row r="41" spans="1:18">
      <c r="A41" s="15" t="s">
        <v>465</v>
      </c>
      <c r="B41" s="17" t="n">
        <v>2858</v>
      </c>
      <c r="C41" s="18">
        <f>(2533.0/B41*100)</f>
        <v/>
      </c>
      <c r="D41" s="19" t="n">
        <v>325</v>
      </c>
      <c r="E41" s="18" t="n">
        <v>25.73867172</v>
      </c>
      <c r="F41" s="20" t="n">
        <v>2.32765857</v>
      </c>
      <c r="G41" s="18" t="n">
        <v>69.6352007</v>
      </c>
      <c r="H41" s="20" t="n">
        <v>2.79094834</v>
      </c>
      <c r="I41" s="18" t="s">
        <v>431</v>
      </c>
      <c r="J41" s="20" t="s">
        <v>431</v>
      </c>
      <c r="K41" s="18" t="n">
        <v>0.7681354</v>
      </c>
      <c r="L41" s="20" t="n">
        <v>0.5263347</v>
      </c>
      <c r="M41" s="18" t="n">
        <v>0</v>
      </c>
      <c r="N41" s="20" t="n">
        <v>0</v>
      </c>
      <c r="O41" s="18" t="n">
        <v>0</v>
      </c>
      <c r="P41" s="20" t="n">
        <v>0</v>
      </c>
      <c r="Q41" s="18" t="n">
        <v>3.85799218</v>
      </c>
      <c r="R41" s="20" t="n">
        <v>1.10435334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(10031.0/B46*100)</f>
        <v/>
      </c>
      <c r="D46" s="19" t="n">
        <v>1037</v>
      </c>
      <c r="E46" s="18" t="n">
        <v>41.48803726</v>
      </c>
      <c r="F46" s="20" t="n">
        <v>2.3163812</v>
      </c>
      <c r="G46" s="18" t="n">
        <v>36.91360462</v>
      </c>
      <c r="H46" s="20" t="n">
        <v>2.08016542</v>
      </c>
      <c r="I46" s="18" t="s">
        <v>431</v>
      </c>
      <c r="J46" s="20" t="s">
        <v>431</v>
      </c>
      <c r="K46" s="18" t="n">
        <v>4.19707107</v>
      </c>
      <c r="L46" s="20" t="n">
        <v>0.85220735</v>
      </c>
      <c r="M46" s="18" t="n">
        <v>0.67441515</v>
      </c>
      <c r="N46" s="20" t="n">
        <v>0.28222637</v>
      </c>
      <c r="O46" s="18" t="n">
        <v>0</v>
      </c>
      <c r="P46" s="20" t="n">
        <v>0</v>
      </c>
      <c r="Q46" s="18" t="n">
        <v>16.72687189</v>
      </c>
      <c r="R46" s="20" t="n">
        <v>1.81731323</v>
      </c>
    </row>
    <row r="47" spans="1:18">
      <c r="A47" s="15" t="s">
        <v>471</v>
      </c>
      <c r="B47" s="17" t="n">
        <v>3105</v>
      </c>
      <c r="C47" s="18">
        <f>(2721.0/B47*100)</f>
        <v/>
      </c>
      <c r="D47" s="19" t="n">
        <v>384</v>
      </c>
      <c r="E47" s="18" t="n">
        <v>35.21701225</v>
      </c>
      <c r="F47" s="20" t="n">
        <v>2.52324988</v>
      </c>
      <c r="G47" s="18" t="n">
        <v>41.75159157</v>
      </c>
      <c r="H47" s="20" t="n">
        <v>2.9701868</v>
      </c>
      <c r="I47" s="18" t="s">
        <v>431</v>
      </c>
      <c r="J47" s="20" t="s">
        <v>431</v>
      </c>
      <c r="K47" s="18" t="n">
        <v>4.17183104</v>
      </c>
      <c r="L47" s="20" t="n">
        <v>1.12848033</v>
      </c>
      <c r="M47" s="18" t="n">
        <v>0</v>
      </c>
      <c r="N47" s="20" t="n">
        <v>0</v>
      </c>
      <c r="O47" s="18" t="n">
        <v>0</v>
      </c>
      <c r="P47" s="20" t="n">
        <v>0</v>
      </c>
      <c r="Q47" s="18" t="n">
        <v>18.85956515</v>
      </c>
      <c r="R47" s="20" t="n">
        <v>2.06601791</v>
      </c>
    </row>
    <row r="48" spans="1:18">
      <c r="A48" s="15" t="s">
        <v>472</v>
      </c>
      <c r="B48" s="17" t="n">
        <v>5159</v>
      </c>
      <c r="C48" s="18">
        <f>(4536.0/B48*100)</f>
        <v/>
      </c>
      <c r="D48" s="19" t="n">
        <v>623</v>
      </c>
      <c r="E48" s="18" t="n">
        <v>31.26928579</v>
      </c>
      <c r="F48" s="20" t="n">
        <v>2.7604958</v>
      </c>
      <c r="G48" s="18" t="n">
        <v>62.34260987</v>
      </c>
      <c r="H48" s="20" t="n">
        <v>2.71421126</v>
      </c>
      <c r="I48" s="18" t="s">
        <v>431</v>
      </c>
      <c r="J48" s="20" t="s">
        <v>431</v>
      </c>
      <c r="K48" s="18" t="n">
        <v>1.1604703</v>
      </c>
      <c r="L48" s="20" t="n">
        <v>0.54003659</v>
      </c>
      <c r="M48" s="18" t="n">
        <v>0.00914301</v>
      </c>
      <c r="N48" s="20" t="n">
        <v>0.0092367</v>
      </c>
      <c r="O48" s="18" t="n">
        <v>0</v>
      </c>
      <c r="P48" s="20" t="n">
        <v>0</v>
      </c>
      <c r="Q48" s="18" t="n">
        <v>5.21849103</v>
      </c>
      <c r="R48" s="20" t="n">
        <v>1.10439041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(4970.0/B50*100)</f>
        <v/>
      </c>
      <c r="D50" s="19" t="n">
        <v>667</v>
      </c>
      <c r="E50" s="18" t="n">
        <v>42.05468563</v>
      </c>
      <c r="F50" s="20" t="n">
        <v>2.6772763</v>
      </c>
      <c r="G50" s="18" t="n">
        <v>41.86601782</v>
      </c>
      <c r="H50" s="20" t="n">
        <v>2.44993894</v>
      </c>
      <c r="I50" s="18" t="s">
        <v>431</v>
      </c>
      <c r="J50" s="20" t="s">
        <v>431</v>
      </c>
      <c r="K50" s="18" t="n">
        <v>4.26970215</v>
      </c>
      <c r="L50" s="20" t="n">
        <v>0.96565128</v>
      </c>
      <c r="M50" s="18" t="n">
        <v>0.04577969</v>
      </c>
      <c r="N50" s="20" t="n">
        <v>0.04567759</v>
      </c>
      <c r="O50" s="18" t="n">
        <v>0</v>
      </c>
      <c r="P50" s="20" t="n">
        <v>0</v>
      </c>
      <c r="Q50" s="18" t="n">
        <v>11.76381471</v>
      </c>
      <c r="R50" s="20" t="n">
        <v>1.81666609</v>
      </c>
    </row>
    <row r="51" spans="1:18">
      <c r="A51" s="15" t="s">
        <v>475</v>
      </c>
      <c r="B51" s="17" t="n">
        <v>3372</v>
      </c>
      <c r="C51" s="18">
        <f>(3015.0/B51*100)</f>
        <v/>
      </c>
      <c r="D51" s="19" t="n">
        <v>357</v>
      </c>
      <c r="E51" s="18" t="n">
        <v>44.90102977</v>
      </c>
      <c r="F51" s="20" t="n">
        <v>2.84272962</v>
      </c>
      <c r="G51" s="18" t="n">
        <v>45.27882416</v>
      </c>
      <c r="H51" s="20" t="n">
        <v>2.82344416</v>
      </c>
      <c r="I51" s="18" t="s">
        <v>431</v>
      </c>
      <c r="J51" s="20" t="s">
        <v>431</v>
      </c>
      <c r="K51" s="18" t="n">
        <v>1.36262301</v>
      </c>
      <c r="L51" s="20" t="n">
        <v>0.65068659</v>
      </c>
      <c r="M51" s="18" t="n">
        <v>0</v>
      </c>
      <c r="N51" s="20" t="n">
        <v>0</v>
      </c>
      <c r="O51" s="18" t="n">
        <v>0</v>
      </c>
      <c r="P51" s="20" t="n">
        <v>0</v>
      </c>
      <c r="Q51" s="18" t="n">
        <v>8.45752306</v>
      </c>
      <c r="R51" s="20" t="n">
        <v>1.64013215</v>
      </c>
    </row>
    <row r="52" spans="1:18">
      <c r="A52" s="15" t="s">
        <v>476</v>
      </c>
      <c r="B52" s="17" t="n">
        <v>2796</v>
      </c>
      <c r="C52" s="18">
        <f>(2444.0/B52*100)</f>
        <v/>
      </c>
      <c r="D52" s="19" t="n">
        <v>352</v>
      </c>
      <c r="E52" s="18" t="n">
        <v>19.32747386</v>
      </c>
      <c r="F52" s="20" t="n">
        <v>2.1709652</v>
      </c>
      <c r="G52" s="18" t="n">
        <v>74.11300439999999</v>
      </c>
      <c r="H52" s="20" t="n">
        <v>2.5630153</v>
      </c>
      <c r="I52" s="18" t="s">
        <v>431</v>
      </c>
      <c r="J52" s="20" t="s">
        <v>431</v>
      </c>
      <c r="K52" s="18" t="n">
        <v>1.20436778</v>
      </c>
      <c r="L52" s="20" t="n">
        <v>0.6223151099999999</v>
      </c>
      <c r="M52" s="18" t="n">
        <v>0</v>
      </c>
      <c r="N52" s="20" t="n">
        <v>0</v>
      </c>
      <c r="O52" s="18" t="n">
        <v>0</v>
      </c>
      <c r="P52" s="20" t="n">
        <v>0</v>
      </c>
      <c r="Q52" s="18" t="n">
        <v>5.35515396</v>
      </c>
      <c r="R52" s="20" t="n">
        <v>1.3638357</v>
      </c>
    </row>
    <row r="53" spans="1:18">
      <c r="A53" s="15" t="s">
        <v>477</v>
      </c>
      <c r="B53" s="17" t="n">
        <v>2811</v>
      </c>
      <c r="C53" s="18">
        <f>(2484.0/B53*100)</f>
        <v/>
      </c>
      <c r="D53" s="19" t="n">
        <v>327</v>
      </c>
      <c r="E53" s="18" t="n">
        <v>38.86512619</v>
      </c>
      <c r="F53" s="20" t="n">
        <v>2.62842468</v>
      </c>
      <c r="G53" s="18" t="n">
        <v>30.50019159</v>
      </c>
      <c r="H53" s="20" t="n">
        <v>2.67606424</v>
      </c>
      <c r="I53" s="18" t="s">
        <v>431</v>
      </c>
      <c r="J53" s="20" t="s">
        <v>431</v>
      </c>
      <c r="K53" s="18" t="n">
        <v>4.97327662</v>
      </c>
      <c r="L53" s="20" t="n">
        <v>1.24665504</v>
      </c>
      <c r="M53" s="18" t="n">
        <v>0</v>
      </c>
      <c r="N53" s="20" t="n">
        <v>0</v>
      </c>
      <c r="O53" s="18" t="n">
        <v>0</v>
      </c>
      <c r="P53" s="20" t="n">
        <v>0</v>
      </c>
      <c r="Q53" s="18" t="n">
        <v>25.6614056</v>
      </c>
      <c r="R53" s="20" t="n">
        <v>2.53129713</v>
      </c>
    </row>
    <row r="54" spans="1:18">
      <c r="A54" s="15" t="s">
        <v>478</v>
      </c>
      <c r="B54" s="17" t="n">
        <v>2266</v>
      </c>
      <c r="C54" s="18">
        <f>(1885.0/B54*100)</f>
        <v/>
      </c>
      <c r="D54" s="19" t="n">
        <v>381</v>
      </c>
      <c r="E54" s="18" t="n">
        <v>43.60962576</v>
      </c>
      <c r="F54" s="20" t="n">
        <v>3.32196572</v>
      </c>
      <c r="G54" s="18" t="n">
        <v>22.64187684</v>
      </c>
      <c r="H54" s="20" t="n">
        <v>2.85551907</v>
      </c>
      <c r="I54" s="18" t="s">
        <v>431</v>
      </c>
      <c r="J54" s="20" t="s">
        <v>431</v>
      </c>
      <c r="K54" s="18" t="n">
        <v>19.28273242</v>
      </c>
      <c r="L54" s="20" t="n">
        <v>2.15264169</v>
      </c>
      <c r="M54" s="18" t="n">
        <v>0.78110389</v>
      </c>
      <c r="N54" s="20" t="n">
        <v>0.75475629</v>
      </c>
      <c r="O54" s="18" t="n">
        <v>0</v>
      </c>
      <c r="P54" s="20" t="n">
        <v>0</v>
      </c>
      <c r="Q54" s="18" t="n">
        <v>13.68466109</v>
      </c>
      <c r="R54" s="20" t="n">
        <v>1.7403762</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(2358.0/B56*100)</f>
        <v/>
      </c>
      <c r="D56" s="19" t="n">
        <v>326</v>
      </c>
      <c r="E56" s="18" t="n">
        <v>23.45943097</v>
      </c>
      <c r="F56" s="20" t="n">
        <v>2.74966505</v>
      </c>
      <c r="G56" s="18" t="n">
        <v>71.03663104</v>
      </c>
      <c r="H56" s="20" t="n">
        <v>3.06627198</v>
      </c>
      <c r="I56" s="18" t="s">
        <v>431</v>
      </c>
      <c r="J56" s="20" t="s">
        <v>431</v>
      </c>
      <c r="K56" s="18" t="n">
        <v>1.04565979</v>
      </c>
      <c r="L56" s="20" t="n">
        <v>0.62713317</v>
      </c>
      <c r="M56" s="18" t="n">
        <v>0</v>
      </c>
      <c r="N56" s="20" t="n">
        <v>0</v>
      </c>
      <c r="O56" s="18" t="n">
        <v>0</v>
      </c>
      <c r="P56" s="20" t="n">
        <v>0</v>
      </c>
      <c r="Q56" s="18" t="n">
        <v>4.4582782</v>
      </c>
      <c r="R56" s="20" t="n">
        <v>1.02912088</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(2905.0/B61*100)</f>
        <v/>
      </c>
      <c r="D61" s="19" t="n">
        <v>419</v>
      </c>
      <c r="E61" s="18" t="n">
        <v>30.15667078</v>
      </c>
      <c r="F61" s="20" t="n">
        <v>2.92395533</v>
      </c>
      <c r="G61" s="18" t="n">
        <v>64.20759097</v>
      </c>
      <c r="H61" s="20" t="n">
        <v>2.94754612</v>
      </c>
      <c r="I61" s="18" t="s">
        <v>431</v>
      </c>
      <c r="J61" s="20" t="s">
        <v>431</v>
      </c>
      <c r="K61" s="18" t="n">
        <v>0.88228394</v>
      </c>
      <c r="L61" s="20" t="n">
        <v>0.44688175</v>
      </c>
      <c r="M61" s="18" t="n">
        <v>0</v>
      </c>
      <c r="N61" s="20" t="n">
        <v>0</v>
      </c>
      <c r="O61" s="18" t="n">
        <v>0</v>
      </c>
      <c r="P61" s="20" t="n">
        <v>0</v>
      </c>
      <c r="Q61" s="18" t="n">
        <v>4.75345431</v>
      </c>
      <c r="R61" s="20" t="n">
        <v>1.22329872</v>
      </c>
    </row>
    <row r="62" spans="1:18">
      <c r="A62" s="15" t="s">
        <v>486</v>
      </c>
      <c r="B62" s="17" t="n">
        <v>2246</v>
      </c>
      <c r="C62" s="18">
        <f>(1997.0/B62*100)</f>
        <v/>
      </c>
      <c r="D62" s="19" t="n">
        <v>249</v>
      </c>
      <c r="E62" s="18" t="n">
        <v>24.92012172</v>
      </c>
      <c r="F62" s="20" t="n">
        <v>2.75658348</v>
      </c>
      <c r="G62" s="18" t="n">
        <v>71.43982717999999</v>
      </c>
      <c r="H62" s="20" t="n">
        <v>3.01739084</v>
      </c>
      <c r="I62" s="18" t="s">
        <v>431</v>
      </c>
      <c r="J62" s="20" t="s">
        <v>431</v>
      </c>
      <c r="K62" s="18" t="n">
        <v>0</v>
      </c>
      <c r="L62" s="20" t="n">
        <v>0</v>
      </c>
      <c r="M62" s="18" t="n">
        <v>0</v>
      </c>
      <c r="N62" s="20" t="n">
        <v>0</v>
      </c>
      <c r="O62" s="18" t="n">
        <v>0</v>
      </c>
      <c r="P62" s="20" t="n">
        <v>0</v>
      </c>
      <c r="Q62" s="18" t="n">
        <v>3.6400511</v>
      </c>
      <c r="R62" s="20" t="n">
        <v>1.03593101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(2566.0/B66*100)</f>
        <v/>
      </c>
      <c r="D66" s="19" t="n">
        <v>328</v>
      </c>
      <c r="E66" s="18" t="n">
        <v>28.19711735</v>
      </c>
      <c r="F66" s="20" t="n">
        <v>2.35146387</v>
      </c>
      <c r="G66" s="18" t="n">
        <v>47.49450141</v>
      </c>
      <c r="H66" s="20" t="n">
        <v>2.8325753</v>
      </c>
      <c r="I66" s="18" t="s">
        <v>431</v>
      </c>
      <c r="J66" s="20" t="s">
        <v>431</v>
      </c>
      <c r="K66" s="18" t="n">
        <v>5.20804277</v>
      </c>
      <c r="L66" s="20" t="n">
        <v>1.27716141</v>
      </c>
      <c r="M66" s="18" t="n">
        <v>0.94424737</v>
      </c>
      <c r="N66" s="20" t="n">
        <v>0.53454761</v>
      </c>
      <c r="O66" s="18" t="n">
        <v>0</v>
      </c>
      <c r="P66" s="20" t="n">
        <v>0</v>
      </c>
      <c r="Q66" s="18" t="n">
        <v>18.15609111</v>
      </c>
      <c r="R66" s="20" t="n">
        <v>2.26224273</v>
      </c>
    </row>
    <row r="67" spans="1:18">
      <c r="A67" s="15" t="s">
        <v>491</v>
      </c>
      <c r="B67" s="17" t="n">
        <v>3511</v>
      </c>
      <c r="C67" s="18">
        <f>(3132.0/B67*100)</f>
        <v/>
      </c>
      <c r="D67" s="19" t="n">
        <v>379</v>
      </c>
      <c r="E67" s="18" t="n">
        <v>50.89538851</v>
      </c>
      <c r="F67" s="20" t="n">
        <v>2.93896066</v>
      </c>
      <c r="G67" s="18" t="n">
        <v>37.7538648</v>
      </c>
      <c r="H67" s="20" t="n">
        <v>2.71344899</v>
      </c>
      <c r="I67" s="18" t="s">
        <v>431</v>
      </c>
      <c r="J67" s="20" t="s">
        <v>431</v>
      </c>
      <c r="K67" s="18" t="n">
        <v>1.41343451</v>
      </c>
      <c r="L67" s="20" t="n">
        <v>0.43704834</v>
      </c>
      <c r="M67" s="18" t="n">
        <v>0</v>
      </c>
      <c r="N67" s="20" t="n">
        <v>0</v>
      </c>
      <c r="O67" s="18" t="n">
        <v>0</v>
      </c>
      <c r="P67" s="20" t="n">
        <v>0</v>
      </c>
      <c r="Q67" s="18" t="n">
        <v>9.937312179999999</v>
      </c>
      <c r="R67" s="20" t="n">
        <v>1.62336094</v>
      </c>
    </row>
    <row r="68" spans="1:18">
      <c r="A68" s="15" t="s">
        <v>492</v>
      </c>
      <c r="B68" s="17" t="n">
        <v>6049</v>
      </c>
      <c r="C68" s="18">
        <f>(5052.0/B68*100)</f>
        <v/>
      </c>
      <c r="D68" s="19" t="n">
        <v>997</v>
      </c>
      <c r="E68" s="18" t="n">
        <v>38.23979082</v>
      </c>
      <c r="F68" s="20" t="n">
        <v>1.42480887</v>
      </c>
      <c r="G68" s="18" t="n">
        <v>37.50809951</v>
      </c>
      <c r="H68" s="20" t="n">
        <v>1.62945293</v>
      </c>
      <c r="I68" s="18" t="s">
        <v>431</v>
      </c>
      <c r="J68" s="20" t="s">
        <v>431</v>
      </c>
      <c r="K68" s="18" t="n">
        <v>9.78600005</v>
      </c>
      <c r="L68" s="20" t="n">
        <v>0.99658987</v>
      </c>
      <c r="M68" s="18" t="n">
        <v>0.09696976</v>
      </c>
      <c r="N68" s="20" t="n">
        <v>0.09688743</v>
      </c>
      <c r="O68" s="18" t="n">
        <v>0</v>
      </c>
      <c r="P68" s="20" t="n">
        <v>0</v>
      </c>
      <c r="Q68" s="18" t="n">
        <v>14.36913987</v>
      </c>
      <c r="R68" s="20" t="n">
        <v>1.08928217</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(2614.0/B70*100)</f>
        <v/>
      </c>
      <c r="D70" s="19" t="n">
        <v>315</v>
      </c>
      <c r="E70" s="18" t="n">
        <v>19.85507479</v>
      </c>
      <c r="F70" s="20" t="n">
        <v>2.46919038</v>
      </c>
      <c r="G70" s="18" t="n">
        <v>75.95006478000001</v>
      </c>
      <c r="H70" s="20" t="n">
        <v>2.50805505</v>
      </c>
      <c r="I70" s="18" t="s">
        <v>431</v>
      </c>
      <c r="J70" s="20" t="s">
        <v>431</v>
      </c>
      <c r="K70" s="18" t="n">
        <v>1.15124669</v>
      </c>
      <c r="L70" s="20" t="n">
        <v>0.53299497</v>
      </c>
      <c r="M70" s="18" t="n">
        <v>0</v>
      </c>
      <c r="N70" s="20" t="n">
        <v>0</v>
      </c>
      <c r="O70" s="18" t="n">
        <v>0</v>
      </c>
      <c r="P70" s="20" t="n">
        <v>0</v>
      </c>
      <c r="Q70" s="18" t="n">
        <v>3.04361373</v>
      </c>
      <c r="R70" s="20" t="n">
        <v>0.93407012</v>
      </c>
    </row>
    <row r="71" spans="1:18">
      <c r="A71" s="15" t="s">
        <v>495</v>
      </c>
      <c r="B71" s="17" t="n">
        <v>3142</v>
      </c>
      <c r="C71" s="18">
        <f>(2759.0/B71*100)</f>
        <v/>
      </c>
      <c r="D71" s="19" t="n">
        <v>383</v>
      </c>
      <c r="E71" s="18" t="n">
        <v>16.16107184</v>
      </c>
      <c r="F71" s="20" t="n">
        <v>1.87828235</v>
      </c>
      <c r="G71" s="18" t="n">
        <v>80.83904201</v>
      </c>
      <c r="H71" s="20" t="n">
        <v>2.0996479</v>
      </c>
      <c r="I71" s="18" t="s">
        <v>431</v>
      </c>
      <c r="J71" s="20" t="s">
        <v>431</v>
      </c>
      <c r="K71" s="18" t="n">
        <v>1.03583629</v>
      </c>
      <c r="L71" s="20" t="n">
        <v>0.5213067300000001</v>
      </c>
      <c r="M71" s="18" t="n">
        <v>0.13654429</v>
      </c>
      <c r="N71" s="20" t="n">
        <v>0.13968033</v>
      </c>
      <c r="O71" s="18" t="n">
        <v>0</v>
      </c>
      <c r="P71" s="20" t="n">
        <v>0</v>
      </c>
      <c r="Q71" s="18" t="n">
        <v>1.82750557</v>
      </c>
      <c r="R71" s="20" t="n">
        <v>0.85640151</v>
      </c>
    </row>
    <row r="72" spans="1:18">
      <c r="A72" s="15" t="s">
        <v>496</v>
      </c>
      <c r="B72" s="17" t="n">
        <v>3889</v>
      </c>
      <c r="C72" s="18">
        <f>(3395.0/B72*100)</f>
        <v/>
      </c>
      <c r="D72" s="19" t="n">
        <v>494</v>
      </c>
      <c r="E72" s="18" t="n">
        <v>23.69570498</v>
      </c>
      <c r="F72" s="20" t="n">
        <v>1.97597451</v>
      </c>
      <c r="G72" s="18" t="n">
        <v>68.24651403</v>
      </c>
      <c r="H72" s="20" t="n">
        <v>2.05818855</v>
      </c>
      <c r="I72" s="18" t="s">
        <v>431</v>
      </c>
      <c r="J72" s="20" t="s">
        <v>431</v>
      </c>
      <c r="K72" s="18" t="n">
        <v>1.02772421</v>
      </c>
      <c r="L72" s="20" t="n">
        <v>0.33573083</v>
      </c>
      <c r="M72" s="18" t="n">
        <v>0</v>
      </c>
      <c r="N72" s="20" t="n">
        <v>0</v>
      </c>
      <c r="O72" s="18" t="n">
        <v>0</v>
      </c>
      <c r="P72" s="20" t="n">
        <v>0</v>
      </c>
      <c r="Q72" s="18" t="n">
        <v>7.03005677</v>
      </c>
      <c r="R72" s="20" t="n">
        <v>1.1437016</v>
      </c>
    </row>
    <row r="73" spans="1:18">
      <c r="A73" s="15" t="s">
        <v>497</v>
      </c>
      <c r="B73" s="17" t="n">
        <v>3597</v>
      </c>
      <c r="C73" s="18">
        <f>(3182.0/B73*100)</f>
        <v/>
      </c>
      <c r="D73" s="19" t="n">
        <v>415</v>
      </c>
      <c r="E73" s="18" t="n">
        <v>60.80659421</v>
      </c>
      <c r="F73" s="20" t="n">
        <v>3.20340789</v>
      </c>
      <c r="G73" s="18" t="n">
        <v>35.8265772</v>
      </c>
      <c r="H73" s="20" t="n">
        <v>3.11629494</v>
      </c>
      <c r="I73" s="18" t="s">
        <v>431</v>
      </c>
      <c r="J73" s="20" t="s">
        <v>431</v>
      </c>
      <c r="K73" s="18" t="n">
        <v>0.1762391</v>
      </c>
      <c r="L73" s="20" t="n">
        <v>0.15418219</v>
      </c>
      <c r="M73" s="18" t="n">
        <v>0.34040707</v>
      </c>
      <c r="N73" s="20" t="n">
        <v>0.34527811</v>
      </c>
      <c r="O73" s="18" t="n">
        <v>0</v>
      </c>
      <c r="P73" s="20" t="n">
        <v>0</v>
      </c>
      <c r="Q73" s="18" t="n">
        <v>2.85018242</v>
      </c>
      <c r="R73" s="20" t="n">
        <v>1.04554668</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(2152.0/B75*100)</f>
        <v/>
      </c>
      <c r="D75" s="19" t="n">
        <v>254</v>
      </c>
      <c r="E75" s="18" t="n">
        <v>48.16279917</v>
      </c>
      <c r="F75" s="20" t="n">
        <v>3.33468354</v>
      </c>
      <c r="G75" s="18" t="n">
        <v>28.56990754</v>
      </c>
      <c r="H75" s="20" t="n">
        <v>2.83177508</v>
      </c>
      <c r="I75" s="18" t="s">
        <v>431</v>
      </c>
      <c r="J75" s="20" t="s">
        <v>431</v>
      </c>
      <c r="K75" s="18" t="n">
        <v>4.98823481</v>
      </c>
      <c r="L75" s="20" t="n">
        <v>1.25738796</v>
      </c>
      <c r="M75" s="18" t="n">
        <v>1.53301865</v>
      </c>
      <c r="N75" s="20" t="n">
        <v>0.88162449</v>
      </c>
      <c r="O75" s="18" t="n">
        <v>0</v>
      </c>
      <c r="P75" s="20" t="n">
        <v>0</v>
      </c>
      <c r="Q75" s="18" t="n">
        <v>16.74603982</v>
      </c>
      <c r="R75" s="20" t="n">
        <v>2.49452512</v>
      </c>
    </row>
    <row r="76" spans="1:18">
      <c r="A76" s="15" t="s">
        <v>500</v>
      </c>
      <c r="B76" s="17" t="n">
        <v>7052</v>
      </c>
      <c r="C76" s="18">
        <f>(6221.0/B76*100)</f>
        <v/>
      </c>
      <c r="D76" s="19" t="n">
        <v>831</v>
      </c>
      <c r="E76" s="18" t="n">
        <v>41.68261461</v>
      </c>
      <c r="F76" s="20" t="n">
        <v>2.18497798</v>
      </c>
      <c r="G76" s="18" t="n">
        <v>46.68007336</v>
      </c>
      <c r="H76" s="20" t="n">
        <v>2.2949974</v>
      </c>
      <c r="I76" s="18" t="s">
        <v>431</v>
      </c>
      <c r="J76" s="20" t="s">
        <v>431</v>
      </c>
      <c r="K76" s="18" t="n">
        <v>2.53518</v>
      </c>
      <c r="L76" s="20" t="n">
        <v>0.6229794400000001</v>
      </c>
      <c r="M76" s="18" t="n">
        <v>0.27496058</v>
      </c>
      <c r="N76" s="20" t="n">
        <v>0.20149505</v>
      </c>
      <c r="O76" s="18" t="n">
        <v>0</v>
      </c>
      <c r="P76" s="20" t="n">
        <v>0</v>
      </c>
      <c r="Q76" s="18" t="n">
        <v>8.827171460000001</v>
      </c>
      <c r="R76" s="20" t="n">
        <v>1.53782095</v>
      </c>
    </row>
    <row r="77" spans="1:18">
      <c r="A77" s="15" t="s">
        <v>501</v>
      </c>
      <c r="B77" s="17" t="n">
        <v>2908</v>
      </c>
      <c r="C77" s="18">
        <f>(2555.0/B77*100)</f>
        <v/>
      </c>
      <c r="D77" s="19" t="n">
        <v>353</v>
      </c>
      <c r="E77" s="18" t="n">
        <v>17.99432109</v>
      </c>
      <c r="F77" s="20" t="n">
        <v>1.91059376</v>
      </c>
      <c r="G77" s="18" t="n">
        <v>59.67670231</v>
      </c>
      <c r="H77" s="20" t="n">
        <v>2.96453832</v>
      </c>
      <c r="I77" s="18" t="s">
        <v>431</v>
      </c>
      <c r="J77" s="20" t="s">
        <v>431</v>
      </c>
      <c r="K77" s="18" t="n">
        <v>5.06769784</v>
      </c>
      <c r="L77" s="20" t="n">
        <v>1.31101608</v>
      </c>
      <c r="M77" s="18" t="n">
        <v>0.31379766</v>
      </c>
      <c r="N77" s="20" t="n">
        <v>0.32369587</v>
      </c>
      <c r="O77" s="18" t="n">
        <v>0</v>
      </c>
      <c r="P77" s="20" t="n">
        <v>0</v>
      </c>
      <c r="Q77" s="18" t="n">
        <v>16.9474811</v>
      </c>
      <c r="R77" s="20" t="n">
        <v>2.02738291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(3669.0/B81*100)</f>
        <v/>
      </c>
      <c r="D81" s="19" t="n">
        <v>494</v>
      </c>
      <c r="E81" s="18" t="n">
        <v>55.5338736</v>
      </c>
      <c r="F81" s="20" t="n">
        <v>3.14992149</v>
      </c>
      <c r="G81" s="18" t="n">
        <v>39.88782503</v>
      </c>
      <c r="H81" s="20" t="n">
        <v>3.3286521</v>
      </c>
      <c r="I81" s="18" t="s">
        <v>431</v>
      </c>
      <c r="J81" s="20" t="s">
        <v>431</v>
      </c>
      <c r="K81" s="18" t="n">
        <v>0.79620065</v>
      </c>
      <c r="L81" s="20" t="n">
        <v>0.55581471</v>
      </c>
      <c r="M81" s="18" t="n">
        <v>0</v>
      </c>
      <c r="N81" s="20" t="n">
        <v>0</v>
      </c>
      <c r="O81" s="18" t="n">
        <v>0</v>
      </c>
      <c r="P81" s="20" t="n">
        <v>0</v>
      </c>
      <c r="Q81" s="18" t="n">
        <v>3.78210072</v>
      </c>
      <c r="R81" s="20" t="n">
        <v>1.02640532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(6524.0/B7*100)</f>
        <v/>
      </c>
      <c r="D7" s="19" t="n">
        <v>843</v>
      </c>
      <c r="E7" s="18" t="n">
        <v>39.44007504</v>
      </c>
      <c r="F7" s="20" t="n">
        <v>1.903541</v>
      </c>
      <c r="G7" s="18" t="n">
        <v>53.3023288</v>
      </c>
      <c r="H7" s="20" t="n">
        <v>1.86422076</v>
      </c>
      <c r="I7" s="18" t="s">
        <v>431</v>
      </c>
      <c r="J7" s="20" t="s">
        <v>431</v>
      </c>
      <c r="K7" s="18" t="n">
        <v>3.12785326</v>
      </c>
      <c r="L7" s="20" t="n">
        <v>0.67729185</v>
      </c>
      <c r="M7" s="18" t="n">
        <v>0</v>
      </c>
      <c r="N7" s="20" t="n">
        <v>0</v>
      </c>
      <c r="O7" s="18" t="n">
        <v>0</v>
      </c>
      <c r="P7" s="20" t="n">
        <v>0</v>
      </c>
      <c r="Q7" s="18" t="n">
        <v>4.12974291</v>
      </c>
      <c r="R7" s="20" t="n">
        <v>0.6722423</v>
      </c>
    </row>
    <row r="8" spans="1:18">
      <c r="A8" s="15" t="s">
        <v>432</v>
      </c>
      <c r="B8" s="17" t="n">
        <v>3564</v>
      </c>
      <c r="C8" s="18">
        <f>(3158.0/B8*100)</f>
        <v/>
      </c>
      <c r="D8" s="19" t="n">
        <v>406</v>
      </c>
      <c r="E8" s="18" t="n">
        <v>37.43361449</v>
      </c>
      <c r="F8" s="20" t="n">
        <v>2.77355574</v>
      </c>
      <c r="G8" s="18" t="n">
        <v>53.36184148</v>
      </c>
      <c r="H8" s="20" t="n">
        <v>2.82300389</v>
      </c>
      <c r="I8" s="18" t="s">
        <v>431</v>
      </c>
      <c r="J8" s="20" t="s">
        <v>431</v>
      </c>
      <c r="K8" s="18" t="n">
        <v>4.62625066</v>
      </c>
      <c r="L8" s="20" t="n">
        <v>1.17201147</v>
      </c>
      <c r="M8" s="18" t="n">
        <v>0</v>
      </c>
      <c r="N8" s="20" t="n">
        <v>0</v>
      </c>
      <c r="O8" s="18" t="n">
        <v>0</v>
      </c>
      <c r="P8" s="20" t="n">
        <v>0</v>
      </c>
      <c r="Q8" s="18" t="n">
        <v>4.57829337</v>
      </c>
      <c r="R8" s="20" t="n">
        <v>1.11283316</v>
      </c>
    </row>
    <row r="9" spans="1:18">
      <c r="A9" s="15" t="s">
        <v>433</v>
      </c>
      <c r="B9" s="17" t="n">
        <v>4899</v>
      </c>
      <c r="C9" s="18">
        <f>(4336.0/B9*100)</f>
        <v/>
      </c>
      <c r="D9" s="19" t="n">
        <v>563</v>
      </c>
      <c r="E9" s="18" t="n">
        <v>34.79794879</v>
      </c>
      <c r="F9" s="20" t="n">
        <v>2.23682774</v>
      </c>
      <c r="G9" s="18" t="n">
        <v>59.31172441</v>
      </c>
      <c r="H9" s="20" t="n">
        <v>2.31106067</v>
      </c>
      <c r="I9" s="18" t="s">
        <v>431</v>
      </c>
      <c r="J9" s="20" t="s">
        <v>431</v>
      </c>
      <c r="K9" s="18" t="n">
        <v>3.21448253</v>
      </c>
      <c r="L9" s="20" t="n">
        <v>0.91978077</v>
      </c>
      <c r="M9" s="18" t="n">
        <v>0</v>
      </c>
      <c r="N9" s="20" t="n">
        <v>0</v>
      </c>
      <c r="O9" s="18" t="n">
        <v>0</v>
      </c>
      <c r="P9" s="20" t="n">
        <v>0</v>
      </c>
      <c r="Q9" s="18" t="n">
        <v>2.67584428</v>
      </c>
      <c r="R9" s="20" t="n">
        <v>0.88698131</v>
      </c>
    </row>
    <row r="10" spans="1:18">
      <c r="A10" s="15" t="s">
        <v>434</v>
      </c>
      <c r="B10" s="17" t="n">
        <v>10036</v>
      </c>
      <c r="C10" s="18">
        <f>(8828.0/B10*100)</f>
        <v/>
      </c>
      <c r="D10" s="19" t="n">
        <v>1208</v>
      </c>
      <c r="E10" s="18" t="n">
        <v>36.39007506</v>
      </c>
      <c r="F10" s="20" t="n">
        <v>1.72609768</v>
      </c>
      <c r="G10" s="18" t="n">
        <v>58.28022077</v>
      </c>
      <c r="H10" s="20" t="n">
        <v>1.79057238</v>
      </c>
      <c r="I10" s="18" t="s">
        <v>431</v>
      </c>
      <c r="J10" s="20" t="s">
        <v>431</v>
      </c>
      <c r="K10" s="18" t="n">
        <v>2.86615135</v>
      </c>
      <c r="L10" s="20" t="n">
        <v>0.76625234</v>
      </c>
      <c r="M10" s="18" t="n">
        <v>0</v>
      </c>
      <c r="N10" s="20" t="n">
        <v>0</v>
      </c>
      <c r="O10" s="18" t="n">
        <v>0</v>
      </c>
      <c r="P10" s="20" t="n">
        <v>0</v>
      </c>
      <c r="Q10" s="18" t="n">
        <v>2.46355282</v>
      </c>
      <c r="R10" s="20" t="n">
        <v>0.72067034</v>
      </c>
    </row>
    <row r="11" spans="1:18">
      <c r="A11" s="15" t="s">
        <v>435</v>
      </c>
      <c r="B11" s="17" t="n">
        <v>3553</v>
      </c>
      <c r="C11" s="18">
        <f>(3117.0/B11*100)</f>
        <v/>
      </c>
      <c r="D11" s="19" t="n">
        <v>436</v>
      </c>
      <c r="E11" s="18" t="n">
        <v>45.63381904</v>
      </c>
      <c r="F11" s="20" t="n">
        <v>2.84371216</v>
      </c>
      <c r="G11" s="18" t="n">
        <v>40.80711541</v>
      </c>
      <c r="H11" s="20" t="n">
        <v>2.50743574</v>
      </c>
      <c r="I11" s="18" t="s">
        <v>431</v>
      </c>
      <c r="J11" s="20" t="s">
        <v>431</v>
      </c>
      <c r="K11" s="18" t="n">
        <v>3.85754041</v>
      </c>
      <c r="L11" s="20" t="n">
        <v>1.17739378</v>
      </c>
      <c r="M11" s="18" t="n">
        <v>0</v>
      </c>
      <c r="N11" s="20" t="n">
        <v>0</v>
      </c>
      <c r="O11" s="18" t="n">
        <v>0</v>
      </c>
      <c r="P11" s="20" t="n">
        <v>0</v>
      </c>
      <c r="Q11" s="18" t="n">
        <v>9.701525139999999</v>
      </c>
      <c r="R11" s="20" t="n">
        <v>1.5510701</v>
      </c>
    </row>
    <row r="12" spans="1:18">
      <c r="A12" s="15" t="s">
        <v>436</v>
      </c>
      <c r="B12" s="17" t="n">
        <v>3472</v>
      </c>
      <c r="C12" s="18">
        <f>(3049.0/B12*100)</f>
        <v/>
      </c>
      <c r="D12" s="19" t="n">
        <v>423</v>
      </c>
      <c r="E12" s="18" t="n">
        <v>43.70947132</v>
      </c>
      <c r="F12" s="20" t="n">
        <v>2.7863098</v>
      </c>
      <c r="G12" s="18" t="n">
        <v>48.04034392</v>
      </c>
      <c r="H12" s="20" t="n">
        <v>2.84444888</v>
      </c>
      <c r="I12" s="18" t="s">
        <v>431</v>
      </c>
      <c r="J12" s="20" t="s">
        <v>431</v>
      </c>
      <c r="K12" s="18" t="n">
        <v>3.36634028</v>
      </c>
      <c r="L12" s="20" t="n">
        <v>1.0425399</v>
      </c>
      <c r="M12" s="18" t="n">
        <v>0</v>
      </c>
      <c r="N12" s="20" t="n">
        <v>0</v>
      </c>
      <c r="O12" s="18" t="n">
        <v>0</v>
      </c>
      <c r="P12" s="20" t="n">
        <v>0</v>
      </c>
      <c r="Q12" s="18" t="n">
        <v>4.88384449</v>
      </c>
      <c r="R12" s="20" t="n">
        <v>1.4518737</v>
      </c>
    </row>
    <row r="13" spans="1:18">
      <c r="A13" s="15" t="s">
        <v>437</v>
      </c>
      <c r="B13" s="17" t="n">
        <v>3559</v>
      </c>
      <c r="C13" s="18">
        <f>(3155.0/B13*100)</f>
        <v/>
      </c>
      <c r="D13" s="19" t="n">
        <v>404</v>
      </c>
      <c r="E13" s="18" t="n">
        <v>35.8626516</v>
      </c>
      <c r="F13" s="20" t="n">
        <v>2.62360158</v>
      </c>
      <c r="G13" s="18" t="n">
        <v>57.62056969</v>
      </c>
      <c r="H13" s="20" t="n">
        <v>2.84563747</v>
      </c>
      <c r="I13" s="18" t="s">
        <v>431</v>
      </c>
      <c r="J13" s="20" t="s">
        <v>431</v>
      </c>
      <c r="K13" s="18" t="n">
        <v>3.9393314</v>
      </c>
      <c r="L13" s="20" t="n">
        <v>1.09732562</v>
      </c>
      <c r="M13" s="18" t="n">
        <v>0</v>
      </c>
      <c r="N13" s="20" t="n">
        <v>0</v>
      </c>
      <c r="O13" s="18" t="n">
        <v>0</v>
      </c>
      <c r="P13" s="20" t="n">
        <v>0</v>
      </c>
      <c r="Q13" s="18" t="n">
        <v>2.57744731</v>
      </c>
      <c r="R13" s="20" t="n">
        <v>0.80953556</v>
      </c>
    </row>
    <row r="14" spans="1:18">
      <c r="A14" s="15" t="s">
        <v>438</v>
      </c>
      <c r="B14" s="17" t="n">
        <v>2799</v>
      </c>
      <c r="C14" s="18">
        <f>(2467.0/B14*100)</f>
        <v/>
      </c>
      <c r="D14" s="19" t="n">
        <v>332</v>
      </c>
      <c r="E14" s="18" t="n">
        <v>36.40289047</v>
      </c>
      <c r="F14" s="20" t="n">
        <v>2.89118785</v>
      </c>
      <c r="G14" s="18" t="n">
        <v>61.23558968</v>
      </c>
      <c r="H14" s="20" t="n">
        <v>2.96876449</v>
      </c>
      <c r="I14" s="18" t="s">
        <v>431</v>
      </c>
      <c r="J14" s="20" t="s">
        <v>431</v>
      </c>
      <c r="K14" s="18" t="n">
        <v>0.98090221</v>
      </c>
      <c r="L14" s="20" t="n">
        <v>0.49352514</v>
      </c>
      <c r="M14" s="18" t="n">
        <v>0</v>
      </c>
      <c r="N14" s="20" t="n">
        <v>0</v>
      </c>
      <c r="O14" s="18" t="n">
        <v>0</v>
      </c>
      <c r="P14" s="20" t="n">
        <v>0</v>
      </c>
      <c r="Q14" s="18" t="n">
        <v>1.38061764</v>
      </c>
      <c r="R14" s="20" t="n">
        <v>0.56086578</v>
      </c>
    </row>
    <row r="15" spans="1:18">
      <c r="A15" s="15" t="s">
        <v>439</v>
      </c>
      <c r="B15" s="17" t="n">
        <v>3019</v>
      </c>
      <c r="C15" s="18">
        <f>(2645.0/B15*100)</f>
        <v/>
      </c>
      <c r="D15" s="19" t="n">
        <v>374</v>
      </c>
      <c r="E15" s="18" t="n">
        <v>36.20306469</v>
      </c>
      <c r="F15" s="20" t="n">
        <v>2.72493592</v>
      </c>
      <c r="G15" s="18" t="n">
        <v>58.52753676</v>
      </c>
      <c r="H15" s="20" t="n">
        <v>3.19128648</v>
      </c>
      <c r="I15" s="18" t="s">
        <v>431</v>
      </c>
      <c r="J15" s="20" t="s">
        <v>431</v>
      </c>
      <c r="K15" s="18" t="n">
        <v>2.57201635</v>
      </c>
      <c r="L15" s="20" t="n">
        <v>0.8700073</v>
      </c>
      <c r="M15" s="18" t="n">
        <v>0</v>
      </c>
      <c r="N15" s="20" t="n">
        <v>0</v>
      </c>
      <c r="O15" s="18" t="n">
        <v>0</v>
      </c>
      <c r="P15" s="20" t="n">
        <v>0</v>
      </c>
      <c r="Q15" s="18" t="n">
        <v>2.6973822</v>
      </c>
      <c r="R15" s="20" t="n">
        <v>0.8204171099999999</v>
      </c>
    </row>
    <row r="16" spans="1:18">
      <c r="A16" s="15" t="s">
        <v>440</v>
      </c>
      <c r="B16" s="17" t="n">
        <v>2997</v>
      </c>
      <c r="C16" s="18">
        <f>(2628.0/B16*100)</f>
        <v/>
      </c>
      <c r="D16" s="19" t="n">
        <v>369</v>
      </c>
      <c r="E16" s="18" t="n">
        <v>38.42245533</v>
      </c>
      <c r="F16" s="20" t="n">
        <v>2.82451966</v>
      </c>
      <c r="G16" s="18" t="n">
        <v>54.02592872</v>
      </c>
      <c r="H16" s="20" t="n">
        <v>2.59593529</v>
      </c>
      <c r="I16" s="18" t="s">
        <v>431</v>
      </c>
      <c r="J16" s="20" t="s">
        <v>431</v>
      </c>
      <c r="K16" s="18" t="n">
        <v>4.02191254</v>
      </c>
      <c r="L16" s="20" t="n">
        <v>1.03989154</v>
      </c>
      <c r="M16" s="18" t="n">
        <v>0</v>
      </c>
      <c r="N16" s="20" t="n">
        <v>0</v>
      </c>
      <c r="O16" s="18" t="n">
        <v>0</v>
      </c>
      <c r="P16" s="20" t="n">
        <v>0</v>
      </c>
      <c r="Q16" s="18" t="n">
        <v>3.5297034</v>
      </c>
      <c r="R16" s="20" t="n">
        <v>0.8809051</v>
      </c>
    </row>
    <row r="17" spans="1:18">
      <c r="A17" s="15" t="s">
        <v>441</v>
      </c>
      <c r="B17" s="17" t="n">
        <v>3307</v>
      </c>
      <c r="C17" s="18">
        <f>(2916.0/B17*100)</f>
        <v/>
      </c>
      <c r="D17" s="19" t="n">
        <v>391</v>
      </c>
      <c r="E17" s="18" t="n">
        <v>35.39300674</v>
      </c>
      <c r="F17" s="20" t="n">
        <v>2.97027416</v>
      </c>
      <c r="G17" s="18" t="n">
        <v>57.35633555</v>
      </c>
      <c r="H17" s="20" t="n">
        <v>3.60659114</v>
      </c>
      <c r="I17" s="18" t="s">
        <v>431</v>
      </c>
      <c r="J17" s="20" t="s">
        <v>431</v>
      </c>
      <c r="K17" s="18" t="n">
        <v>3.819643</v>
      </c>
      <c r="L17" s="20" t="n">
        <v>1.14587345</v>
      </c>
      <c r="M17" s="18" t="n">
        <v>0</v>
      </c>
      <c r="N17" s="20" t="n">
        <v>0</v>
      </c>
      <c r="O17" s="18" t="n">
        <v>0</v>
      </c>
      <c r="P17" s="20" t="n">
        <v>0</v>
      </c>
      <c r="Q17" s="18" t="n">
        <v>3.43101471</v>
      </c>
      <c r="R17" s="20" t="n">
        <v>1.15953598</v>
      </c>
    </row>
    <row r="18" spans="1:18">
      <c r="A18" s="15" t="s">
        <v>442</v>
      </c>
      <c r="B18" s="17" t="n">
        <v>2826</v>
      </c>
      <c r="C18" s="18">
        <f>(2503.0/B18*100)</f>
        <v/>
      </c>
      <c r="D18" s="19" t="n">
        <v>323</v>
      </c>
      <c r="E18" s="18" t="n">
        <v>53.45727808</v>
      </c>
      <c r="F18" s="20" t="n">
        <v>3.42366877</v>
      </c>
      <c r="G18" s="18" t="n">
        <v>37.69963713</v>
      </c>
      <c r="H18" s="20" t="n">
        <v>3.40991167</v>
      </c>
      <c r="I18" s="18" t="s">
        <v>431</v>
      </c>
      <c r="J18" s="20" t="s">
        <v>431</v>
      </c>
      <c r="K18" s="18" t="n">
        <v>5.14911079</v>
      </c>
      <c r="L18" s="20" t="n">
        <v>1.52955718</v>
      </c>
      <c r="M18" s="18" t="n">
        <v>0</v>
      </c>
      <c r="N18" s="20" t="n">
        <v>0</v>
      </c>
      <c r="O18" s="18" t="n">
        <v>0</v>
      </c>
      <c r="P18" s="20" t="n">
        <v>0</v>
      </c>
      <c r="Q18" s="18" t="n">
        <v>3.693974</v>
      </c>
      <c r="R18" s="20" t="n">
        <v>1.12076271</v>
      </c>
    </row>
    <row r="19" spans="1:18">
      <c r="A19" s="15" t="s">
        <v>443</v>
      </c>
      <c r="B19" s="17" t="n">
        <v>2808</v>
      </c>
      <c r="C19" s="18">
        <f>(2478.0/B19*100)</f>
        <v/>
      </c>
      <c r="D19" s="19" t="n">
        <v>330</v>
      </c>
      <c r="E19" s="18" t="n">
        <v>56.0183322</v>
      </c>
      <c r="F19" s="20" t="n">
        <v>2.72515595</v>
      </c>
      <c r="G19" s="18" t="n">
        <v>35.22009952</v>
      </c>
      <c r="H19" s="20" t="n">
        <v>2.59679662</v>
      </c>
      <c r="I19" s="18" t="s">
        <v>431</v>
      </c>
      <c r="J19" s="20" t="s">
        <v>431</v>
      </c>
      <c r="K19" s="18" t="n">
        <v>3.15069076</v>
      </c>
      <c r="L19" s="20" t="n">
        <v>1.21872613</v>
      </c>
      <c r="M19" s="18" t="n">
        <v>0</v>
      </c>
      <c r="N19" s="20" t="n">
        <v>0</v>
      </c>
      <c r="O19" s="18" t="n">
        <v>0</v>
      </c>
      <c r="P19" s="20" t="n">
        <v>0</v>
      </c>
      <c r="Q19" s="18" t="n">
        <v>5.61087752</v>
      </c>
      <c r="R19" s="20" t="n">
        <v>1.36137201</v>
      </c>
    </row>
    <row r="20" spans="1:18">
      <c r="A20" s="15" t="s">
        <v>444</v>
      </c>
      <c r="B20" s="17" t="n">
        <v>1630</v>
      </c>
      <c r="C20" s="18">
        <f>(1426.0/B20*100)</f>
        <v/>
      </c>
      <c r="D20" s="19" t="n">
        <v>204</v>
      </c>
      <c r="E20" s="18" t="n">
        <v>43.29537153</v>
      </c>
      <c r="F20" s="20" t="n">
        <v>3.38214572</v>
      </c>
      <c r="G20" s="18" t="n">
        <v>49.5077748</v>
      </c>
      <c r="H20" s="20" t="n">
        <v>3.20273096</v>
      </c>
      <c r="I20" s="18" t="s">
        <v>431</v>
      </c>
      <c r="J20" s="20" t="s">
        <v>431</v>
      </c>
      <c r="K20" s="18" t="n">
        <v>5.23953027</v>
      </c>
      <c r="L20" s="20" t="n">
        <v>1.38418447</v>
      </c>
      <c r="M20" s="18" t="n">
        <v>0</v>
      </c>
      <c r="N20" s="20" t="n">
        <v>0</v>
      </c>
      <c r="O20" s="18" t="n">
        <v>0</v>
      </c>
      <c r="P20" s="20" t="n">
        <v>0</v>
      </c>
      <c r="Q20" s="18" t="n">
        <v>1.9573234</v>
      </c>
      <c r="R20" s="20" t="n">
        <v>0.97695962</v>
      </c>
    </row>
    <row r="21" spans="1:18">
      <c r="A21" s="15" t="s">
        <v>445</v>
      </c>
      <c r="B21" s="17" t="n">
        <v>2908</v>
      </c>
      <c r="C21" s="18">
        <f>(2450.0/B21*100)</f>
        <v/>
      </c>
      <c r="D21" s="19" t="n">
        <v>458</v>
      </c>
      <c r="E21" s="18" t="n">
        <v>40.75623831</v>
      </c>
      <c r="F21" s="20" t="n">
        <v>2.19075926</v>
      </c>
      <c r="G21" s="18" t="n">
        <v>53.88452278</v>
      </c>
      <c r="H21" s="20" t="n">
        <v>2.34981114</v>
      </c>
      <c r="I21" s="18" t="s">
        <v>431</v>
      </c>
      <c r="J21" s="20" t="s">
        <v>431</v>
      </c>
      <c r="K21" s="18" t="n">
        <v>3.40933262</v>
      </c>
      <c r="L21" s="20" t="n">
        <v>0.93653235</v>
      </c>
      <c r="M21" s="18" t="n">
        <v>0</v>
      </c>
      <c r="N21" s="20" t="n">
        <v>0</v>
      </c>
      <c r="O21" s="18" t="n">
        <v>0</v>
      </c>
      <c r="P21" s="20" t="n">
        <v>0</v>
      </c>
      <c r="Q21" s="18" t="n">
        <v>1.94990628</v>
      </c>
      <c r="R21" s="20" t="n">
        <v>0.50684579</v>
      </c>
    </row>
    <row r="22" spans="1:18">
      <c r="A22" s="15" t="s">
        <v>446</v>
      </c>
      <c r="B22" s="17" t="n">
        <v>2931</v>
      </c>
      <c r="C22" s="18">
        <f>(2569.0/B22*100)</f>
        <v/>
      </c>
      <c r="D22" s="19" t="n">
        <v>362</v>
      </c>
      <c r="E22" s="18" t="n">
        <v>41.11694835</v>
      </c>
      <c r="F22" s="20" t="n">
        <v>3.28731827</v>
      </c>
      <c r="G22" s="18" t="n">
        <v>51.4171937</v>
      </c>
      <c r="H22" s="20" t="n">
        <v>3.71700452</v>
      </c>
      <c r="I22" s="18" t="s">
        <v>431</v>
      </c>
      <c r="J22" s="20" t="s">
        <v>431</v>
      </c>
      <c r="K22" s="18" t="n">
        <v>4.21210425</v>
      </c>
      <c r="L22" s="20" t="n">
        <v>1.03059116</v>
      </c>
      <c r="M22" s="18" t="n">
        <v>0</v>
      </c>
      <c r="N22" s="20" t="n">
        <v>0</v>
      </c>
      <c r="O22" s="18" t="n">
        <v>0</v>
      </c>
      <c r="P22" s="20" t="n">
        <v>0</v>
      </c>
      <c r="Q22" s="18" t="n">
        <v>3.2537537</v>
      </c>
      <c r="R22" s="20" t="n">
        <v>1.0198805</v>
      </c>
    </row>
    <row r="23" spans="1:18">
      <c r="A23" s="15" t="s">
        <v>447</v>
      </c>
      <c r="B23" s="17" t="n">
        <v>5791</v>
      </c>
      <c r="C23" s="18">
        <f>(5073.0/B23*100)</f>
        <v/>
      </c>
      <c r="D23" s="19" t="n">
        <v>718</v>
      </c>
      <c r="E23" s="18" t="n">
        <v>47.0111465</v>
      </c>
      <c r="F23" s="20" t="n">
        <v>2.65489428</v>
      </c>
      <c r="G23" s="18" t="n">
        <v>46.88429623</v>
      </c>
      <c r="H23" s="20" t="n">
        <v>2.57845032</v>
      </c>
      <c r="I23" s="18" t="s">
        <v>431</v>
      </c>
      <c r="J23" s="20" t="s">
        <v>431</v>
      </c>
      <c r="K23" s="18" t="n">
        <v>3.21280525</v>
      </c>
      <c r="L23" s="20" t="n">
        <v>1.19270936</v>
      </c>
      <c r="M23" s="18" t="n">
        <v>0</v>
      </c>
      <c r="N23" s="20" t="n">
        <v>0</v>
      </c>
      <c r="O23" s="18" t="n">
        <v>0</v>
      </c>
      <c r="P23" s="20" t="n">
        <v>0</v>
      </c>
      <c r="Q23" s="18" t="n">
        <v>2.89175201</v>
      </c>
      <c r="R23" s="20" t="n">
        <v>1.19486941</v>
      </c>
    </row>
    <row r="24" spans="1:18">
      <c r="A24" s="15" t="s">
        <v>448</v>
      </c>
      <c r="B24" s="17" t="n">
        <v>3338</v>
      </c>
      <c r="C24" s="18">
        <f>(2953.0/B24*100)</f>
        <v/>
      </c>
      <c r="D24" s="19" t="n">
        <v>385</v>
      </c>
      <c r="E24" s="18" t="n">
        <v>36.92698042</v>
      </c>
      <c r="F24" s="20" t="n">
        <v>3.0230127</v>
      </c>
      <c r="G24" s="18" t="n">
        <v>56.17678035</v>
      </c>
      <c r="H24" s="20" t="n">
        <v>3.13918907</v>
      </c>
      <c r="I24" s="18" t="s">
        <v>431</v>
      </c>
      <c r="J24" s="20" t="s">
        <v>431</v>
      </c>
      <c r="K24" s="18" t="n">
        <v>4.84878311</v>
      </c>
      <c r="L24" s="20" t="n">
        <v>1.11712864</v>
      </c>
      <c r="M24" s="18" t="n">
        <v>0</v>
      </c>
      <c r="N24" s="20" t="n">
        <v>0</v>
      </c>
      <c r="O24" s="18" t="n">
        <v>0</v>
      </c>
      <c r="P24" s="20" t="n">
        <v>0</v>
      </c>
      <c r="Q24" s="18" t="n">
        <v>2.04745612</v>
      </c>
      <c r="R24" s="20" t="n">
        <v>0.74610212</v>
      </c>
    </row>
    <row r="25" spans="1:18">
      <c r="A25" s="15" t="s">
        <v>449</v>
      </c>
      <c r="B25" s="17" t="n">
        <v>2912</v>
      </c>
      <c r="C25" s="18">
        <f>(2567.0/B25*100)</f>
        <v/>
      </c>
      <c r="D25" s="19" t="n">
        <v>345</v>
      </c>
      <c r="E25" s="18" t="n">
        <v>37.16977453</v>
      </c>
      <c r="F25" s="20" t="n">
        <v>2.38187415</v>
      </c>
      <c r="G25" s="18" t="n">
        <v>59.24842467</v>
      </c>
      <c r="H25" s="20" t="n">
        <v>2.6440429</v>
      </c>
      <c r="I25" s="18" t="s">
        <v>431</v>
      </c>
      <c r="J25" s="20" t="s">
        <v>431</v>
      </c>
      <c r="K25" s="18" t="n">
        <v>2.33131111</v>
      </c>
      <c r="L25" s="20" t="n">
        <v>0.78141762</v>
      </c>
      <c r="M25" s="18" t="n">
        <v>0</v>
      </c>
      <c r="N25" s="20" t="n">
        <v>0</v>
      </c>
      <c r="O25" s="18" t="n">
        <v>0</v>
      </c>
      <c r="P25" s="20" t="n">
        <v>0</v>
      </c>
      <c r="Q25" s="18" t="n">
        <v>1.25048969</v>
      </c>
      <c r="R25" s="20" t="n">
        <v>0.63005999</v>
      </c>
    </row>
    <row r="26" spans="1:18">
      <c r="A26" s="15" t="s">
        <v>450</v>
      </c>
      <c r="B26" s="17" t="n">
        <v>2450</v>
      </c>
      <c r="C26" s="18">
        <f>(2162.0/B26*100)</f>
        <v/>
      </c>
      <c r="D26" s="19" t="n">
        <v>288</v>
      </c>
      <c r="E26" s="18" t="n">
        <v>48.35132223</v>
      </c>
      <c r="F26" s="20" t="n">
        <v>2.96884815</v>
      </c>
      <c r="G26" s="18" t="n">
        <v>46.39779782</v>
      </c>
      <c r="H26" s="20" t="n">
        <v>2.86731364</v>
      </c>
      <c r="I26" s="18" t="s">
        <v>431</v>
      </c>
      <c r="J26" s="20" t="s">
        <v>431</v>
      </c>
      <c r="K26" s="18" t="n">
        <v>1.12044868</v>
      </c>
      <c r="L26" s="20" t="n">
        <v>0.5751457800000001</v>
      </c>
      <c r="M26" s="18" t="n">
        <v>0</v>
      </c>
      <c r="N26" s="20" t="n">
        <v>0</v>
      </c>
      <c r="O26" s="18" t="n">
        <v>0</v>
      </c>
      <c r="P26" s="20" t="n">
        <v>0</v>
      </c>
      <c r="Q26" s="18" t="n">
        <v>4.13043127</v>
      </c>
      <c r="R26" s="20" t="n">
        <v>1.30476692</v>
      </c>
    </row>
    <row r="27" spans="1:18">
      <c r="A27" s="15" t="s">
        <v>451</v>
      </c>
      <c r="B27" s="17" t="n">
        <v>2616</v>
      </c>
      <c r="C27" s="18">
        <f>(2306.0/B27*100)</f>
        <v/>
      </c>
      <c r="D27" s="19" t="n">
        <v>310</v>
      </c>
      <c r="E27" s="18" t="n">
        <v>42.82062746</v>
      </c>
      <c r="F27" s="20" t="n">
        <v>2.66175928</v>
      </c>
      <c r="G27" s="18" t="n">
        <v>49.77590544</v>
      </c>
      <c r="H27" s="20" t="n">
        <v>2.79338943</v>
      </c>
      <c r="I27" s="18" t="s">
        <v>431</v>
      </c>
      <c r="J27" s="20" t="s">
        <v>431</v>
      </c>
      <c r="K27" s="18" t="n">
        <v>2.57225632</v>
      </c>
      <c r="L27" s="20" t="n">
        <v>0.7903880599999999</v>
      </c>
      <c r="M27" s="18" t="n">
        <v>0</v>
      </c>
      <c r="N27" s="20" t="n">
        <v>0</v>
      </c>
      <c r="O27" s="18" t="n">
        <v>0</v>
      </c>
      <c r="P27" s="20" t="n">
        <v>0</v>
      </c>
      <c r="Q27" s="18" t="n">
        <v>4.83121078</v>
      </c>
      <c r="R27" s="20" t="n">
        <v>1.33916552</v>
      </c>
    </row>
    <row r="28" spans="1:18">
      <c r="A28" s="15" t="s">
        <v>452</v>
      </c>
      <c r="B28" s="17" t="n">
        <v>3765</v>
      </c>
      <c r="C28" s="18">
        <f>(3372.0/B28*100)</f>
        <v/>
      </c>
      <c r="D28" s="19" t="n">
        <v>393</v>
      </c>
      <c r="E28" s="18" t="n">
        <v>54.51816444</v>
      </c>
      <c r="F28" s="20" t="n">
        <v>2.86585279</v>
      </c>
      <c r="G28" s="18" t="n">
        <v>40.31757303</v>
      </c>
      <c r="H28" s="20" t="n">
        <v>2.86389262</v>
      </c>
      <c r="I28" s="18" t="s">
        <v>431</v>
      </c>
      <c r="J28" s="20" t="s">
        <v>431</v>
      </c>
      <c r="K28" s="18" t="n">
        <v>1.38061474</v>
      </c>
      <c r="L28" s="20" t="n">
        <v>0.69806137</v>
      </c>
      <c r="M28" s="18" t="n">
        <v>0</v>
      </c>
      <c r="N28" s="20" t="n">
        <v>0</v>
      </c>
      <c r="O28" s="18" t="n">
        <v>0</v>
      </c>
      <c r="P28" s="20" t="n">
        <v>0</v>
      </c>
      <c r="Q28" s="18" t="n">
        <v>3.78364779</v>
      </c>
      <c r="R28" s="20" t="n">
        <v>1.1629398</v>
      </c>
    </row>
    <row r="29" spans="1:18">
      <c r="A29" s="15" t="s">
        <v>453</v>
      </c>
      <c r="B29" s="17" t="n">
        <v>2685</v>
      </c>
      <c r="C29" s="18">
        <f>(2357.0/B29*100)</f>
        <v/>
      </c>
      <c r="D29" s="19" t="n">
        <v>328</v>
      </c>
      <c r="E29" s="18" t="n">
        <v>39.65648712</v>
      </c>
      <c r="F29" s="20" t="n">
        <v>2.53001808</v>
      </c>
      <c r="G29" s="18" t="n">
        <v>58.28858694</v>
      </c>
      <c r="H29" s="20" t="n">
        <v>2.60830539</v>
      </c>
      <c r="I29" s="18" t="s">
        <v>431</v>
      </c>
      <c r="J29" s="20" t="s">
        <v>431</v>
      </c>
      <c r="K29" s="18" t="n">
        <v>1.02128413</v>
      </c>
      <c r="L29" s="20" t="n">
        <v>0.30346403</v>
      </c>
      <c r="M29" s="18" t="n">
        <v>0</v>
      </c>
      <c r="N29" s="20" t="n">
        <v>0</v>
      </c>
      <c r="O29" s="18" t="n">
        <v>0</v>
      </c>
      <c r="P29" s="20" t="n">
        <v>0</v>
      </c>
      <c r="Q29" s="18" t="n">
        <v>1.03364181</v>
      </c>
      <c r="R29" s="20" t="n">
        <v>0.55290907</v>
      </c>
    </row>
    <row r="30" spans="1:18">
      <c r="A30" s="15" t="s">
        <v>454</v>
      </c>
      <c r="B30" s="17" t="n">
        <v>2263</v>
      </c>
      <c r="C30" s="18">
        <f>(1986.0/B30*100)</f>
        <v/>
      </c>
      <c r="D30" s="19" t="n">
        <v>277</v>
      </c>
      <c r="E30" s="18" t="n">
        <v>33.23224241</v>
      </c>
      <c r="F30" s="20" t="n">
        <v>3.61545316</v>
      </c>
      <c r="G30" s="18" t="n">
        <v>59.51688923</v>
      </c>
      <c r="H30" s="20" t="n">
        <v>3.23636668</v>
      </c>
      <c r="I30" s="18" t="s">
        <v>431</v>
      </c>
      <c r="J30" s="20" t="s">
        <v>431</v>
      </c>
      <c r="K30" s="18" t="n">
        <v>3.73558192</v>
      </c>
      <c r="L30" s="20" t="n">
        <v>1.13151084</v>
      </c>
      <c r="M30" s="18" t="n">
        <v>0</v>
      </c>
      <c r="N30" s="20" t="n">
        <v>0</v>
      </c>
      <c r="O30" s="18" t="n">
        <v>0</v>
      </c>
      <c r="P30" s="20" t="n">
        <v>0</v>
      </c>
      <c r="Q30" s="18" t="n">
        <v>3.51528643</v>
      </c>
      <c r="R30" s="20" t="n">
        <v>1.14035359</v>
      </c>
    </row>
    <row r="31" spans="1:18">
      <c r="A31" s="15" t="s">
        <v>455</v>
      </c>
      <c r="B31" s="17" t="n">
        <v>2750</v>
      </c>
      <c r="C31" s="18">
        <f>(2426.0/B31*100)</f>
        <v/>
      </c>
      <c r="D31" s="19" t="n">
        <v>324</v>
      </c>
      <c r="E31" s="18" t="n">
        <v>33.97653077</v>
      </c>
      <c r="F31" s="20" t="n">
        <v>2.75614698</v>
      </c>
      <c r="G31" s="18" t="n">
        <v>54.20444288</v>
      </c>
      <c r="H31" s="20" t="n">
        <v>2.89837495</v>
      </c>
      <c r="I31" s="18" t="s">
        <v>431</v>
      </c>
      <c r="J31" s="20" t="s">
        <v>431</v>
      </c>
      <c r="K31" s="18" t="n">
        <v>8.227664710000001</v>
      </c>
      <c r="L31" s="20" t="n">
        <v>1.49310238</v>
      </c>
      <c r="M31" s="18" t="n">
        <v>0</v>
      </c>
      <c r="N31" s="20" t="n">
        <v>0</v>
      </c>
      <c r="O31" s="18" t="n">
        <v>0</v>
      </c>
      <c r="P31" s="20" t="n">
        <v>0</v>
      </c>
      <c r="Q31" s="18" t="n">
        <v>3.59136165</v>
      </c>
      <c r="R31" s="20" t="n">
        <v>1.01028047</v>
      </c>
    </row>
    <row r="32" spans="1:18">
      <c r="A32" s="15" t="s">
        <v>456</v>
      </c>
      <c r="B32" s="17" t="n">
        <v>2269</v>
      </c>
      <c r="C32" s="18">
        <f>(1917.0/B32*100)</f>
        <v/>
      </c>
      <c r="D32" s="19" t="n">
        <v>352</v>
      </c>
      <c r="E32" s="18" t="n">
        <v>46.05878503</v>
      </c>
      <c r="F32" s="20" t="n">
        <v>2.79160397</v>
      </c>
      <c r="G32" s="18" t="n">
        <v>47.4500658</v>
      </c>
      <c r="H32" s="20" t="n">
        <v>2.87075687</v>
      </c>
      <c r="I32" s="18" t="s">
        <v>431</v>
      </c>
      <c r="J32" s="20" t="s">
        <v>431</v>
      </c>
      <c r="K32" s="18" t="n">
        <v>1.91694135</v>
      </c>
      <c r="L32" s="20" t="n">
        <v>0.71057805</v>
      </c>
      <c r="M32" s="18" t="n">
        <v>0</v>
      </c>
      <c r="N32" s="20" t="n">
        <v>0</v>
      </c>
      <c r="O32" s="18" t="n">
        <v>0</v>
      </c>
      <c r="P32" s="20" t="n">
        <v>0</v>
      </c>
      <c r="Q32" s="18" t="n">
        <v>4.57420782</v>
      </c>
      <c r="R32" s="20" t="n">
        <v>1.16861896</v>
      </c>
    </row>
    <row r="33" spans="1:18">
      <c r="A33" s="15" t="s">
        <v>457</v>
      </c>
      <c r="B33" s="17" t="n">
        <v>3674</v>
      </c>
      <c r="C33" s="18">
        <f>(3225.0/B33*100)</f>
        <v/>
      </c>
      <c r="D33" s="19" t="n">
        <v>449</v>
      </c>
      <c r="E33" s="18" t="n">
        <v>46.88826718</v>
      </c>
      <c r="F33" s="20" t="n">
        <v>2.98656686</v>
      </c>
      <c r="G33" s="18" t="n">
        <v>49.58418991</v>
      </c>
      <c r="H33" s="20" t="n">
        <v>3.25824762</v>
      </c>
      <c r="I33" s="18" t="s">
        <v>431</v>
      </c>
      <c r="J33" s="20" t="s">
        <v>431</v>
      </c>
      <c r="K33" s="18" t="n">
        <v>1.47323282</v>
      </c>
      <c r="L33" s="20" t="n">
        <v>0.64142747</v>
      </c>
      <c r="M33" s="18" t="n">
        <v>0</v>
      </c>
      <c r="N33" s="20" t="n">
        <v>0</v>
      </c>
      <c r="O33" s="18" t="n">
        <v>0</v>
      </c>
      <c r="P33" s="20" t="n">
        <v>0</v>
      </c>
      <c r="Q33" s="18" t="n">
        <v>2.05431009</v>
      </c>
      <c r="R33" s="20" t="n">
        <v>0.72570371</v>
      </c>
    </row>
    <row r="34" spans="1:18">
      <c r="A34" s="15" t="s">
        <v>458</v>
      </c>
      <c r="B34" s="17" t="n">
        <v>3315</v>
      </c>
      <c r="C34" s="18">
        <f>(2931.0/B34*100)</f>
        <v/>
      </c>
      <c r="D34" s="19" t="n">
        <v>384</v>
      </c>
      <c r="E34" s="18" t="n">
        <v>53.74234432</v>
      </c>
      <c r="F34" s="20" t="n">
        <v>2.49195169</v>
      </c>
      <c r="G34" s="18" t="n">
        <v>36.61996474</v>
      </c>
      <c r="H34" s="20" t="n">
        <v>2.72463887</v>
      </c>
      <c r="I34" s="18" t="s">
        <v>431</v>
      </c>
      <c r="J34" s="20" t="s">
        <v>431</v>
      </c>
      <c r="K34" s="18" t="n">
        <v>4.88803055</v>
      </c>
      <c r="L34" s="20" t="n">
        <v>1.03110132</v>
      </c>
      <c r="M34" s="18" t="n">
        <v>0</v>
      </c>
      <c r="N34" s="20" t="n">
        <v>0</v>
      </c>
      <c r="O34" s="18" t="n">
        <v>0</v>
      </c>
      <c r="P34" s="20" t="n">
        <v>0</v>
      </c>
      <c r="Q34" s="18" t="n">
        <v>4.74966039</v>
      </c>
      <c r="R34" s="20" t="n">
        <v>1.04743303</v>
      </c>
    </row>
    <row r="35" spans="1:18">
      <c r="A35" s="15" t="s">
        <v>459</v>
      </c>
      <c r="B35" s="17" t="n">
        <v>3505</v>
      </c>
      <c r="C35" s="18">
        <f>(3071.0/B35*100)</f>
        <v/>
      </c>
      <c r="D35" s="19" t="n">
        <v>434</v>
      </c>
      <c r="E35" s="18" t="n">
        <v>35.7187596</v>
      </c>
      <c r="F35" s="20" t="n">
        <v>2.60097404</v>
      </c>
      <c r="G35" s="18" t="n">
        <v>58.52830206</v>
      </c>
      <c r="H35" s="20" t="n">
        <v>2.66519747</v>
      </c>
      <c r="I35" s="18" t="s">
        <v>431</v>
      </c>
      <c r="J35" s="20" t="s">
        <v>431</v>
      </c>
      <c r="K35" s="18" t="n">
        <v>3.17188926</v>
      </c>
      <c r="L35" s="20" t="n">
        <v>1.11492451</v>
      </c>
      <c r="M35" s="18" t="n">
        <v>0</v>
      </c>
      <c r="N35" s="20" t="n">
        <v>0</v>
      </c>
      <c r="O35" s="18" t="n">
        <v>0</v>
      </c>
      <c r="P35" s="20" t="n">
        <v>0</v>
      </c>
      <c r="Q35" s="18" t="n">
        <v>2.58104908</v>
      </c>
      <c r="R35" s="20" t="n">
        <v>0.70607297</v>
      </c>
    </row>
    <row r="36" spans="1:18">
      <c r="A36" s="15" t="s">
        <v>460</v>
      </c>
      <c r="B36" s="17" t="n">
        <v>3332</v>
      </c>
      <c r="C36" s="18">
        <f>(2934.0/B36*100)</f>
        <v/>
      </c>
      <c r="D36" s="19" t="n">
        <v>398</v>
      </c>
      <c r="E36" s="18" t="n">
        <v>39.61109758</v>
      </c>
      <c r="F36" s="20" t="n">
        <v>2.27467476</v>
      </c>
      <c r="G36" s="18" t="n">
        <v>55.57451661</v>
      </c>
      <c r="H36" s="20" t="n">
        <v>2.35536168</v>
      </c>
      <c r="I36" s="18" t="s">
        <v>431</v>
      </c>
      <c r="J36" s="20" t="s">
        <v>431</v>
      </c>
      <c r="K36" s="18" t="n">
        <v>2.01140573</v>
      </c>
      <c r="L36" s="20" t="n">
        <v>0.71823481</v>
      </c>
      <c r="M36" s="18" t="n">
        <v>0</v>
      </c>
      <c r="N36" s="20" t="n">
        <v>0</v>
      </c>
      <c r="O36" s="18" t="n">
        <v>0</v>
      </c>
      <c r="P36" s="20" t="n">
        <v>0</v>
      </c>
      <c r="Q36" s="18" t="n">
        <v>2.80298008</v>
      </c>
      <c r="R36" s="20" t="n">
        <v>0.81860586</v>
      </c>
    </row>
    <row r="37" spans="1:18">
      <c r="A37" s="15" t="s">
        <v>461</v>
      </c>
      <c r="B37" s="17" t="n">
        <v>2727</v>
      </c>
      <c r="C37" s="18">
        <f>(2392.0/B37*100)</f>
        <v/>
      </c>
      <c r="D37" s="19" t="n">
        <v>335</v>
      </c>
      <c r="E37" s="18" t="n">
        <v>30.89381018</v>
      </c>
      <c r="F37" s="20" t="n">
        <v>2.16198256</v>
      </c>
      <c r="G37" s="18" t="n">
        <v>59.38429243</v>
      </c>
      <c r="H37" s="20" t="n">
        <v>2.71762797</v>
      </c>
      <c r="I37" s="18" t="s">
        <v>431</v>
      </c>
      <c r="J37" s="20" t="s">
        <v>431</v>
      </c>
      <c r="K37" s="18" t="n">
        <v>5.57799872</v>
      </c>
      <c r="L37" s="20" t="n">
        <v>1.51264049</v>
      </c>
      <c r="M37" s="18" t="n">
        <v>0</v>
      </c>
      <c r="N37" s="20" t="n">
        <v>0</v>
      </c>
      <c r="O37" s="18" t="n">
        <v>0</v>
      </c>
      <c r="P37" s="20" t="n">
        <v>0</v>
      </c>
      <c r="Q37" s="18" t="n">
        <v>4.14389867</v>
      </c>
      <c r="R37" s="20" t="n">
        <v>1.11516686</v>
      </c>
    </row>
    <row r="38" spans="1:18">
      <c r="A38" s="15" t="s">
        <v>462</v>
      </c>
      <c r="B38" s="17" t="n">
        <v>3053</v>
      </c>
      <c r="C38" s="18">
        <f>(2604.0/B38*100)</f>
        <v/>
      </c>
      <c r="D38" s="19" t="n">
        <v>449</v>
      </c>
      <c r="E38" s="18" t="n">
        <v>38.92481896</v>
      </c>
      <c r="F38" s="20" t="n">
        <v>2.49390445</v>
      </c>
      <c r="G38" s="18" t="n">
        <v>55.74408129</v>
      </c>
      <c r="H38" s="20" t="n">
        <v>2.69056216</v>
      </c>
      <c r="I38" s="18" t="s">
        <v>431</v>
      </c>
      <c r="J38" s="20" t="s">
        <v>431</v>
      </c>
      <c r="K38" s="18" t="n">
        <v>3.38577339</v>
      </c>
      <c r="L38" s="20" t="n">
        <v>0.90700324</v>
      </c>
      <c r="M38" s="18" t="n">
        <v>0</v>
      </c>
      <c r="N38" s="20" t="n">
        <v>0</v>
      </c>
      <c r="O38" s="18" t="n">
        <v>0</v>
      </c>
      <c r="P38" s="20" t="n">
        <v>0</v>
      </c>
      <c r="Q38" s="18" t="n">
        <v>1.94532637</v>
      </c>
      <c r="R38" s="20" t="n">
        <v>0.65465024</v>
      </c>
    </row>
    <row r="39" spans="1:18">
      <c r="A39" s="15" t="s">
        <v>463</v>
      </c>
      <c r="B39" s="17" t="n">
        <v>2957</v>
      </c>
      <c r="C39" s="18">
        <f>(2591.0/B39*100)</f>
        <v/>
      </c>
      <c r="D39" s="19" t="n">
        <v>366</v>
      </c>
      <c r="E39" s="18" t="n">
        <v>58.51882672</v>
      </c>
      <c r="F39" s="20" t="n">
        <v>3.19342177</v>
      </c>
      <c r="G39" s="18" t="n">
        <v>33.02877334</v>
      </c>
      <c r="H39" s="20" t="n">
        <v>2.96504399</v>
      </c>
      <c r="I39" s="18" t="s">
        <v>431</v>
      </c>
      <c r="J39" s="20" t="s">
        <v>431</v>
      </c>
      <c r="K39" s="18" t="n">
        <v>2.74107598</v>
      </c>
      <c r="L39" s="20" t="n">
        <v>0.90560849</v>
      </c>
      <c r="M39" s="18" t="n">
        <v>0</v>
      </c>
      <c r="N39" s="20" t="n">
        <v>0</v>
      </c>
      <c r="O39" s="18" t="n">
        <v>0</v>
      </c>
      <c r="P39" s="20" t="n">
        <v>0</v>
      </c>
      <c r="Q39" s="18" t="n">
        <v>5.71132396</v>
      </c>
      <c r="R39" s="20" t="n">
        <v>1.4500044</v>
      </c>
    </row>
    <row r="40" spans="1:18">
      <c r="A40" s="15" t="s">
        <v>464</v>
      </c>
      <c r="B40" s="17" t="n">
        <v>7235</v>
      </c>
      <c r="C40" s="18">
        <f>(6339.0/B40*100)</f>
        <v/>
      </c>
      <c r="D40" s="19" t="n">
        <v>896</v>
      </c>
      <c r="E40" s="18" t="n">
        <v>39.46121975</v>
      </c>
      <c r="F40" s="20" t="n">
        <v>2.63248007</v>
      </c>
      <c r="G40" s="18" t="n">
        <v>53.65351519</v>
      </c>
      <c r="H40" s="20" t="n">
        <v>2.67666346</v>
      </c>
      <c r="I40" s="18" t="s">
        <v>431</v>
      </c>
      <c r="J40" s="20" t="s">
        <v>431</v>
      </c>
      <c r="K40" s="18" t="n">
        <v>3.20791071</v>
      </c>
      <c r="L40" s="20" t="n">
        <v>0.79697411</v>
      </c>
      <c r="M40" s="18" t="n">
        <v>0</v>
      </c>
      <c r="N40" s="20" t="n">
        <v>0</v>
      </c>
      <c r="O40" s="18" t="n">
        <v>0</v>
      </c>
      <c r="P40" s="20" t="n">
        <v>0</v>
      </c>
      <c r="Q40" s="18" t="n">
        <v>3.67735434</v>
      </c>
      <c r="R40" s="20" t="n">
        <v>0.88188909</v>
      </c>
    </row>
    <row r="41" spans="1:18">
      <c r="A41" s="15" t="s">
        <v>465</v>
      </c>
      <c r="B41" s="17" t="n">
        <v>2858</v>
      </c>
      <c r="C41" s="18">
        <f>(2538.0/B41*100)</f>
        <v/>
      </c>
      <c r="D41" s="19" t="n">
        <v>320</v>
      </c>
      <c r="E41" s="18" t="n">
        <v>41.33987226</v>
      </c>
      <c r="F41" s="20" t="n">
        <v>2.71078921</v>
      </c>
      <c r="G41" s="18" t="n">
        <v>54.59948363</v>
      </c>
      <c r="H41" s="20" t="n">
        <v>2.68836872</v>
      </c>
      <c r="I41" s="18" t="s">
        <v>431</v>
      </c>
      <c r="J41" s="20" t="s">
        <v>431</v>
      </c>
      <c r="K41" s="18" t="n">
        <v>1.3390365</v>
      </c>
      <c r="L41" s="20" t="n">
        <v>0.6391265</v>
      </c>
      <c r="M41" s="18" t="n">
        <v>0</v>
      </c>
      <c r="N41" s="20" t="n">
        <v>0</v>
      </c>
      <c r="O41" s="18" t="n">
        <v>0</v>
      </c>
      <c r="P41" s="20" t="n">
        <v>0</v>
      </c>
      <c r="Q41" s="18" t="n">
        <v>2.72160761</v>
      </c>
      <c r="R41" s="20" t="n">
        <v>0.87704376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(10088.0/B46*100)</f>
        <v/>
      </c>
      <c r="D46" s="19" t="n">
        <v>980</v>
      </c>
      <c r="E46" s="18" t="n">
        <v>68.21450849</v>
      </c>
      <c r="F46" s="20" t="n">
        <v>2.17567133</v>
      </c>
      <c r="G46" s="18" t="n">
        <v>20.30494092</v>
      </c>
      <c r="H46" s="20" t="n">
        <v>1.68926297</v>
      </c>
      <c r="I46" s="18" t="s">
        <v>431</v>
      </c>
      <c r="J46" s="20" t="s">
        <v>431</v>
      </c>
      <c r="K46" s="18" t="n">
        <v>6.88719473</v>
      </c>
      <c r="L46" s="20" t="n">
        <v>1.08627403</v>
      </c>
      <c r="M46" s="18" t="n">
        <v>0</v>
      </c>
      <c r="N46" s="20" t="n">
        <v>0</v>
      </c>
      <c r="O46" s="18" t="n">
        <v>0</v>
      </c>
      <c r="P46" s="20" t="n">
        <v>0</v>
      </c>
      <c r="Q46" s="18" t="n">
        <v>4.59335587</v>
      </c>
      <c r="R46" s="20" t="n">
        <v>0.78976116</v>
      </c>
    </row>
    <row r="47" spans="1:18">
      <c r="A47" s="15" t="s">
        <v>471</v>
      </c>
      <c r="B47" s="17" t="n">
        <v>3105</v>
      </c>
      <c r="C47" s="18">
        <f>(2725.0/B47*100)</f>
        <v/>
      </c>
      <c r="D47" s="19" t="n">
        <v>380</v>
      </c>
      <c r="E47" s="18" t="n">
        <v>55.18791442</v>
      </c>
      <c r="F47" s="20" t="n">
        <v>3.16963316</v>
      </c>
      <c r="G47" s="18" t="n">
        <v>33.68759559</v>
      </c>
      <c r="H47" s="20" t="n">
        <v>3.05167844</v>
      </c>
      <c r="I47" s="18" t="s">
        <v>431</v>
      </c>
      <c r="J47" s="20" t="s">
        <v>431</v>
      </c>
      <c r="K47" s="18" t="n">
        <v>4.97627335</v>
      </c>
      <c r="L47" s="20" t="n">
        <v>1.269583</v>
      </c>
      <c r="M47" s="18" t="n">
        <v>0</v>
      </c>
      <c r="N47" s="20" t="n">
        <v>0</v>
      </c>
      <c r="O47" s="18" t="n">
        <v>0</v>
      </c>
      <c r="P47" s="20" t="n">
        <v>0</v>
      </c>
      <c r="Q47" s="18" t="n">
        <v>6.14821663</v>
      </c>
      <c r="R47" s="20" t="n">
        <v>1.27352784</v>
      </c>
    </row>
    <row r="48" spans="1:18">
      <c r="A48" s="15" t="s">
        <v>472</v>
      </c>
      <c r="B48" s="17" t="n">
        <v>5159</v>
      </c>
      <c r="C48" s="18">
        <f>(4539.0/B48*100)</f>
        <v/>
      </c>
      <c r="D48" s="19" t="n">
        <v>620</v>
      </c>
      <c r="E48" s="18" t="n">
        <v>35.31815038</v>
      </c>
      <c r="F48" s="20" t="n">
        <v>2.44339074</v>
      </c>
      <c r="G48" s="18" t="n">
        <v>61.39958721</v>
      </c>
      <c r="H48" s="20" t="n">
        <v>2.45267278</v>
      </c>
      <c r="I48" s="18" t="s">
        <v>431</v>
      </c>
      <c r="J48" s="20" t="s">
        <v>431</v>
      </c>
      <c r="K48" s="18" t="n">
        <v>1.74201227</v>
      </c>
      <c r="L48" s="20" t="n">
        <v>0.64784982</v>
      </c>
      <c r="M48" s="18" t="n">
        <v>0</v>
      </c>
      <c r="N48" s="20" t="n">
        <v>0</v>
      </c>
      <c r="O48" s="18" t="n">
        <v>0</v>
      </c>
      <c r="P48" s="20" t="n">
        <v>0</v>
      </c>
      <c r="Q48" s="18" t="n">
        <v>1.54025014</v>
      </c>
      <c r="R48" s="20" t="n">
        <v>0.45195886</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(4980.0/B50*100)</f>
        <v/>
      </c>
      <c r="D50" s="19" t="n">
        <v>657</v>
      </c>
      <c r="E50" s="18" t="n">
        <v>54.83666592</v>
      </c>
      <c r="F50" s="20" t="n">
        <v>2.7684159</v>
      </c>
      <c r="G50" s="18" t="n">
        <v>34.91504938</v>
      </c>
      <c r="H50" s="20" t="n">
        <v>2.82380694</v>
      </c>
      <c r="I50" s="18" t="s">
        <v>431</v>
      </c>
      <c r="J50" s="20" t="s">
        <v>431</v>
      </c>
      <c r="K50" s="18" t="n">
        <v>6.47268402</v>
      </c>
      <c r="L50" s="20" t="n">
        <v>1.16152753</v>
      </c>
      <c r="M50" s="18" t="n">
        <v>0</v>
      </c>
      <c r="N50" s="20" t="n">
        <v>0</v>
      </c>
      <c r="O50" s="18" t="n">
        <v>0</v>
      </c>
      <c r="P50" s="20" t="n">
        <v>0</v>
      </c>
      <c r="Q50" s="18" t="n">
        <v>3.77560068</v>
      </c>
      <c r="R50" s="20" t="n">
        <v>1.10339196</v>
      </c>
    </row>
    <row r="51" spans="1:18">
      <c r="A51" s="15" t="s">
        <v>475</v>
      </c>
      <c r="B51" s="17" t="n">
        <v>3372</v>
      </c>
      <c r="C51" s="18">
        <f>(3020.0/B51*100)</f>
        <v/>
      </c>
      <c r="D51" s="19" t="n">
        <v>352</v>
      </c>
      <c r="E51" s="18" t="n">
        <v>50.40317753</v>
      </c>
      <c r="F51" s="20" t="n">
        <v>2.68461563</v>
      </c>
      <c r="G51" s="18" t="n">
        <v>43.82251178</v>
      </c>
      <c r="H51" s="20" t="n">
        <v>2.69630493</v>
      </c>
      <c r="I51" s="18" t="s">
        <v>431</v>
      </c>
      <c r="J51" s="20" t="s">
        <v>431</v>
      </c>
      <c r="K51" s="18" t="n">
        <v>3.21236632</v>
      </c>
      <c r="L51" s="20" t="n">
        <v>1.09706722</v>
      </c>
      <c r="M51" s="18" t="n">
        <v>0</v>
      </c>
      <c r="N51" s="20" t="n">
        <v>0</v>
      </c>
      <c r="O51" s="18" t="n">
        <v>0</v>
      </c>
      <c r="P51" s="20" t="n">
        <v>0</v>
      </c>
      <c r="Q51" s="18" t="n">
        <v>2.56194437</v>
      </c>
      <c r="R51" s="20" t="n">
        <v>0.83877682</v>
      </c>
    </row>
    <row r="52" spans="1:18">
      <c r="A52" s="15" t="s">
        <v>476</v>
      </c>
      <c r="B52" s="17" t="n">
        <v>2796</v>
      </c>
      <c r="C52" s="18">
        <f>(2446.0/B52*100)</f>
        <v/>
      </c>
      <c r="D52" s="19" t="n">
        <v>350</v>
      </c>
      <c r="E52" s="18" t="n">
        <v>36.20542444</v>
      </c>
      <c r="F52" s="20" t="n">
        <v>2.56356942</v>
      </c>
      <c r="G52" s="18" t="n">
        <v>58.6872815</v>
      </c>
      <c r="H52" s="20" t="n">
        <v>2.60027272</v>
      </c>
      <c r="I52" s="18" t="s">
        <v>431</v>
      </c>
      <c r="J52" s="20" t="s">
        <v>431</v>
      </c>
      <c r="K52" s="18" t="n">
        <v>1.89602114</v>
      </c>
      <c r="L52" s="20" t="n">
        <v>0.77820987</v>
      </c>
      <c r="M52" s="18" t="n">
        <v>0</v>
      </c>
      <c r="N52" s="20" t="n">
        <v>0</v>
      </c>
      <c r="O52" s="18" t="n">
        <v>0</v>
      </c>
      <c r="P52" s="20" t="n">
        <v>0</v>
      </c>
      <c r="Q52" s="18" t="n">
        <v>3.21127292</v>
      </c>
      <c r="R52" s="20" t="n">
        <v>0.82867415</v>
      </c>
    </row>
    <row r="53" spans="1:18">
      <c r="A53" s="15" t="s">
        <v>477</v>
      </c>
      <c r="B53" s="17" t="n">
        <v>2811</v>
      </c>
      <c r="C53" s="18">
        <f>(2487.0/B53*100)</f>
        <v/>
      </c>
      <c r="D53" s="19" t="n">
        <v>324</v>
      </c>
      <c r="E53" s="18" t="n">
        <v>59.9389138</v>
      </c>
      <c r="F53" s="20" t="n">
        <v>2.79582167</v>
      </c>
      <c r="G53" s="18" t="n">
        <v>27.0843523</v>
      </c>
      <c r="H53" s="20" t="n">
        <v>2.6004252</v>
      </c>
      <c r="I53" s="18" t="s">
        <v>431</v>
      </c>
      <c r="J53" s="20" t="s">
        <v>431</v>
      </c>
      <c r="K53" s="18" t="n">
        <v>6.34279704</v>
      </c>
      <c r="L53" s="20" t="n">
        <v>1.40678368</v>
      </c>
      <c r="M53" s="18" t="n">
        <v>0</v>
      </c>
      <c r="N53" s="20" t="n">
        <v>0</v>
      </c>
      <c r="O53" s="18" t="n">
        <v>0</v>
      </c>
      <c r="P53" s="20" t="n">
        <v>0</v>
      </c>
      <c r="Q53" s="18" t="n">
        <v>6.63393687</v>
      </c>
      <c r="R53" s="20" t="n">
        <v>1.41179714</v>
      </c>
    </row>
    <row r="54" spans="1:18">
      <c r="A54" s="15" t="s">
        <v>478</v>
      </c>
      <c r="B54" s="17" t="n">
        <v>2266</v>
      </c>
      <c r="C54" s="18">
        <f>(1886.0/B54*100)</f>
        <v/>
      </c>
      <c r="D54" s="19" t="n">
        <v>380</v>
      </c>
      <c r="E54" s="18" t="n">
        <v>51.74196591</v>
      </c>
      <c r="F54" s="20" t="n">
        <v>2.22053327</v>
      </c>
      <c r="G54" s="18" t="n">
        <v>18.41617109</v>
      </c>
      <c r="H54" s="20" t="n">
        <v>2.03815709</v>
      </c>
      <c r="I54" s="18" t="s">
        <v>431</v>
      </c>
      <c r="J54" s="20" t="s">
        <v>431</v>
      </c>
      <c r="K54" s="18" t="n">
        <v>22.90256972</v>
      </c>
      <c r="L54" s="20" t="n">
        <v>2.42170018</v>
      </c>
      <c r="M54" s="18" t="n">
        <v>0</v>
      </c>
      <c r="N54" s="20" t="n">
        <v>0</v>
      </c>
      <c r="O54" s="18" t="n">
        <v>0</v>
      </c>
      <c r="P54" s="20" t="n">
        <v>0</v>
      </c>
      <c r="Q54" s="18" t="n">
        <v>6.93929329</v>
      </c>
      <c r="R54" s="20" t="n">
        <v>1.38351202</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(2358.0/B56*100)</f>
        <v/>
      </c>
      <c r="D56" s="19" t="n">
        <v>326</v>
      </c>
      <c r="E56" s="18" t="n">
        <v>21.13943484</v>
      </c>
      <c r="F56" s="20" t="n">
        <v>2.49851075</v>
      </c>
      <c r="G56" s="18" t="n">
        <v>77.07247602</v>
      </c>
      <c r="H56" s="20" t="n">
        <v>2.5600873</v>
      </c>
      <c r="I56" s="18" t="s">
        <v>431</v>
      </c>
      <c r="J56" s="20" t="s">
        <v>431</v>
      </c>
      <c r="K56" s="18" t="n">
        <v>1.58449902</v>
      </c>
      <c r="L56" s="20" t="n">
        <v>0.74148576</v>
      </c>
      <c r="M56" s="18" t="n">
        <v>0</v>
      </c>
      <c r="N56" s="20" t="n">
        <v>0</v>
      </c>
      <c r="O56" s="18" t="n">
        <v>0</v>
      </c>
      <c r="P56" s="20" t="n">
        <v>0</v>
      </c>
      <c r="Q56" s="18" t="n">
        <v>0.20359012</v>
      </c>
      <c r="R56" s="20" t="n">
        <v>0.20402194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(2908.0/B61*100)</f>
        <v/>
      </c>
      <c r="D61" s="19" t="n">
        <v>416</v>
      </c>
      <c r="E61" s="18" t="n">
        <v>43.33462888</v>
      </c>
      <c r="F61" s="20" t="n">
        <v>2.6610359</v>
      </c>
      <c r="G61" s="18" t="n">
        <v>47.8760716</v>
      </c>
      <c r="H61" s="20" t="n">
        <v>2.92783499</v>
      </c>
      <c r="I61" s="18" t="s">
        <v>431</v>
      </c>
      <c r="J61" s="20" t="s">
        <v>431</v>
      </c>
      <c r="K61" s="18" t="n">
        <v>3.46350428</v>
      </c>
      <c r="L61" s="20" t="n">
        <v>1.07836393</v>
      </c>
      <c r="M61" s="18" t="n">
        <v>0</v>
      </c>
      <c r="N61" s="20" t="n">
        <v>0</v>
      </c>
      <c r="O61" s="18" t="n">
        <v>0</v>
      </c>
      <c r="P61" s="20" t="n">
        <v>0</v>
      </c>
      <c r="Q61" s="18" t="n">
        <v>5.32579523</v>
      </c>
      <c r="R61" s="20" t="n">
        <v>1.09516455</v>
      </c>
    </row>
    <row r="62" spans="1:18">
      <c r="A62" s="15" t="s">
        <v>486</v>
      </c>
      <c r="B62" s="17" t="n">
        <v>2246</v>
      </c>
      <c r="C62" s="18">
        <f>(2001.0/B62*100)</f>
        <v/>
      </c>
      <c r="D62" s="19" t="n">
        <v>245</v>
      </c>
      <c r="E62" s="18" t="n">
        <v>26.94097034</v>
      </c>
      <c r="F62" s="20" t="n">
        <v>2.72818248</v>
      </c>
      <c r="G62" s="18" t="n">
        <v>73.05902965999999</v>
      </c>
      <c r="H62" s="20" t="n">
        <v>2.72818248</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(2567.0/B66*100)</f>
        <v/>
      </c>
      <c r="D66" s="19" t="n">
        <v>327</v>
      </c>
      <c r="E66" s="18" t="n">
        <v>57.32656869</v>
      </c>
      <c r="F66" s="20" t="n">
        <v>2.70786937</v>
      </c>
      <c r="G66" s="18" t="n">
        <v>26.46744643</v>
      </c>
      <c r="H66" s="20" t="n">
        <v>2.58090363</v>
      </c>
      <c r="I66" s="18" t="s">
        <v>431</v>
      </c>
      <c r="J66" s="20" t="s">
        <v>431</v>
      </c>
      <c r="K66" s="18" t="n">
        <v>7.54021917</v>
      </c>
      <c r="L66" s="20" t="n">
        <v>1.52334664</v>
      </c>
      <c r="M66" s="18" t="n">
        <v>0</v>
      </c>
      <c r="N66" s="20" t="n">
        <v>0</v>
      </c>
      <c r="O66" s="18" t="n">
        <v>0</v>
      </c>
      <c r="P66" s="20" t="n">
        <v>0</v>
      </c>
      <c r="Q66" s="18" t="n">
        <v>8.6657657</v>
      </c>
      <c r="R66" s="20" t="n">
        <v>1.54592616</v>
      </c>
    </row>
    <row r="67" spans="1:18">
      <c r="A67" s="15" t="s">
        <v>491</v>
      </c>
      <c r="B67" s="17" t="n">
        <v>3511</v>
      </c>
      <c r="C67" s="18">
        <f>(3150.0/B67*100)</f>
        <v/>
      </c>
      <c r="D67" s="19" t="n">
        <v>361</v>
      </c>
      <c r="E67" s="18" t="n">
        <v>56.17214275</v>
      </c>
      <c r="F67" s="20" t="n">
        <v>2.73221792</v>
      </c>
      <c r="G67" s="18" t="n">
        <v>37.22890082</v>
      </c>
      <c r="H67" s="20" t="n">
        <v>2.74013338</v>
      </c>
      <c r="I67" s="18" t="s">
        <v>431</v>
      </c>
      <c r="J67" s="20" t="s">
        <v>431</v>
      </c>
      <c r="K67" s="18" t="n">
        <v>2.61640803</v>
      </c>
      <c r="L67" s="20" t="n">
        <v>0.7628785300000001</v>
      </c>
      <c r="M67" s="18" t="n">
        <v>0</v>
      </c>
      <c r="N67" s="20" t="n">
        <v>0</v>
      </c>
      <c r="O67" s="18" t="n">
        <v>0</v>
      </c>
      <c r="P67" s="20" t="n">
        <v>0</v>
      </c>
      <c r="Q67" s="18" t="n">
        <v>3.98254839</v>
      </c>
      <c r="R67" s="20" t="n">
        <v>0.90256772</v>
      </c>
    </row>
    <row r="68" spans="1:18">
      <c r="A68" s="15" t="s">
        <v>492</v>
      </c>
      <c r="B68" s="17" t="n">
        <v>6049</v>
      </c>
      <c r="C68" s="18">
        <f>(5054.0/B68*100)</f>
        <v/>
      </c>
      <c r="D68" s="19" t="n">
        <v>995</v>
      </c>
      <c r="E68" s="18" t="n">
        <v>52.00765845</v>
      </c>
      <c r="F68" s="20" t="n">
        <v>1.63209909</v>
      </c>
      <c r="G68" s="18" t="n">
        <v>30.90217672</v>
      </c>
      <c r="H68" s="20" t="n">
        <v>1.52906565</v>
      </c>
      <c r="I68" s="18" t="s">
        <v>431</v>
      </c>
      <c r="J68" s="20" t="s">
        <v>431</v>
      </c>
      <c r="K68" s="18" t="n">
        <v>13.76099814</v>
      </c>
      <c r="L68" s="20" t="n">
        <v>1.18125378</v>
      </c>
      <c r="M68" s="18" t="n">
        <v>0</v>
      </c>
      <c r="N68" s="20" t="n">
        <v>0</v>
      </c>
      <c r="O68" s="18" t="n">
        <v>0</v>
      </c>
      <c r="P68" s="20" t="n">
        <v>0</v>
      </c>
      <c r="Q68" s="18" t="n">
        <v>3.3291667</v>
      </c>
      <c r="R68" s="20" t="n">
        <v>0.59105667</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(2617.0/B70*100)</f>
        <v/>
      </c>
      <c r="D70" s="19" t="n">
        <v>312</v>
      </c>
      <c r="E70" s="18" t="n">
        <v>34.58197485</v>
      </c>
      <c r="F70" s="20" t="n">
        <v>3.27677189</v>
      </c>
      <c r="G70" s="18" t="n">
        <v>59.65289676</v>
      </c>
      <c r="H70" s="20" t="n">
        <v>3.6007666</v>
      </c>
      <c r="I70" s="18" t="s">
        <v>431</v>
      </c>
      <c r="J70" s="20" t="s">
        <v>431</v>
      </c>
      <c r="K70" s="18" t="n">
        <v>2.47574664</v>
      </c>
      <c r="L70" s="20" t="n">
        <v>0.82464067</v>
      </c>
      <c r="M70" s="18" t="n">
        <v>0</v>
      </c>
      <c r="N70" s="20" t="n">
        <v>0</v>
      </c>
      <c r="O70" s="18" t="n">
        <v>0</v>
      </c>
      <c r="P70" s="20" t="n">
        <v>0</v>
      </c>
      <c r="Q70" s="18" t="n">
        <v>3.28938175</v>
      </c>
      <c r="R70" s="20" t="n">
        <v>1.24158525</v>
      </c>
    </row>
    <row r="71" spans="1:18">
      <c r="A71" s="15" t="s">
        <v>495</v>
      </c>
      <c r="B71" s="17" t="n">
        <v>3142</v>
      </c>
      <c r="C71" s="18">
        <f>(2761.0/B71*100)</f>
        <v/>
      </c>
      <c r="D71" s="19" t="n">
        <v>381</v>
      </c>
      <c r="E71" s="18" t="n">
        <v>21.34256843</v>
      </c>
      <c r="F71" s="20" t="n">
        <v>2.34585946</v>
      </c>
      <c r="G71" s="18" t="n">
        <v>76.7374513</v>
      </c>
      <c r="H71" s="20" t="n">
        <v>2.49409575</v>
      </c>
      <c r="I71" s="18" t="s">
        <v>431</v>
      </c>
      <c r="J71" s="20" t="s">
        <v>431</v>
      </c>
      <c r="K71" s="18" t="n">
        <v>1.45599607</v>
      </c>
      <c r="L71" s="20" t="n">
        <v>0.61212581</v>
      </c>
      <c r="M71" s="18" t="n">
        <v>0</v>
      </c>
      <c r="N71" s="20" t="n">
        <v>0</v>
      </c>
      <c r="O71" s="18" t="n">
        <v>0</v>
      </c>
      <c r="P71" s="20" t="n">
        <v>0</v>
      </c>
      <c r="Q71" s="18" t="n">
        <v>0.4639842</v>
      </c>
      <c r="R71" s="20" t="n">
        <v>0.34442378</v>
      </c>
    </row>
    <row r="72" spans="1:18">
      <c r="A72" s="15" t="s">
        <v>496</v>
      </c>
      <c r="B72" s="17" t="n">
        <v>3889</v>
      </c>
      <c r="C72" s="18">
        <f>(3396.0/B72*100)</f>
        <v/>
      </c>
      <c r="D72" s="19" t="n">
        <v>493</v>
      </c>
      <c r="E72" s="18" t="n">
        <v>26.46093798</v>
      </c>
      <c r="F72" s="20" t="n">
        <v>2.11313603</v>
      </c>
      <c r="G72" s="18" t="n">
        <v>72.06852541000001</v>
      </c>
      <c r="H72" s="20" t="n">
        <v>2.0642249</v>
      </c>
      <c r="I72" s="18" t="s">
        <v>431</v>
      </c>
      <c r="J72" s="20" t="s">
        <v>431</v>
      </c>
      <c r="K72" s="18" t="n">
        <v>1.08136945</v>
      </c>
      <c r="L72" s="20" t="n">
        <v>0.34104184</v>
      </c>
      <c r="M72" s="18" t="n">
        <v>0</v>
      </c>
      <c r="N72" s="20" t="n">
        <v>0</v>
      </c>
      <c r="O72" s="18" t="n">
        <v>0</v>
      </c>
      <c r="P72" s="20" t="n">
        <v>0</v>
      </c>
      <c r="Q72" s="18" t="n">
        <v>0.38916716</v>
      </c>
      <c r="R72" s="20" t="n">
        <v>0.28878243</v>
      </c>
    </row>
    <row r="73" spans="1:18">
      <c r="A73" s="15" t="s">
        <v>497</v>
      </c>
      <c r="B73" s="17" t="n">
        <v>3597</v>
      </c>
      <c r="C73" s="18">
        <f>(3193.0/B73*100)</f>
        <v/>
      </c>
      <c r="D73" s="19" t="n">
        <v>404</v>
      </c>
      <c r="E73" s="18" t="n">
        <v>71.14519736</v>
      </c>
      <c r="F73" s="20" t="n">
        <v>2.92303111</v>
      </c>
      <c r="G73" s="18" t="n">
        <v>25.59755497</v>
      </c>
      <c r="H73" s="20" t="n">
        <v>2.83111709</v>
      </c>
      <c r="I73" s="18" t="s">
        <v>431</v>
      </c>
      <c r="J73" s="20" t="s">
        <v>431</v>
      </c>
      <c r="K73" s="18" t="n">
        <v>0.18146367</v>
      </c>
      <c r="L73" s="20" t="n">
        <v>0.15887551</v>
      </c>
      <c r="M73" s="18" t="n">
        <v>0</v>
      </c>
      <c r="N73" s="20" t="n">
        <v>0</v>
      </c>
      <c r="O73" s="18" t="n">
        <v>0</v>
      </c>
      <c r="P73" s="20" t="n">
        <v>0</v>
      </c>
      <c r="Q73" s="18" t="n">
        <v>3.075784</v>
      </c>
      <c r="R73" s="20" t="n">
        <v>1.00709186</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(2156.0/B75*100)</f>
        <v/>
      </c>
      <c r="D75" s="19" t="n">
        <v>250</v>
      </c>
      <c r="E75" s="18" t="n">
        <v>77.52769433</v>
      </c>
      <c r="F75" s="20" t="n">
        <v>2.62059978</v>
      </c>
      <c r="G75" s="18" t="n">
        <v>10.43823162</v>
      </c>
      <c r="H75" s="20" t="n">
        <v>2.22481997</v>
      </c>
      <c r="I75" s="18" t="s">
        <v>431</v>
      </c>
      <c r="J75" s="20" t="s">
        <v>431</v>
      </c>
      <c r="K75" s="18" t="n">
        <v>7.69073897</v>
      </c>
      <c r="L75" s="20" t="n">
        <v>1.56350703</v>
      </c>
      <c r="M75" s="18" t="n">
        <v>0</v>
      </c>
      <c r="N75" s="20" t="n">
        <v>0</v>
      </c>
      <c r="O75" s="18" t="n">
        <v>0</v>
      </c>
      <c r="P75" s="20" t="n">
        <v>0</v>
      </c>
      <c r="Q75" s="18" t="n">
        <v>4.34333507</v>
      </c>
      <c r="R75" s="20" t="n">
        <v>1.43403094</v>
      </c>
    </row>
    <row r="76" spans="1:18">
      <c r="A76" s="15" t="s">
        <v>500</v>
      </c>
      <c r="B76" s="17" t="n">
        <v>7052</v>
      </c>
      <c r="C76" s="18">
        <f>(6224.0/B76*100)</f>
        <v/>
      </c>
      <c r="D76" s="19" t="n">
        <v>828</v>
      </c>
      <c r="E76" s="18" t="n">
        <v>52.90283038</v>
      </c>
      <c r="F76" s="20" t="n">
        <v>2.21983521</v>
      </c>
      <c r="G76" s="18" t="n">
        <v>40.62870981</v>
      </c>
      <c r="H76" s="20" t="n">
        <v>2.32609478</v>
      </c>
      <c r="I76" s="18" t="s">
        <v>431</v>
      </c>
      <c r="J76" s="20" t="s">
        <v>431</v>
      </c>
      <c r="K76" s="18" t="n">
        <v>3.15987128</v>
      </c>
      <c r="L76" s="20" t="n">
        <v>0.66401789</v>
      </c>
      <c r="M76" s="18" t="n">
        <v>0</v>
      </c>
      <c r="N76" s="20" t="n">
        <v>0</v>
      </c>
      <c r="O76" s="18" t="n">
        <v>0</v>
      </c>
      <c r="P76" s="20" t="n">
        <v>0</v>
      </c>
      <c r="Q76" s="18" t="n">
        <v>3.30858853</v>
      </c>
      <c r="R76" s="20" t="n">
        <v>0.99360538</v>
      </c>
    </row>
    <row r="77" spans="1:18">
      <c r="A77" s="15" t="s">
        <v>501</v>
      </c>
      <c r="B77" s="17" t="n">
        <v>2908</v>
      </c>
      <c r="C77" s="18">
        <f>(2565.0/B77*100)</f>
        <v/>
      </c>
      <c r="D77" s="19" t="n">
        <v>343</v>
      </c>
      <c r="E77" s="18" t="n">
        <v>40.8184831</v>
      </c>
      <c r="F77" s="20" t="n">
        <v>2.78617908</v>
      </c>
      <c r="G77" s="18" t="n">
        <v>44.33834098</v>
      </c>
      <c r="H77" s="20" t="n">
        <v>2.71927777</v>
      </c>
      <c r="I77" s="18" t="s">
        <v>431</v>
      </c>
      <c r="J77" s="20" t="s">
        <v>431</v>
      </c>
      <c r="K77" s="18" t="n">
        <v>10.04845672</v>
      </c>
      <c r="L77" s="20" t="n">
        <v>1.75935683</v>
      </c>
      <c r="M77" s="18" t="n">
        <v>0</v>
      </c>
      <c r="N77" s="20" t="n">
        <v>0</v>
      </c>
      <c r="O77" s="18" t="n">
        <v>0</v>
      </c>
      <c r="P77" s="20" t="n">
        <v>0</v>
      </c>
      <c r="Q77" s="18" t="n">
        <v>4.7947192</v>
      </c>
      <c r="R77" s="20" t="n">
        <v>1.16986059</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(3669.0/B81*100)</f>
        <v/>
      </c>
      <c r="D81" s="19" t="n">
        <v>494</v>
      </c>
      <c r="E81" s="18" t="n">
        <v>54.46712406</v>
      </c>
      <c r="F81" s="20" t="n">
        <v>3.57579727</v>
      </c>
      <c r="G81" s="18" t="n">
        <v>43.89372067</v>
      </c>
      <c r="H81" s="20" t="n">
        <v>3.47289437</v>
      </c>
      <c r="I81" s="18" t="s">
        <v>431</v>
      </c>
      <c r="J81" s="20" t="s">
        <v>431</v>
      </c>
      <c r="K81" s="18" t="n">
        <v>1.41456755</v>
      </c>
      <c r="L81" s="20" t="n">
        <v>0.96024991</v>
      </c>
      <c r="M81" s="18" t="n">
        <v>0</v>
      </c>
      <c r="N81" s="20" t="n">
        <v>0</v>
      </c>
      <c r="O81" s="18" t="n">
        <v>0</v>
      </c>
      <c r="P81" s="20" t="n">
        <v>0</v>
      </c>
      <c r="Q81" s="18" t="n">
        <v>0.22458772</v>
      </c>
      <c r="R81" s="20" t="n">
        <v>0.158981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(6528.0/B7*100)</f>
        <v/>
      </c>
      <c r="D7" s="19" t="n">
        <v>839</v>
      </c>
      <c r="E7" s="18" t="n">
        <v>50.60619599</v>
      </c>
      <c r="F7" s="20" t="n">
        <v>2.12044887</v>
      </c>
      <c r="G7" s="18" t="n">
        <v>42.28549189</v>
      </c>
      <c r="H7" s="20" t="n">
        <v>2.20147122</v>
      </c>
      <c r="I7" s="18" t="s">
        <v>431</v>
      </c>
      <c r="J7" s="20" t="s">
        <v>431</v>
      </c>
      <c r="K7" s="18" t="n">
        <v>5.12920602</v>
      </c>
      <c r="L7" s="20" t="n">
        <v>0.8022194499999999</v>
      </c>
      <c r="M7" s="18" t="n">
        <v>0</v>
      </c>
      <c r="N7" s="20" t="n">
        <v>0</v>
      </c>
      <c r="O7" s="18" t="n">
        <v>0</v>
      </c>
      <c r="P7" s="20" t="n">
        <v>0</v>
      </c>
      <c r="Q7" s="18" t="n">
        <v>1.9791061</v>
      </c>
      <c r="R7" s="20" t="n">
        <v>0.57545927</v>
      </c>
    </row>
    <row r="8" spans="1:18">
      <c r="A8" s="15" t="s">
        <v>432</v>
      </c>
      <c r="B8" s="17" t="n">
        <v>3564</v>
      </c>
      <c r="C8" s="18">
        <f>(3159.0/B8*100)</f>
        <v/>
      </c>
      <c r="D8" s="19" t="n">
        <v>405</v>
      </c>
      <c r="E8" s="18" t="n">
        <v>57.78972952</v>
      </c>
      <c r="F8" s="20" t="n">
        <v>2.52560131</v>
      </c>
      <c r="G8" s="18" t="n">
        <v>34.75026634</v>
      </c>
      <c r="H8" s="20" t="n">
        <v>2.48487412</v>
      </c>
      <c r="I8" s="18" t="s">
        <v>431</v>
      </c>
      <c r="J8" s="20" t="s">
        <v>431</v>
      </c>
      <c r="K8" s="18" t="n">
        <v>5.87198228</v>
      </c>
      <c r="L8" s="20" t="n">
        <v>1.38119371</v>
      </c>
      <c r="M8" s="18" t="n">
        <v>0</v>
      </c>
      <c r="N8" s="20" t="n">
        <v>0</v>
      </c>
      <c r="O8" s="18" t="n">
        <v>0</v>
      </c>
      <c r="P8" s="20" t="n">
        <v>0</v>
      </c>
      <c r="Q8" s="18" t="n">
        <v>1.58802187</v>
      </c>
      <c r="R8" s="20" t="n">
        <v>0.69892347</v>
      </c>
    </row>
    <row r="9" spans="1:18">
      <c r="A9" s="15" t="s">
        <v>433</v>
      </c>
      <c r="B9" s="17" t="n">
        <v>4899</v>
      </c>
      <c r="C9" s="18">
        <f>(4340.0/B9*100)</f>
        <v/>
      </c>
      <c r="D9" s="19" t="n">
        <v>559</v>
      </c>
      <c r="E9" s="18" t="n">
        <v>46.1190394</v>
      </c>
      <c r="F9" s="20" t="n">
        <v>1.89405556</v>
      </c>
      <c r="G9" s="18" t="n">
        <v>48.84268823</v>
      </c>
      <c r="H9" s="20" t="n">
        <v>2.07492916</v>
      </c>
      <c r="I9" s="18" t="s">
        <v>431</v>
      </c>
      <c r="J9" s="20" t="s">
        <v>431</v>
      </c>
      <c r="K9" s="18" t="n">
        <v>4.27109261</v>
      </c>
      <c r="L9" s="20" t="n">
        <v>1.01103402</v>
      </c>
      <c r="M9" s="18" t="n">
        <v>0</v>
      </c>
      <c r="N9" s="20" t="n">
        <v>0</v>
      </c>
      <c r="O9" s="18" t="n">
        <v>0</v>
      </c>
      <c r="P9" s="20" t="n">
        <v>0</v>
      </c>
      <c r="Q9" s="18" t="n">
        <v>0.76717977</v>
      </c>
      <c r="R9" s="20" t="n">
        <v>0.34154987</v>
      </c>
    </row>
    <row r="10" spans="1:18">
      <c r="A10" s="15" t="s">
        <v>434</v>
      </c>
      <c r="B10" s="17" t="n">
        <v>10036</v>
      </c>
      <c r="C10" s="18">
        <f>(8834.0/B10*100)</f>
        <v/>
      </c>
      <c r="D10" s="19" t="n">
        <v>1202</v>
      </c>
      <c r="E10" s="18" t="n">
        <v>54.5334092</v>
      </c>
      <c r="F10" s="20" t="n">
        <v>1.74105752</v>
      </c>
      <c r="G10" s="18" t="n">
        <v>41.07219889</v>
      </c>
      <c r="H10" s="20" t="n">
        <v>1.86725704</v>
      </c>
      <c r="I10" s="18" t="s">
        <v>431</v>
      </c>
      <c r="J10" s="20" t="s">
        <v>431</v>
      </c>
      <c r="K10" s="18" t="n">
        <v>3.61992785</v>
      </c>
      <c r="L10" s="20" t="n">
        <v>0.73109654</v>
      </c>
      <c r="M10" s="18" t="n">
        <v>0</v>
      </c>
      <c r="N10" s="20" t="n">
        <v>0</v>
      </c>
      <c r="O10" s="18" t="n">
        <v>0</v>
      </c>
      <c r="P10" s="20" t="n">
        <v>0</v>
      </c>
      <c r="Q10" s="18" t="n">
        <v>0.77446406</v>
      </c>
      <c r="R10" s="20" t="n">
        <v>0.30859454</v>
      </c>
    </row>
    <row r="11" spans="1:18">
      <c r="A11" s="15" t="s">
        <v>435</v>
      </c>
      <c r="B11" s="17" t="n">
        <v>3553</v>
      </c>
      <c r="C11" s="18">
        <f>(3117.0/B11*100)</f>
        <v/>
      </c>
      <c r="D11" s="19" t="n">
        <v>436</v>
      </c>
      <c r="E11" s="18" t="n">
        <v>57.57985536</v>
      </c>
      <c r="F11" s="20" t="n">
        <v>2.7246095</v>
      </c>
      <c r="G11" s="18" t="n">
        <v>34.35711096</v>
      </c>
      <c r="H11" s="20" t="n">
        <v>2.6747449</v>
      </c>
      <c r="I11" s="18" t="s">
        <v>431</v>
      </c>
      <c r="J11" s="20" t="s">
        <v>431</v>
      </c>
      <c r="K11" s="18" t="n">
        <v>4.7260253</v>
      </c>
      <c r="L11" s="20" t="n">
        <v>1.1519573</v>
      </c>
      <c r="M11" s="18" t="n">
        <v>0</v>
      </c>
      <c r="N11" s="20" t="n">
        <v>0</v>
      </c>
      <c r="O11" s="18" t="n">
        <v>0</v>
      </c>
      <c r="P11" s="20" t="n">
        <v>0</v>
      </c>
      <c r="Q11" s="18" t="n">
        <v>3.33700838</v>
      </c>
      <c r="R11" s="20" t="n">
        <v>0.94419872</v>
      </c>
    </row>
    <row r="12" spans="1:18">
      <c r="A12" s="15" t="s">
        <v>436</v>
      </c>
      <c r="B12" s="17" t="n">
        <v>3472</v>
      </c>
      <c r="C12" s="18">
        <f>(3051.0/B12*100)</f>
        <v/>
      </c>
      <c r="D12" s="19" t="n">
        <v>421</v>
      </c>
      <c r="E12" s="18" t="n">
        <v>45.45938862</v>
      </c>
      <c r="F12" s="20" t="n">
        <v>2.39974486</v>
      </c>
      <c r="G12" s="18" t="n">
        <v>46.39212598</v>
      </c>
      <c r="H12" s="20" t="n">
        <v>2.77088587</v>
      </c>
      <c r="I12" s="18" t="s">
        <v>431</v>
      </c>
      <c r="J12" s="20" t="s">
        <v>431</v>
      </c>
      <c r="K12" s="18" t="n">
        <v>4.98049927</v>
      </c>
      <c r="L12" s="20" t="n">
        <v>1.20958857</v>
      </c>
      <c r="M12" s="18" t="n">
        <v>0</v>
      </c>
      <c r="N12" s="20" t="n">
        <v>0</v>
      </c>
      <c r="O12" s="18" t="n">
        <v>0</v>
      </c>
      <c r="P12" s="20" t="n">
        <v>0</v>
      </c>
      <c r="Q12" s="18" t="n">
        <v>3.16798613</v>
      </c>
      <c r="R12" s="20" t="n">
        <v>0.95909639</v>
      </c>
    </row>
    <row r="13" spans="1:18">
      <c r="A13" s="15" t="s">
        <v>437</v>
      </c>
      <c r="B13" s="17" t="n">
        <v>3559</v>
      </c>
      <c r="C13" s="18">
        <f>(3156.0/B13*100)</f>
        <v/>
      </c>
      <c r="D13" s="19" t="n">
        <v>403</v>
      </c>
      <c r="E13" s="18" t="n">
        <v>42.73827118</v>
      </c>
      <c r="F13" s="20" t="n">
        <v>2.71575252</v>
      </c>
      <c r="G13" s="18" t="n">
        <v>51.60619282</v>
      </c>
      <c r="H13" s="20" t="n">
        <v>2.89494843</v>
      </c>
      <c r="I13" s="18" t="s">
        <v>431</v>
      </c>
      <c r="J13" s="20" t="s">
        <v>431</v>
      </c>
      <c r="K13" s="18" t="n">
        <v>4.89696313</v>
      </c>
      <c r="L13" s="20" t="n">
        <v>1.39291774</v>
      </c>
      <c r="M13" s="18" t="n">
        <v>0</v>
      </c>
      <c r="N13" s="20" t="n">
        <v>0</v>
      </c>
      <c r="O13" s="18" t="n">
        <v>0</v>
      </c>
      <c r="P13" s="20" t="n">
        <v>0</v>
      </c>
      <c r="Q13" s="18" t="n">
        <v>0.75857287</v>
      </c>
      <c r="R13" s="20" t="n">
        <v>0.5239382</v>
      </c>
    </row>
    <row r="14" spans="1:18">
      <c r="A14" s="15" t="s">
        <v>438</v>
      </c>
      <c r="B14" s="17" t="n">
        <v>2799</v>
      </c>
      <c r="C14" s="18">
        <f>(2468.0/B14*100)</f>
        <v/>
      </c>
      <c r="D14" s="19" t="n">
        <v>331</v>
      </c>
      <c r="E14" s="18" t="n">
        <v>55.57097581</v>
      </c>
      <c r="F14" s="20" t="n">
        <v>2.65201857</v>
      </c>
      <c r="G14" s="18" t="n">
        <v>41.44524068</v>
      </c>
      <c r="H14" s="20" t="n">
        <v>2.58518276</v>
      </c>
      <c r="I14" s="18" t="s">
        <v>431</v>
      </c>
      <c r="J14" s="20" t="s">
        <v>431</v>
      </c>
      <c r="K14" s="18" t="n">
        <v>2.09865662</v>
      </c>
      <c r="L14" s="20" t="n">
        <v>0.89565606</v>
      </c>
      <c r="M14" s="18" t="n">
        <v>0</v>
      </c>
      <c r="N14" s="20" t="n">
        <v>0</v>
      </c>
      <c r="O14" s="18" t="n">
        <v>0</v>
      </c>
      <c r="P14" s="20" t="n">
        <v>0</v>
      </c>
      <c r="Q14" s="18" t="n">
        <v>0.88512689</v>
      </c>
      <c r="R14" s="20" t="n">
        <v>0.67100707</v>
      </c>
    </row>
    <row r="15" spans="1:18">
      <c r="A15" s="15" t="s">
        <v>439</v>
      </c>
      <c r="B15" s="17" t="n">
        <v>3019</v>
      </c>
      <c r="C15" s="18">
        <f>(2646.0/B15*100)</f>
        <v/>
      </c>
      <c r="D15" s="19" t="n">
        <v>373</v>
      </c>
      <c r="E15" s="18" t="n">
        <v>56.35133723</v>
      </c>
      <c r="F15" s="20" t="n">
        <v>2.64878183</v>
      </c>
      <c r="G15" s="18" t="n">
        <v>38.08175566</v>
      </c>
      <c r="H15" s="20" t="n">
        <v>2.70284173</v>
      </c>
      <c r="I15" s="18" t="s">
        <v>431</v>
      </c>
      <c r="J15" s="20" t="s">
        <v>431</v>
      </c>
      <c r="K15" s="18" t="n">
        <v>3.89113407</v>
      </c>
      <c r="L15" s="20" t="n">
        <v>0.96392367</v>
      </c>
      <c r="M15" s="18" t="n">
        <v>0</v>
      </c>
      <c r="N15" s="20" t="n">
        <v>0</v>
      </c>
      <c r="O15" s="18" t="n">
        <v>0</v>
      </c>
      <c r="P15" s="20" t="n">
        <v>0</v>
      </c>
      <c r="Q15" s="18" t="n">
        <v>1.67577303</v>
      </c>
      <c r="R15" s="20" t="n">
        <v>0.56648078</v>
      </c>
    </row>
    <row r="16" spans="1:18">
      <c r="A16" s="15" t="s">
        <v>440</v>
      </c>
      <c r="B16" s="17" t="n">
        <v>2997</v>
      </c>
      <c r="C16" s="18">
        <f>(2628.0/B16*100)</f>
        <v/>
      </c>
      <c r="D16" s="19" t="n">
        <v>369</v>
      </c>
      <c r="E16" s="18" t="n">
        <v>48.78238393</v>
      </c>
      <c r="F16" s="20" t="n">
        <v>2.25981579</v>
      </c>
      <c r="G16" s="18" t="n">
        <v>43.29917086</v>
      </c>
      <c r="H16" s="20" t="n">
        <v>2.21905248</v>
      </c>
      <c r="I16" s="18" t="s">
        <v>431</v>
      </c>
      <c r="J16" s="20" t="s">
        <v>431</v>
      </c>
      <c r="K16" s="18" t="n">
        <v>5.37156295</v>
      </c>
      <c r="L16" s="20" t="n">
        <v>1.04083323</v>
      </c>
      <c r="M16" s="18" t="n">
        <v>0</v>
      </c>
      <c r="N16" s="20" t="n">
        <v>0</v>
      </c>
      <c r="O16" s="18" t="n">
        <v>0</v>
      </c>
      <c r="P16" s="20" t="n">
        <v>0</v>
      </c>
      <c r="Q16" s="18" t="n">
        <v>2.54688226</v>
      </c>
      <c r="R16" s="20" t="n">
        <v>0.8333222</v>
      </c>
    </row>
    <row r="17" spans="1:18">
      <c r="A17" s="15" t="s">
        <v>441</v>
      </c>
      <c r="B17" s="17" t="n">
        <v>3307</v>
      </c>
      <c r="C17" s="18">
        <f>(2919.0/B17*100)</f>
        <v/>
      </c>
      <c r="D17" s="19" t="n">
        <v>388</v>
      </c>
      <c r="E17" s="18" t="n">
        <v>68.87066281</v>
      </c>
      <c r="F17" s="20" t="n">
        <v>2.46626712</v>
      </c>
      <c r="G17" s="18" t="n">
        <v>24.09637247</v>
      </c>
      <c r="H17" s="20" t="n">
        <v>2.16658868</v>
      </c>
      <c r="I17" s="18" t="s">
        <v>431</v>
      </c>
      <c r="J17" s="20" t="s">
        <v>431</v>
      </c>
      <c r="K17" s="18" t="n">
        <v>4.27605753</v>
      </c>
      <c r="L17" s="20" t="n">
        <v>1.21814298</v>
      </c>
      <c r="M17" s="18" t="n">
        <v>0</v>
      </c>
      <c r="N17" s="20" t="n">
        <v>0</v>
      </c>
      <c r="O17" s="18" t="n">
        <v>0</v>
      </c>
      <c r="P17" s="20" t="n">
        <v>0</v>
      </c>
      <c r="Q17" s="18" t="n">
        <v>2.75690719</v>
      </c>
      <c r="R17" s="20" t="n">
        <v>0.88917703</v>
      </c>
    </row>
    <row r="18" spans="1:18">
      <c r="A18" s="15" t="s">
        <v>442</v>
      </c>
      <c r="B18" s="17" t="n">
        <v>2826</v>
      </c>
      <c r="C18" s="18">
        <f>(2503.0/B18*100)</f>
        <v/>
      </c>
      <c r="D18" s="19" t="n">
        <v>323</v>
      </c>
      <c r="E18" s="18" t="n">
        <v>56.05852973</v>
      </c>
      <c r="F18" s="20" t="n">
        <v>3.22460835</v>
      </c>
      <c r="G18" s="18" t="n">
        <v>35.32084686</v>
      </c>
      <c r="H18" s="20" t="n">
        <v>2.96164778</v>
      </c>
      <c r="I18" s="18" t="s">
        <v>431</v>
      </c>
      <c r="J18" s="20" t="s">
        <v>431</v>
      </c>
      <c r="K18" s="18" t="n">
        <v>6.83828039</v>
      </c>
      <c r="L18" s="20" t="n">
        <v>1.5824812</v>
      </c>
      <c r="M18" s="18" t="n">
        <v>0</v>
      </c>
      <c r="N18" s="20" t="n">
        <v>0</v>
      </c>
      <c r="O18" s="18" t="n">
        <v>0</v>
      </c>
      <c r="P18" s="20" t="n">
        <v>0</v>
      </c>
      <c r="Q18" s="18" t="n">
        <v>1.78234302</v>
      </c>
      <c r="R18" s="20" t="n">
        <v>0.7382271500000001</v>
      </c>
    </row>
    <row r="19" spans="1:18">
      <c r="A19" s="15" t="s">
        <v>443</v>
      </c>
      <c r="B19" s="17" t="n">
        <v>2808</v>
      </c>
      <c r="C19" s="18">
        <f>(2480.0/B19*100)</f>
        <v/>
      </c>
      <c r="D19" s="19" t="n">
        <v>328</v>
      </c>
      <c r="E19" s="18" t="n">
        <v>54.95555122</v>
      </c>
      <c r="F19" s="20" t="n">
        <v>3.16368439</v>
      </c>
      <c r="G19" s="18" t="n">
        <v>38.22215448</v>
      </c>
      <c r="H19" s="20" t="n">
        <v>2.94402153</v>
      </c>
      <c r="I19" s="18" t="s">
        <v>431</v>
      </c>
      <c r="J19" s="20" t="s">
        <v>431</v>
      </c>
      <c r="K19" s="18" t="n">
        <v>3.84069655</v>
      </c>
      <c r="L19" s="20" t="n">
        <v>1.36387709</v>
      </c>
      <c r="M19" s="18" t="n">
        <v>0</v>
      </c>
      <c r="N19" s="20" t="n">
        <v>0</v>
      </c>
      <c r="O19" s="18" t="n">
        <v>0</v>
      </c>
      <c r="P19" s="20" t="n">
        <v>0</v>
      </c>
      <c r="Q19" s="18" t="n">
        <v>2.98159776</v>
      </c>
      <c r="R19" s="20" t="n">
        <v>0.8635019900000001</v>
      </c>
    </row>
    <row r="20" spans="1:18">
      <c r="A20" s="15" t="s">
        <v>444</v>
      </c>
      <c r="B20" s="17" t="n">
        <v>1630</v>
      </c>
      <c r="C20" s="18">
        <f>(1426.0/B20*100)</f>
        <v/>
      </c>
      <c r="D20" s="19" t="n">
        <v>204</v>
      </c>
      <c r="E20" s="18" t="n">
        <v>58.99250999</v>
      </c>
      <c r="F20" s="20" t="n">
        <v>3.79054215</v>
      </c>
      <c r="G20" s="18" t="n">
        <v>32.9072152</v>
      </c>
      <c r="H20" s="20" t="n">
        <v>3.7134418</v>
      </c>
      <c r="I20" s="18" t="s">
        <v>431</v>
      </c>
      <c r="J20" s="20" t="s">
        <v>431</v>
      </c>
      <c r="K20" s="18" t="n">
        <v>6.21384475</v>
      </c>
      <c r="L20" s="20" t="n">
        <v>1.48433393</v>
      </c>
      <c r="M20" s="18" t="n">
        <v>0</v>
      </c>
      <c r="N20" s="20" t="n">
        <v>0</v>
      </c>
      <c r="O20" s="18" t="n">
        <v>0</v>
      </c>
      <c r="P20" s="20" t="n">
        <v>0</v>
      </c>
      <c r="Q20" s="18" t="n">
        <v>1.88643005</v>
      </c>
      <c r="R20" s="20" t="n">
        <v>0.91326593</v>
      </c>
    </row>
    <row r="21" spans="1:18">
      <c r="A21" s="15" t="s">
        <v>445</v>
      </c>
      <c r="B21" s="17" t="n">
        <v>2908</v>
      </c>
      <c r="C21" s="18">
        <f>(2451.0/B21*100)</f>
        <v/>
      </c>
      <c r="D21" s="19" t="n">
        <v>457</v>
      </c>
      <c r="E21" s="18" t="n">
        <v>49.13364931</v>
      </c>
      <c r="F21" s="20" t="n">
        <v>2.59473736</v>
      </c>
      <c r="G21" s="18" t="n">
        <v>46.42599163</v>
      </c>
      <c r="H21" s="20" t="n">
        <v>2.54605399</v>
      </c>
      <c r="I21" s="18" t="s">
        <v>431</v>
      </c>
      <c r="J21" s="20" t="s">
        <v>431</v>
      </c>
      <c r="K21" s="18" t="n">
        <v>4.18236171</v>
      </c>
      <c r="L21" s="20" t="n">
        <v>0.96622732</v>
      </c>
      <c r="M21" s="18" t="n">
        <v>0</v>
      </c>
      <c r="N21" s="20" t="n">
        <v>0</v>
      </c>
      <c r="O21" s="18" t="n">
        <v>0</v>
      </c>
      <c r="P21" s="20" t="n">
        <v>0</v>
      </c>
      <c r="Q21" s="18" t="n">
        <v>0.25799734</v>
      </c>
      <c r="R21" s="20" t="n">
        <v>0.1818843</v>
      </c>
    </row>
    <row r="22" spans="1:18">
      <c r="A22" s="15" t="s">
        <v>446</v>
      </c>
      <c r="B22" s="17" t="n">
        <v>2931</v>
      </c>
      <c r="C22" s="18">
        <f>(2570.0/B22*100)</f>
        <v/>
      </c>
      <c r="D22" s="19" t="n">
        <v>361</v>
      </c>
      <c r="E22" s="18" t="n">
        <v>57.75725184</v>
      </c>
      <c r="F22" s="20" t="n">
        <v>3.46507323</v>
      </c>
      <c r="G22" s="18" t="n">
        <v>35.74590807</v>
      </c>
      <c r="H22" s="20" t="n">
        <v>3.32092055</v>
      </c>
      <c r="I22" s="18" t="s">
        <v>431</v>
      </c>
      <c r="J22" s="20" t="s">
        <v>431</v>
      </c>
      <c r="K22" s="18" t="n">
        <v>5.23579337</v>
      </c>
      <c r="L22" s="20" t="n">
        <v>1.15358107</v>
      </c>
      <c r="M22" s="18" t="n">
        <v>0</v>
      </c>
      <c r="N22" s="20" t="n">
        <v>0</v>
      </c>
      <c r="O22" s="18" t="n">
        <v>0</v>
      </c>
      <c r="P22" s="20" t="n">
        <v>0</v>
      </c>
      <c r="Q22" s="18" t="n">
        <v>1.26104672</v>
      </c>
      <c r="R22" s="20" t="n">
        <v>0.73274443</v>
      </c>
    </row>
    <row r="23" spans="1:18">
      <c r="A23" s="15" t="s">
        <v>447</v>
      </c>
      <c r="B23" s="17" t="n">
        <v>5791</v>
      </c>
      <c r="C23" s="18">
        <f>(5074.0/B23*100)</f>
        <v/>
      </c>
      <c r="D23" s="19" t="n">
        <v>717</v>
      </c>
      <c r="E23" s="18" t="n">
        <v>53.85332013</v>
      </c>
      <c r="F23" s="20" t="n">
        <v>2.61451763</v>
      </c>
      <c r="G23" s="18" t="n">
        <v>39.80776891</v>
      </c>
      <c r="H23" s="20" t="n">
        <v>2.67898069</v>
      </c>
      <c r="I23" s="18" t="s">
        <v>431</v>
      </c>
      <c r="J23" s="20" t="s">
        <v>431</v>
      </c>
      <c r="K23" s="18" t="n">
        <v>4.86202233</v>
      </c>
      <c r="L23" s="20" t="n">
        <v>1.47079553</v>
      </c>
      <c r="M23" s="18" t="n">
        <v>0</v>
      </c>
      <c r="N23" s="20" t="n">
        <v>0</v>
      </c>
      <c r="O23" s="18" t="n">
        <v>0</v>
      </c>
      <c r="P23" s="20" t="n">
        <v>0</v>
      </c>
      <c r="Q23" s="18" t="n">
        <v>1.47688863</v>
      </c>
      <c r="R23" s="20" t="n">
        <v>0.70634946</v>
      </c>
    </row>
    <row r="24" spans="1:18">
      <c r="A24" s="15" t="s">
        <v>448</v>
      </c>
      <c r="B24" s="17" t="n">
        <v>3338</v>
      </c>
      <c r="C24" s="18">
        <f>(2959.0/B24*100)</f>
        <v/>
      </c>
      <c r="D24" s="19" t="n">
        <v>379</v>
      </c>
      <c r="E24" s="18" t="n">
        <v>56.69912793</v>
      </c>
      <c r="F24" s="20" t="n">
        <v>2.67031894</v>
      </c>
      <c r="G24" s="18" t="n">
        <v>34.94689243</v>
      </c>
      <c r="H24" s="20" t="n">
        <v>2.51655566</v>
      </c>
      <c r="I24" s="18" t="s">
        <v>431</v>
      </c>
      <c r="J24" s="20" t="s">
        <v>431</v>
      </c>
      <c r="K24" s="18" t="n">
        <v>6.99215106</v>
      </c>
      <c r="L24" s="20" t="n">
        <v>1.15586749</v>
      </c>
      <c r="M24" s="18" t="n">
        <v>0</v>
      </c>
      <c r="N24" s="20" t="n">
        <v>0</v>
      </c>
      <c r="O24" s="18" t="n">
        <v>0</v>
      </c>
      <c r="P24" s="20" t="n">
        <v>0</v>
      </c>
      <c r="Q24" s="18" t="n">
        <v>1.36182858</v>
      </c>
      <c r="R24" s="20" t="n">
        <v>0.58763382</v>
      </c>
    </row>
    <row r="25" spans="1:18">
      <c r="A25" s="15" t="s">
        <v>449</v>
      </c>
      <c r="B25" s="17" t="n">
        <v>2912</v>
      </c>
      <c r="C25" s="18">
        <f>(2567.0/B25*100)</f>
        <v/>
      </c>
      <c r="D25" s="19" t="n">
        <v>345</v>
      </c>
      <c r="E25" s="18" t="n">
        <v>49.30846163</v>
      </c>
      <c r="F25" s="20" t="n">
        <v>2.89653283</v>
      </c>
      <c r="G25" s="18" t="n">
        <v>47.58582132</v>
      </c>
      <c r="H25" s="20" t="n">
        <v>2.84269907</v>
      </c>
      <c r="I25" s="18" t="s">
        <v>431</v>
      </c>
      <c r="J25" s="20" t="s">
        <v>431</v>
      </c>
      <c r="K25" s="18" t="n">
        <v>2.56892241</v>
      </c>
      <c r="L25" s="20" t="n">
        <v>0.81366872</v>
      </c>
      <c r="M25" s="18" t="n">
        <v>0</v>
      </c>
      <c r="N25" s="20" t="n">
        <v>0</v>
      </c>
      <c r="O25" s="18" t="n">
        <v>0</v>
      </c>
      <c r="P25" s="20" t="n">
        <v>0</v>
      </c>
      <c r="Q25" s="18" t="n">
        <v>0.53679465</v>
      </c>
      <c r="R25" s="20" t="n">
        <v>0.37902532</v>
      </c>
    </row>
    <row r="26" spans="1:18">
      <c r="A26" s="15" t="s">
        <v>450</v>
      </c>
      <c r="B26" s="17" t="n">
        <v>2450</v>
      </c>
      <c r="C26" s="18">
        <f>(2162.0/B26*100)</f>
        <v/>
      </c>
      <c r="D26" s="19" t="n">
        <v>288</v>
      </c>
      <c r="E26" s="18" t="n">
        <v>54.7164737</v>
      </c>
      <c r="F26" s="20" t="n">
        <v>3.4230021</v>
      </c>
      <c r="G26" s="18" t="n">
        <v>40.12742266</v>
      </c>
      <c r="H26" s="20" t="n">
        <v>3.01082171</v>
      </c>
      <c r="I26" s="18" t="s">
        <v>431</v>
      </c>
      <c r="J26" s="20" t="s">
        <v>431</v>
      </c>
      <c r="K26" s="18" t="n">
        <v>3.01323859</v>
      </c>
      <c r="L26" s="20" t="n">
        <v>0.95477595</v>
      </c>
      <c r="M26" s="18" t="n">
        <v>0</v>
      </c>
      <c r="N26" s="20" t="n">
        <v>0</v>
      </c>
      <c r="O26" s="18" t="n">
        <v>0</v>
      </c>
      <c r="P26" s="20" t="n">
        <v>0</v>
      </c>
      <c r="Q26" s="18" t="n">
        <v>2.14286505</v>
      </c>
      <c r="R26" s="20" t="n">
        <v>0.91569626</v>
      </c>
    </row>
    <row r="27" spans="1:18">
      <c r="A27" s="15" t="s">
        <v>451</v>
      </c>
      <c r="B27" s="17" t="n">
        <v>2616</v>
      </c>
      <c r="C27" s="18">
        <f>(2307.0/B27*100)</f>
        <v/>
      </c>
      <c r="D27" s="19" t="n">
        <v>309</v>
      </c>
      <c r="E27" s="18" t="n">
        <v>68.25871264</v>
      </c>
      <c r="F27" s="20" t="n">
        <v>2.88085387</v>
      </c>
      <c r="G27" s="18" t="n">
        <v>26.25119886</v>
      </c>
      <c r="H27" s="20" t="n">
        <v>2.71211363</v>
      </c>
      <c r="I27" s="18" t="s">
        <v>431</v>
      </c>
      <c r="J27" s="20" t="s">
        <v>431</v>
      </c>
      <c r="K27" s="18" t="n">
        <v>2.5810502</v>
      </c>
      <c r="L27" s="20" t="n">
        <v>0.79279482</v>
      </c>
      <c r="M27" s="18" t="n">
        <v>0</v>
      </c>
      <c r="N27" s="20" t="n">
        <v>0</v>
      </c>
      <c r="O27" s="18" t="n">
        <v>0</v>
      </c>
      <c r="P27" s="20" t="n">
        <v>0</v>
      </c>
      <c r="Q27" s="18" t="n">
        <v>2.9090383</v>
      </c>
      <c r="R27" s="20" t="n">
        <v>0.98459143</v>
      </c>
    </row>
    <row r="28" spans="1:18">
      <c r="A28" s="15" t="s">
        <v>452</v>
      </c>
      <c r="B28" s="17" t="n">
        <v>3765</v>
      </c>
      <c r="C28" s="18">
        <f>(3376.0/B28*100)</f>
        <v/>
      </c>
      <c r="D28" s="19" t="n">
        <v>389</v>
      </c>
      <c r="E28" s="18" t="n">
        <v>67.12902153</v>
      </c>
      <c r="F28" s="20" t="n">
        <v>2.29608361</v>
      </c>
      <c r="G28" s="18" t="n">
        <v>30.0412871</v>
      </c>
      <c r="H28" s="20" t="n">
        <v>2.08562801</v>
      </c>
      <c r="I28" s="18" t="s">
        <v>431</v>
      </c>
      <c r="J28" s="20" t="s">
        <v>431</v>
      </c>
      <c r="K28" s="18" t="n">
        <v>1.65807054</v>
      </c>
      <c r="L28" s="20" t="n">
        <v>0.8560119899999999</v>
      </c>
      <c r="M28" s="18" t="n">
        <v>0</v>
      </c>
      <c r="N28" s="20" t="n">
        <v>0</v>
      </c>
      <c r="O28" s="18" t="n">
        <v>0</v>
      </c>
      <c r="P28" s="20" t="n">
        <v>0</v>
      </c>
      <c r="Q28" s="18" t="n">
        <v>1.17162083</v>
      </c>
      <c r="R28" s="20" t="n">
        <v>0.53783984</v>
      </c>
    </row>
    <row r="29" spans="1:18">
      <c r="A29" s="15" t="s">
        <v>453</v>
      </c>
      <c r="B29" s="17" t="n">
        <v>2685</v>
      </c>
      <c r="C29" s="18">
        <f>(2357.0/B29*100)</f>
        <v/>
      </c>
      <c r="D29" s="19" t="n">
        <v>328</v>
      </c>
      <c r="E29" s="18" t="n">
        <v>59.865176</v>
      </c>
      <c r="F29" s="20" t="n">
        <v>2.77821718</v>
      </c>
      <c r="G29" s="18" t="n">
        <v>38.58077263</v>
      </c>
      <c r="H29" s="20" t="n">
        <v>2.81389866</v>
      </c>
      <c r="I29" s="18" t="s">
        <v>431</v>
      </c>
      <c r="J29" s="20" t="s">
        <v>431</v>
      </c>
      <c r="K29" s="18" t="n">
        <v>1.55405137</v>
      </c>
      <c r="L29" s="20" t="n">
        <v>0.47081903</v>
      </c>
      <c r="M29" s="18" t="n">
        <v>0</v>
      </c>
      <c r="N29" s="20" t="n">
        <v>0</v>
      </c>
      <c r="O29" s="18" t="n">
        <v>0</v>
      </c>
      <c r="P29" s="20" t="n">
        <v>0</v>
      </c>
      <c r="Q29" s="18" t="n">
        <v>0</v>
      </c>
      <c r="R29" s="20" t="n">
        <v>0</v>
      </c>
    </row>
    <row r="30" spans="1:18">
      <c r="A30" s="15" t="s">
        <v>454</v>
      </c>
      <c r="B30" s="17" t="n">
        <v>2263</v>
      </c>
      <c r="C30" s="18">
        <f>(1990.0/B30*100)</f>
        <v/>
      </c>
      <c r="D30" s="19" t="n">
        <v>273</v>
      </c>
      <c r="E30" s="18" t="n">
        <v>50.27714996</v>
      </c>
      <c r="F30" s="20" t="n">
        <v>3.52432606</v>
      </c>
      <c r="G30" s="18" t="n">
        <v>42.56499542</v>
      </c>
      <c r="H30" s="20" t="n">
        <v>3.65933785</v>
      </c>
      <c r="I30" s="18" t="s">
        <v>431</v>
      </c>
      <c r="J30" s="20" t="s">
        <v>431</v>
      </c>
      <c r="K30" s="18" t="n">
        <v>5.66434472</v>
      </c>
      <c r="L30" s="20" t="n">
        <v>1.29657985</v>
      </c>
      <c r="M30" s="18" t="n">
        <v>0</v>
      </c>
      <c r="N30" s="20" t="n">
        <v>0</v>
      </c>
      <c r="O30" s="18" t="n">
        <v>0</v>
      </c>
      <c r="P30" s="20" t="n">
        <v>0</v>
      </c>
      <c r="Q30" s="18" t="n">
        <v>1.49350989</v>
      </c>
      <c r="R30" s="20" t="n">
        <v>0.77801287</v>
      </c>
    </row>
    <row r="31" spans="1:18">
      <c r="A31" s="15" t="s">
        <v>455</v>
      </c>
      <c r="B31" s="17" t="n">
        <v>2750</v>
      </c>
      <c r="C31" s="18">
        <f>(2426.0/B31*100)</f>
        <v/>
      </c>
      <c r="D31" s="19" t="n">
        <v>324</v>
      </c>
      <c r="E31" s="18" t="n">
        <v>51.09151384</v>
      </c>
      <c r="F31" s="20" t="n">
        <v>2.81085634</v>
      </c>
      <c r="G31" s="18" t="n">
        <v>34.98386044</v>
      </c>
      <c r="H31" s="20" t="n">
        <v>2.4029069</v>
      </c>
      <c r="I31" s="18" t="s">
        <v>431</v>
      </c>
      <c r="J31" s="20" t="s">
        <v>431</v>
      </c>
      <c r="K31" s="18" t="n">
        <v>10.45377974</v>
      </c>
      <c r="L31" s="20" t="n">
        <v>1.67997002</v>
      </c>
      <c r="M31" s="18" t="n">
        <v>0</v>
      </c>
      <c r="N31" s="20" t="n">
        <v>0</v>
      </c>
      <c r="O31" s="18" t="n">
        <v>0</v>
      </c>
      <c r="P31" s="20" t="n">
        <v>0</v>
      </c>
      <c r="Q31" s="18" t="n">
        <v>3.47084597</v>
      </c>
      <c r="R31" s="20" t="n">
        <v>1.02712858</v>
      </c>
    </row>
    <row r="32" spans="1:18">
      <c r="A32" s="15" t="s">
        <v>456</v>
      </c>
      <c r="B32" s="17" t="n">
        <v>2269</v>
      </c>
      <c r="C32" s="18">
        <f>(1919.0/B32*100)</f>
        <v/>
      </c>
      <c r="D32" s="19" t="n">
        <v>350</v>
      </c>
      <c r="E32" s="18" t="n">
        <v>46.63396404</v>
      </c>
      <c r="F32" s="20" t="n">
        <v>2.82044003</v>
      </c>
      <c r="G32" s="18" t="n">
        <v>49.11618819</v>
      </c>
      <c r="H32" s="20" t="n">
        <v>3.01960024</v>
      </c>
      <c r="I32" s="18" t="s">
        <v>431</v>
      </c>
      <c r="J32" s="20" t="s">
        <v>431</v>
      </c>
      <c r="K32" s="18" t="n">
        <v>2.87676417</v>
      </c>
      <c r="L32" s="20" t="n">
        <v>0.91929759</v>
      </c>
      <c r="M32" s="18" t="n">
        <v>0</v>
      </c>
      <c r="N32" s="20" t="n">
        <v>0</v>
      </c>
      <c r="O32" s="18" t="n">
        <v>0</v>
      </c>
      <c r="P32" s="20" t="n">
        <v>0</v>
      </c>
      <c r="Q32" s="18" t="n">
        <v>1.37308359</v>
      </c>
      <c r="R32" s="20" t="n">
        <v>0.63372639</v>
      </c>
    </row>
    <row r="33" spans="1:18">
      <c r="A33" s="15" t="s">
        <v>457</v>
      </c>
      <c r="B33" s="17" t="n">
        <v>3674</v>
      </c>
      <c r="C33" s="18">
        <f>(3229.0/B33*100)</f>
        <v/>
      </c>
      <c r="D33" s="19" t="n">
        <v>445</v>
      </c>
      <c r="E33" s="18" t="n">
        <v>51.14941221</v>
      </c>
      <c r="F33" s="20" t="n">
        <v>2.73259124</v>
      </c>
      <c r="G33" s="18" t="n">
        <v>47.16394986</v>
      </c>
      <c r="H33" s="20" t="n">
        <v>2.76241324</v>
      </c>
      <c r="I33" s="18" t="s">
        <v>431</v>
      </c>
      <c r="J33" s="20" t="s">
        <v>431</v>
      </c>
      <c r="K33" s="18" t="n">
        <v>1.49070809</v>
      </c>
      <c r="L33" s="20" t="n">
        <v>0.64881403</v>
      </c>
      <c r="M33" s="18" t="n">
        <v>0</v>
      </c>
      <c r="N33" s="20" t="n">
        <v>0</v>
      </c>
      <c r="O33" s="18" t="n">
        <v>0</v>
      </c>
      <c r="P33" s="20" t="n">
        <v>0</v>
      </c>
      <c r="Q33" s="18" t="n">
        <v>0.19592984</v>
      </c>
      <c r="R33" s="20" t="n">
        <v>0.16413998</v>
      </c>
    </row>
    <row r="34" spans="1:18">
      <c r="A34" s="15" t="s">
        <v>458</v>
      </c>
      <c r="B34" s="17" t="n">
        <v>3315</v>
      </c>
      <c r="C34" s="18">
        <f>(2932.0/B34*100)</f>
        <v/>
      </c>
      <c r="D34" s="19" t="n">
        <v>383</v>
      </c>
      <c r="E34" s="18" t="n">
        <v>53.18055839</v>
      </c>
      <c r="F34" s="20" t="n">
        <v>2.73426944</v>
      </c>
      <c r="G34" s="18" t="n">
        <v>39.72036219</v>
      </c>
      <c r="H34" s="20" t="n">
        <v>2.60957639</v>
      </c>
      <c r="I34" s="18" t="s">
        <v>431</v>
      </c>
      <c r="J34" s="20" t="s">
        <v>431</v>
      </c>
      <c r="K34" s="18" t="n">
        <v>5.48464017</v>
      </c>
      <c r="L34" s="20" t="n">
        <v>1.06492228</v>
      </c>
      <c r="M34" s="18" t="n">
        <v>0</v>
      </c>
      <c r="N34" s="20" t="n">
        <v>0</v>
      </c>
      <c r="O34" s="18" t="n">
        <v>0</v>
      </c>
      <c r="P34" s="20" t="n">
        <v>0</v>
      </c>
      <c r="Q34" s="18" t="n">
        <v>1.61443925</v>
      </c>
      <c r="R34" s="20" t="n">
        <v>0.69918585</v>
      </c>
    </row>
    <row r="35" spans="1:18">
      <c r="A35" s="15" t="s">
        <v>459</v>
      </c>
      <c r="B35" s="17" t="n">
        <v>3505</v>
      </c>
      <c r="C35" s="18">
        <f>(3071.0/B35*100)</f>
        <v/>
      </c>
      <c r="D35" s="19" t="n">
        <v>434</v>
      </c>
      <c r="E35" s="18" t="n">
        <v>42.57528751</v>
      </c>
      <c r="F35" s="20" t="n">
        <v>2.68934998</v>
      </c>
      <c r="G35" s="18" t="n">
        <v>49.54263632</v>
      </c>
      <c r="H35" s="20" t="n">
        <v>3.00107979</v>
      </c>
      <c r="I35" s="18" t="s">
        <v>431</v>
      </c>
      <c r="J35" s="20" t="s">
        <v>431</v>
      </c>
      <c r="K35" s="18" t="n">
        <v>4.88185235</v>
      </c>
      <c r="L35" s="20" t="n">
        <v>1.25512284</v>
      </c>
      <c r="M35" s="18" t="n">
        <v>0</v>
      </c>
      <c r="N35" s="20" t="n">
        <v>0</v>
      </c>
      <c r="O35" s="18" t="n">
        <v>0</v>
      </c>
      <c r="P35" s="20" t="n">
        <v>0</v>
      </c>
      <c r="Q35" s="18" t="n">
        <v>3.00022382</v>
      </c>
      <c r="R35" s="20" t="n">
        <v>0.80516384</v>
      </c>
    </row>
    <row r="36" spans="1:18">
      <c r="A36" s="15" t="s">
        <v>460</v>
      </c>
      <c r="B36" s="17" t="n">
        <v>3332</v>
      </c>
      <c r="C36" s="18">
        <f>(2938.0/B36*100)</f>
        <v/>
      </c>
      <c r="D36" s="19" t="n">
        <v>394</v>
      </c>
      <c r="E36" s="18" t="n">
        <v>60.55552961</v>
      </c>
      <c r="F36" s="20" t="n">
        <v>2.71939025</v>
      </c>
      <c r="G36" s="18" t="n">
        <v>35.04090615</v>
      </c>
      <c r="H36" s="20" t="n">
        <v>2.63846645</v>
      </c>
      <c r="I36" s="18" t="s">
        <v>431</v>
      </c>
      <c r="J36" s="20" t="s">
        <v>431</v>
      </c>
      <c r="K36" s="18" t="n">
        <v>2.28646922</v>
      </c>
      <c r="L36" s="20" t="n">
        <v>0.76629457</v>
      </c>
      <c r="M36" s="18" t="n">
        <v>0</v>
      </c>
      <c r="N36" s="20" t="n">
        <v>0</v>
      </c>
      <c r="O36" s="18" t="n">
        <v>0</v>
      </c>
      <c r="P36" s="20" t="n">
        <v>0</v>
      </c>
      <c r="Q36" s="18" t="n">
        <v>2.11709502</v>
      </c>
      <c r="R36" s="20" t="n">
        <v>0.5786387200000001</v>
      </c>
    </row>
    <row r="37" spans="1:18">
      <c r="A37" s="15" t="s">
        <v>461</v>
      </c>
      <c r="B37" s="17" t="n">
        <v>2727</v>
      </c>
      <c r="C37" s="18">
        <f>(2392.0/B37*100)</f>
        <v/>
      </c>
      <c r="D37" s="19" t="n">
        <v>335</v>
      </c>
      <c r="E37" s="18" t="n">
        <v>53.35790845</v>
      </c>
      <c r="F37" s="20" t="n">
        <v>2.79342076</v>
      </c>
      <c r="G37" s="18" t="n">
        <v>34.53206186</v>
      </c>
      <c r="H37" s="20" t="n">
        <v>2.38806598</v>
      </c>
      <c r="I37" s="18" t="s">
        <v>431</v>
      </c>
      <c r="J37" s="20" t="s">
        <v>431</v>
      </c>
      <c r="K37" s="18" t="n">
        <v>7.27885274</v>
      </c>
      <c r="L37" s="20" t="n">
        <v>1.68803123</v>
      </c>
      <c r="M37" s="18" t="n">
        <v>0</v>
      </c>
      <c r="N37" s="20" t="n">
        <v>0</v>
      </c>
      <c r="O37" s="18" t="n">
        <v>0</v>
      </c>
      <c r="P37" s="20" t="n">
        <v>0</v>
      </c>
      <c r="Q37" s="18" t="n">
        <v>4.83117695</v>
      </c>
      <c r="R37" s="20" t="n">
        <v>1.4834521</v>
      </c>
    </row>
    <row r="38" spans="1:18">
      <c r="A38" s="15" t="s">
        <v>462</v>
      </c>
      <c r="B38" s="17" t="n">
        <v>3053</v>
      </c>
      <c r="C38" s="18">
        <f>(2609.0/B38*100)</f>
        <v/>
      </c>
      <c r="D38" s="19" t="n">
        <v>444</v>
      </c>
      <c r="E38" s="18" t="n">
        <v>54.56427319</v>
      </c>
      <c r="F38" s="20" t="n">
        <v>2.82523852</v>
      </c>
      <c r="G38" s="18" t="n">
        <v>39.3516378</v>
      </c>
      <c r="H38" s="20" t="n">
        <v>2.8214887</v>
      </c>
      <c r="I38" s="18" t="s">
        <v>431</v>
      </c>
      <c r="J38" s="20" t="s">
        <v>431</v>
      </c>
      <c r="K38" s="18" t="n">
        <v>5.03819591</v>
      </c>
      <c r="L38" s="20" t="n">
        <v>0.96629143</v>
      </c>
      <c r="M38" s="18" t="n">
        <v>0</v>
      </c>
      <c r="N38" s="20" t="n">
        <v>0</v>
      </c>
      <c r="O38" s="18" t="n">
        <v>0</v>
      </c>
      <c r="P38" s="20" t="n">
        <v>0</v>
      </c>
      <c r="Q38" s="18" t="n">
        <v>1.0458931</v>
      </c>
      <c r="R38" s="20" t="n">
        <v>0.36581023</v>
      </c>
    </row>
    <row r="39" spans="1:18">
      <c r="A39" s="15" t="s">
        <v>463</v>
      </c>
      <c r="B39" s="17" t="n">
        <v>2957</v>
      </c>
      <c r="C39" s="18">
        <f>(2591.0/B39*100)</f>
        <v/>
      </c>
      <c r="D39" s="19" t="n">
        <v>366</v>
      </c>
      <c r="E39" s="18" t="n">
        <v>52.98344189</v>
      </c>
      <c r="F39" s="20" t="n">
        <v>2.78895223</v>
      </c>
      <c r="G39" s="18" t="n">
        <v>42.07002695</v>
      </c>
      <c r="H39" s="20" t="n">
        <v>2.93847917</v>
      </c>
      <c r="I39" s="18" t="s">
        <v>431</v>
      </c>
      <c r="J39" s="20" t="s">
        <v>431</v>
      </c>
      <c r="K39" s="18" t="n">
        <v>3.41138605</v>
      </c>
      <c r="L39" s="20" t="n">
        <v>1.17957524</v>
      </c>
      <c r="M39" s="18" t="n">
        <v>0</v>
      </c>
      <c r="N39" s="20" t="n">
        <v>0</v>
      </c>
      <c r="O39" s="18" t="n">
        <v>0</v>
      </c>
      <c r="P39" s="20" t="n">
        <v>0</v>
      </c>
      <c r="Q39" s="18" t="n">
        <v>1.53514511</v>
      </c>
      <c r="R39" s="20" t="n">
        <v>0.5704958999999999</v>
      </c>
    </row>
    <row r="40" spans="1:18">
      <c r="A40" s="15" t="s">
        <v>464</v>
      </c>
      <c r="B40" s="17" t="n">
        <v>7235</v>
      </c>
      <c r="C40" s="18">
        <f>(6340.0/B40*100)</f>
        <v/>
      </c>
      <c r="D40" s="19" t="n">
        <v>895</v>
      </c>
      <c r="E40" s="18" t="n">
        <v>53.15983192</v>
      </c>
      <c r="F40" s="20" t="n">
        <v>2.05097819</v>
      </c>
      <c r="G40" s="18" t="n">
        <v>41.87140118</v>
      </c>
      <c r="H40" s="20" t="n">
        <v>2.01925514</v>
      </c>
      <c r="I40" s="18" t="s">
        <v>431</v>
      </c>
      <c r="J40" s="20" t="s">
        <v>431</v>
      </c>
      <c r="K40" s="18" t="n">
        <v>4.4913099</v>
      </c>
      <c r="L40" s="20" t="n">
        <v>1.01958332</v>
      </c>
      <c r="M40" s="18" t="n">
        <v>0</v>
      </c>
      <c r="N40" s="20" t="n">
        <v>0</v>
      </c>
      <c r="O40" s="18" t="n">
        <v>0</v>
      </c>
      <c r="P40" s="20" t="n">
        <v>0</v>
      </c>
      <c r="Q40" s="18" t="n">
        <v>0.47745701</v>
      </c>
      <c r="R40" s="20" t="n">
        <v>0.29174956</v>
      </c>
    </row>
    <row r="41" spans="1:18">
      <c r="A41" s="15" t="s">
        <v>465</v>
      </c>
      <c r="B41" s="17" t="n">
        <v>2858</v>
      </c>
      <c r="C41" s="18">
        <f>(2538.0/B41*100)</f>
        <v/>
      </c>
      <c r="D41" s="19" t="n">
        <v>320</v>
      </c>
      <c r="E41" s="18" t="n">
        <v>50.83396077</v>
      </c>
      <c r="F41" s="20" t="n">
        <v>2.77640986</v>
      </c>
      <c r="G41" s="18" t="n">
        <v>46.99527385</v>
      </c>
      <c r="H41" s="20" t="n">
        <v>2.69036081</v>
      </c>
      <c r="I41" s="18" t="s">
        <v>431</v>
      </c>
      <c r="J41" s="20" t="s">
        <v>431</v>
      </c>
      <c r="K41" s="18" t="n">
        <v>1.65056515</v>
      </c>
      <c r="L41" s="20" t="n">
        <v>0.71103124</v>
      </c>
      <c r="M41" s="18" t="n">
        <v>0</v>
      </c>
      <c r="N41" s="20" t="n">
        <v>0</v>
      </c>
      <c r="O41" s="18" t="n">
        <v>0</v>
      </c>
      <c r="P41" s="20" t="n">
        <v>0</v>
      </c>
      <c r="Q41" s="18" t="n">
        <v>0.52020023</v>
      </c>
      <c r="R41" s="20" t="n">
        <v>0.3671869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(10109.0/B46*100)</f>
        <v/>
      </c>
      <c r="D46" s="19" t="n">
        <v>959</v>
      </c>
      <c r="E46" s="18" t="n">
        <v>66.89648225000001</v>
      </c>
      <c r="F46" s="20" t="n">
        <v>1.94125604</v>
      </c>
      <c r="G46" s="18" t="n">
        <v>20.59290241</v>
      </c>
      <c r="H46" s="20" t="n">
        <v>1.61340602</v>
      </c>
      <c r="I46" s="18" t="s">
        <v>431</v>
      </c>
      <c r="J46" s="20" t="s">
        <v>431</v>
      </c>
      <c r="K46" s="18" t="n">
        <v>8.464239190000001</v>
      </c>
      <c r="L46" s="20" t="n">
        <v>1.24484127</v>
      </c>
      <c r="M46" s="18" t="n">
        <v>0</v>
      </c>
      <c r="N46" s="20" t="n">
        <v>0</v>
      </c>
      <c r="O46" s="18" t="n">
        <v>0</v>
      </c>
      <c r="P46" s="20" t="n">
        <v>0</v>
      </c>
      <c r="Q46" s="18" t="n">
        <v>4.04637616</v>
      </c>
      <c r="R46" s="20" t="n">
        <v>0.77292397</v>
      </c>
    </row>
    <row r="47" spans="1:18">
      <c r="A47" s="15" t="s">
        <v>471</v>
      </c>
      <c r="B47" s="17" t="n">
        <v>3105</v>
      </c>
      <c r="C47" s="18">
        <f>(2726.0/B47*100)</f>
        <v/>
      </c>
      <c r="D47" s="19" t="n">
        <v>379</v>
      </c>
      <c r="E47" s="18" t="n">
        <v>60.48342096</v>
      </c>
      <c r="F47" s="20" t="n">
        <v>2.62219911</v>
      </c>
      <c r="G47" s="18" t="n">
        <v>31.22153603</v>
      </c>
      <c r="H47" s="20" t="n">
        <v>2.43877423</v>
      </c>
      <c r="I47" s="18" t="s">
        <v>431</v>
      </c>
      <c r="J47" s="20" t="s">
        <v>431</v>
      </c>
      <c r="K47" s="18" t="n">
        <v>6.54489972</v>
      </c>
      <c r="L47" s="20" t="n">
        <v>1.42925414</v>
      </c>
      <c r="M47" s="18" t="n">
        <v>0</v>
      </c>
      <c r="N47" s="20" t="n">
        <v>0</v>
      </c>
      <c r="O47" s="18" t="n">
        <v>0</v>
      </c>
      <c r="P47" s="20" t="n">
        <v>0</v>
      </c>
      <c r="Q47" s="18" t="n">
        <v>1.75014329</v>
      </c>
      <c r="R47" s="20" t="n">
        <v>0.68880551</v>
      </c>
    </row>
    <row r="48" spans="1:18">
      <c r="A48" s="15" t="s">
        <v>472</v>
      </c>
      <c r="B48" s="17" t="n">
        <v>5159</v>
      </c>
      <c r="C48" s="18">
        <f>(4540.0/B48*100)</f>
        <v/>
      </c>
      <c r="D48" s="19" t="n">
        <v>619</v>
      </c>
      <c r="E48" s="18" t="n">
        <v>63.78859621</v>
      </c>
      <c r="F48" s="20" t="n">
        <v>2.46681761</v>
      </c>
      <c r="G48" s="18" t="n">
        <v>33.77830887</v>
      </c>
      <c r="H48" s="20" t="n">
        <v>2.45657059</v>
      </c>
      <c r="I48" s="18" t="s">
        <v>431</v>
      </c>
      <c r="J48" s="20" t="s">
        <v>431</v>
      </c>
      <c r="K48" s="18" t="n">
        <v>1.95829638</v>
      </c>
      <c r="L48" s="20" t="n">
        <v>0.67758823</v>
      </c>
      <c r="M48" s="18" t="n">
        <v>0</v>
      </c>
      <c r="N48" s="20" t="n">
        <v>0</v>
      </c>
      <c r="O48" s="18" t="n">
        <v>0</v>
      </c>
      <c r="P48" s="20" t="n">
        <v>0</v>
      </c>
      <c r="Q48" s="18" t="n">
        <v>0.47479854</v>
      </c>
      <c r="R48" s="20" t="n">
        <v>0.34553906</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(4983.0/B50*100)</f>
        <v/>
      </c>
      <c r="D50" s="19" t="n">
        <v>654</v>
      </c>
      <c r="E50" s="18" t="n">
        <v>63.24098926</v>
      </c>
      <c r="F50" s="20" t="n">
        <v>2.5981555</v>
      </c>
      <c r="G50" s="18" t="n">
        <v>27.98145564</v>
      </c>
      <c r="H50" s="20" t="n">
        <v>2.30035864</v>
      </c>
      <c r="I50" s="18" t="s">
        <v>431</v>
      </c>
      <c r="J50" s="20" t="s">
        <v>431</v>
      </c>
      <c r="K50" s="18" t="n">
        <v>7.50797048</v>
      </c>
      <c r="L50" s="20" t="n">
        <v>1.24455474</v>
      </c>
      <c r="M50" s="18" t="n">
        <v>0</v>
      </c>
      <c r="N50" s="20" t="n">
        <v>0</v>
      </c>
      <c r="O50" s="18" t="n">
        <v>0</v>
      </c>
      <c r="P50" s="20" t="n">
        <v>0</v>
      </c>
      <c r="Q50" s="18" t="n">
        <v>1.26958463</v>
      </c>
      <c r="R50" s="20" t="n">
        <v>0.7076791099999999</v>
      </c>
    </row>
    <row r="51" spans="1:18">
      <c r="A51" s="15" t="s">
        <v>475</v>
      </c>
      <c r="B51" s="17" t="n">
        <v>3372</v>
      </c>
      <c r="C51" s="18">
        <f>(3021.0/B51*100)</f>
        <v/>
      </c>
      <c r="D51" s="19" t="n">
        <v>351</v>
      </c>
      <c r="E51" s="18" t="n">
        <v>55.08204348</v>
      </c>
      <c r="F51" s="20" t="n">
        <v>2.96551541</v>
      </c>
      <c r="G51" s="18" t="n">
        <v>39.56478082</v>
      </c>
      <c r="H51" s="20" t="n">
        <v>2.74402085</v>
      </c>
      <c r="I51" s="18" t="s">
        <v>431</v>
      </c>
      <c r="J51" s="20" t="s">
        <v>431</v>
      </c>
      <c r="K51" s="18" t="n">
        <v>3.92590539</v>
      </c>
      <c r="L51" s="20" t="n">
        <v>1.16967019</v>
      </c>
      <c r="M51" s="18" t="n">
        <v>0</v>
      </c>
      <c r="N51" s="20" t="n">
        <v>0</v>
      </c>
      <c r="O51" s="18" t="n">
        <v>0</v>
      </c>
      <c r="P51" s="20" t="n">
        <v>0</v>
      </c>
      <c r="Q51" s="18" t="n">
        <v>1.4272703</v>
      </c>
      <c r="R51" s="20" t="n">
        <v>0.7864416400000001</v>
      </c>
    </row>
    <row r="52" spans="1:18">
      <c r="A52" s="15" t="s">
        <v>476</v>
      </c>
      <c r="B52" s="17" t="n">
        <v>2796</v>
      </c>
      <c r="C52" s="18">
        <f>(2449.0/B52*100)</f>
        <v/>
      </c>
      <c r="D52" s="19" t="n">
        <v>347</v>
      </c>
      <c r="E52" s="18" t="n">
        <v>57.72064086</v>
      </c>
      <c r="F52" s="20" t="n">
        <v>2.56586057</v>
      </c>
      <c r="G52" s="18" t="n">
        <v>37.16976198</v>
      </c>
      <c r="H52" s="20" t="n">
        <v>2.69798842</v>
      </c>
      <c r="I52" s="18" t="s">
        <v>431</v>
      </c>
      <c r="J52" s="20" t="s">
        <v>431</v>
      </c>
      <c r="K52" s="18" t="n">
        <v>2.54252975</v>
      </c>
      <c r="L52" s="20" t="n">
        <v>0.79346251</v>
      </c>
      <c r="M52" s="18" t="n">
        <v>0</v>
      </c>
      <c r="N52" s="20" t="n">
        <v>0</v>
      </c>
      <c r="O52" s="18" t="n">
        <v>0</v>
      </c>
      <c r="P52" s="20" t="n">
        <v>0</v>
      </c>
      <c r="Q52" s="18" t="n">
        <v>2.56706741</v>
      </c>
      <c r="R52" s="20" t="n">
        <v>0.74666563</v>
      </c>
    </row>
    <row r="53" spans="1:18">
      <c r="A53" s="15" t="s">
        <v>477</v>
      </c>
      <c r="B53" s="17" t="n">
        <v>2811</v>
      </c>
      <c r="C53" s="18">
        <f>(2486.0/B53*100)</f>
        <v/>
      </c>
      <c r="D53" s="19" t="n">
        <v>325</v>
      </c>
      <c r="E53" s="18" t="n">
        <v>60.86638804</v>
      </c>
      <c r="F53" s="20" t="n">
        <v>2.48006678</v>
      </c>
      <c r="G53" s="18" t="n">
        <v>28.46106707</v>
      </c>
      <c r="H53" s="20" t="n">
        <v>2.38261778</v>
      </c>
      <c r="I53" s="18" t="s">
        <v>431</v>
      </c>
      <c r="J53" s="20" t="s">
        <v>431</v>
      </c>
      <c r="K53" s="18" t="n">
        <v>8.95942718</v>
      </c>
      <c r="L53" s="20" t="n">
        <v>1.72729926</v>
      </c>
      <c r="M53" s="18" t="n">
        <v>0</v>
      </c>
      <c r="N53" s="20" t="n">
        <v>0</v>
      </c>
      <c r="O53" s="18" t="n">
        <v>0</v>
      </c>
      <c r="P53" s="20" t="n">
        <v>0</v>
      </c>
      <c r="Q53" s="18" t="n">
        <v>1.71311771</v>
      </c>
      <c r="R53" s="20" t="n">
        <v>0.71356194</v>
      </c>
    </row>
    <row r="54" spans="1:18">
      <c r="A54" s="15" t="s">
        <v>478</v>
      </c>
      <c r="B54" s="17" t="n">
        <v>2266</v>
      </c>
      <c r="C54" s="18">
        <f>(1886.0/B54*100)</f>
        <v/>
      </c>
      <c r="D54" s="19" t="n">
        <v>380</v>
      </c>
      <c r="E54" s="18" t="n">
        <v>61.38757022</v>
      </c>
      <c r="F54" s="20" t="n">
        <v>2.89225871</v>
      </c>
      <c r="G54" s="18" t="n">
        <v>7.60495932</v>
      </c>
      <c r="H54" s="20" t="n">
        <v>1.33949335</v>
      </c>
      <c r="I54" s="18" t="s">
        <v>431</v>
      </c>
      <c r="J54" s="20" t="s">
        <v>431</v>
      </c>
      <c r="K54" s="18" t="n">
        <v>27.03501017</v>
      </c>
      <c r="L54" s="20" t="n">
        <v>2.59597026</v>
      </c>
      <c r="M54" s="18" t="n">
        <v>0</v>
      </c>
      <c r="N54" s="20" t="n">
        <v>0</v>
      </c>
      <c r="O54" s="18" t="n">
        <v>0</v>
      </c>
      <c r="P54" s="20" t="n">
        <v>0</v>
      </c>
      <c r="Q54" s="18" t="n">
        <v>3.97246029</v>
      </c>
      <c r="R54" s="20" t="n">
        <v>1.15196183</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(2358.0/B56*100)</f>
        <v/>
      </c>
      <c r="D56" s="19" t="n">
        <v>326</v>
      </c>
      <c r="E56" s="18" t="n">
        <v>49.901584</v>
      </c>
      <c r="F56" s="20" t="n">
        <v>2.83525945</v>
      </c>
      <c r="G56" s="18" t="n">
        <v>48.19217266</v>
      </c>
      <c r="H56" s="20" t="n">
        <v>2.82752838</v>
      </c>
      <c r="I56" s="18" t="s">
        <v>431</v>
      </c>
      <c r="J56" s="20" t="s">
        <v>431</v>
      </c>
      <c r="K56" s="18" t="n">
        <v>1.90624335</v>
      </c>
      <c r="L56" s="20" t="n">
        <v>0.81436089</v>
      </c>
      <c r="M56" s="18" t="n">
        <v>0</v>
      </c>
      <c r="N56" s="20" t="n">
        <v>0</v>
      </c>
      <c r="O56" s="18" t="n">
        <v>0</v>
      </c>
      <c r="P56" s="20" t="n">
        <v>0</v>
      </c>
      <c r="Q56" s="18" t="n">
        <v>0</v>
      </c>
      <c r="R56" s="20" t="n">
        <v>0</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(2909.0/B61*100)</f>
        <v/>
      </c>
      <c r="D61" s="19" t="n">
        <v>415</v>
      </c>
      <c r="E61" s="18" t="n">
        <v>59.05882792</v>
      </c>
      <c r="F61" s="20" t="n">
        <v>2.5435696</v>
      </c>
      <c r="G61" s="18" t="n">
        <v>35.10944838</v>
      </c>
      <c r="H61" s="20" t="n">
        <v>2.26863663</v>
      </c>
      <c r="I61" s="18" t="s">
        <v>431</v>
      </c>
      <c r="J61" s="20" t="s">
        <v>431</v>
      </c>
      <c r="K61" s="18" t="n">
        <v>4.39647213</v>
      </c>
      <c r="L61" s="20" t="n">
        <v>1.17783005</v>
      </c>
      <c r="M61" s="18" t="n">
        <v>0</v>
      </c>
      <c r="N61" s="20" t="n">
        <v>0</v>
      </c>
      <c r="O61" s="18" t="n">
        <v>0</v>
      </c>
      <c r="P61" s="20" t="n">
        <v>0</v>
      </c>
      <c r="Q61" s="18" t="n">
        <v>1.43525157</v>
      </c>
      <c r="R61" s="20" t="n">
        <v>0.6333048</v>
      </c>
    </row>
    <row r="62" spans="1:18">
      <c r="A62" s="15" t="s">
        <v>486</v>
      </c>
      <c r="B62" s="17" t="n">
        <v>2246</v>
      </c>
      <c r="C62" s="18">
        <f>(2003.0/B62*100)</f>
        <v/>
      </c>
      <c r="D62" s="19" t="n">
        <v>243</v>
      </c>
      <c r="E62" s="18" t="n">
        <v>68.29016025</v>
      </c>
      <c r="F62" s="20" t="n">
        <v>2.79271737</v>
      </c>
      <c r="G62" s="18" t="n">
        <v>31.30141369</v>
      </c>
      <c r="H62" s="20" t="n">
        <v>2.72874991</v>
      </c>
      <c r="I62" s="18" t="s">
        <v>431</v>
      </c>
      <c r="J62" s="20" t="s">
        <v>431</v>
      </c>
      <c r="K62" s="18" t="n">
        <v>0</v>
      </c>
      <c r="L62" s="20" t="n">
        <v>0</v>
      </c>
      <c r="M62" s="18" t="n">
        <v>0</v>
      </c>
      <c r="N62" s="20" t="n">
        <v>0</v>
      </c>
      <c r="O62" s="18" t="n">
        <v>0</v>
      </c>
      <c r="P62" s="20" t="n">
        <v>0</v>
      </c>
      <c r="Q62" s="18" t="n">
        <v>0.40842606</v>
      </c>
      <c r="R62" s="20" t="n">
        <v>0.40838553</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(2567.0/B66*100)</f>
        <v/>
      </c>
      <c r="D66" s="19" t="n">
        <v>327</v>
      </c>
      <c r="E66" s="18" t="n">
        <v>47.61912795</v>
      </c>
      <c r="F66" s="20" t="n">
        <v>2.45113558</v>
      </c>
      <c r="G66" s="18" t="n">
        <v>37.71210107</v>
      </c>
      <c r="H66" s="20" t="n">
        <v>2.48006971</v>
      </c>
      <c r="I66" s="18" t="s">
        <v>431</v>
      </c>
      <c r="J66" s="20" t="s">
        <v>431</v>
      </c>
      <c r="K66" s="18" t="n">
        <v>8.36084293</v>
      </c>
      <c r="L66" s="20" t="n">
        <v>1.61477131</v>
      </c>
      <c r="M66" s="18" t="n">
        <v>0</v>
      </c>
      <c r="N66" s="20" t="n">
        <v>0</v>
      </c>
      <c r="O66" s="18" t="n">
        <v>0</v>
      </c>
      <c r="P66" s="20" t="n">
        <v>0</v>
      </c>
      <c r="Q66" s="18" t="n">
        <v>6.30792804</v>
      </c>
      <c r="R66" s="20" t="n">
        <v>1.47569394</v>
      </c>
    </row>
    <row r="67" spans="1:18">
      <c r="A67" s="15" t="s">
        <v>491</v>
      </c>
      <c r="B67" s="17" t="n">
        <v>3511</v>
      </c>
      <c r="C67" s="18">
        <f>(3159.0/B67*100)</f>
        <v/>
      </c>
      <c r="D67" s="19" t="n">
        <v>352</v>
      </c>
      <c r="E67" s="18" t="n">
        <v>70.26939188999999</v>
      </c>
      <c r="F67" s="20" t="n">
        <v>2.40184045</v>
      </c>
      <c r="G67" s="18" t="n">
        <v>23.4913085</v>
      </c>
      <c r="H67" s="20" t="n">
        <v>2.26711475</v>
      </c>
      <c r="I67" s="18" t="s">
        <v>431</v>
      </c>
      <c r="J67" s="20" t="s">
        <v>431</v>
      </c>
      <c r="K67" s="18" t="n">
        <v>3.01735223</v>
      </c>
      <c r="L67" s="20" t="n">
        <v>0.85211742</v>
      </c>
      <c r="M67" s="18" t="n">
        <v>0</v>
      </c>
      <c r="N67" s="20" t="n">
        <v>0</v>
      </c>
      <c r="O67" s="18" t="n">
        <v>0</v>
      </c>
      <c r="P67" s="20" t="n">
        <v>0</v>
      </c>
      <c r="Q67" s="18" t="n">
        <v>3.22194738</v>
      </c>
      <c r="R67" s="20" t="n">
        <v>0.94102244</v>
      </c>
    </row>
    <row r="68" spans="1:18">
      <c r="A68" s="15" t="s">
        <v>492</v>
      </c>
      <c r="B68" s="17" t="n">
        <v>6049</v>
      </c>
      <c r="C68" s="18">
        <f>(5054.0/B68*100)</f>
        <v/>
      </c>
      <c r="D68" s="19" t="n">
        <v>995</v>
      </c>
      <c r="E68" s="18" t="n">
        <v>55.49699296</v>
      </c>
      <c r="F68" s="20" t="n">
        <v>1.53041964</v>
      </c>
      <c r="G68" s="18" t="n">
        <v>28.14195389</v>
      </c>
      <c r="H68" s="20" t="n">
        <v>1.48241665</v>
      </c>
      <c r="I68" s="18" t="s">
        <v>431</v>
      </c>
      <c r="J68" s="20" t="s">
        <v>431</v>
      </c>
      <c r="K68" s="18" t="n">
        <v>15.14220152</v>
      </c>
      <c r="L68" s="20" t="n">
        <v>1.10609948</v>
      </c>
      <c r="M68" s="18" t="n">
        <v>0</v>
      </c>
      <c r="N68" s="20" t="n">
        <v>0</v>
      </c>
      <c r="O68" s="18" t="n">
        <v>0</v>
      </c>
      <c r="P68" s="20" t="n">
        <v>0</v>
      </c>
      <c r="Q68" s="18" t="n">
        <v>1.21885163</v>
      </c>
      <c r="R68" s="20" t="n">
        <v>0.29720271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(2619.0/B70*100)</f>
        <v/>
      </c>
      <c r="D70" s="19" t="n">
        <v>310</v>
      </c>
      <c r="E70" s="18" t="n">
        <v>73.96696099</v>
      </c>
      <c r="F70" s="20" t="n">
        <v>2.74406318</v>
      </c>
      <c r="G70" s="18" t="n">
        <v>20.66667514</v>
      </c>
      <c r="H70" s="20" t="n">
        <v>2.52884698</v>
      </c>
      <c r="I70" s="18" t="s">
        <v>431</v>
      </c>
      <c r="J70" s="20" t="s">
        <v>431</v>
      </c>
      <c r="K70" s="18" t="n">
        <v>3.21424678</v>
      </c>
      <c r="L70" s="20" t="n">
        <v>0.90152541</v>
      </c>
      <c r="M70" s="18" t="n">
        <v>0</v>
      </c>
      <c r="N70" s="20" t="n">
        <v>0</v>
      </c>
      <c r="O70" s="18" t="n">
        <v>0</v>
      </c>
      <c r="P70" s="20" t="n">
        <v>0</v>
      </c>
      <c r="Q70" s="18" t="n">
        <v>2.15211709</v>
      </c>
      <c r="R70" s="20" t="n">
        <v>0.85808432</v>
      </c>
    </row>
    <row r="71" spans="1:18">
      <c r="A71" s="15" t="s">
        <v>495</v>
      </c>
      <c r="B71" s="17" t="n">
        <v>3142</v>
      </c>
      <c r="C71" s="18">
        <f>(2761.0/B71*100)</f>
        <v/>
      </c>
      <c r="D71" s="19" t="n">
        <v>381</v>
      </c>
      <c r="E71" s="18" t="n">
        <v>52.53465682</v>
      </c>
      <c r="F71" s="20" t="n">
        <v>2.7179321</v>
      </c>
      <c r="G71" s="18" t="n">
        <v>45.51728114</v>
      </c>
      <c r="H71" s="20" t="n">
        <v>2.66934071</v>
      </c>
      <c r="I71" s="18" t="s">
        <v>431</v>
      </c>
      <c r="J71" s="20" t="s">
        <v>431</v>
      </c>
      <c r="K71" s="18" t="n">
        <v>1.94806203</v>
      </c>
      <c r="L71" s="20" t="n">
        <v>0.69498149</v>
      </c>
      <c r="M71" s="18" t="n">
        <v>0</v>
      </c>
      <c r="N71" s="20" t="n">
        <v>0</v>
      </c>
      <c r="O71" s="18" t="n">
        <v>0</v>
      </c>
      <c r="P71" s="20" t="n">
        <v>0</v>
      </c>
      <c r="Q71" s="18" t="n">
        <v>0</v>
      </c>
      <c r="R71" s="20" t="n">
        <v>0</v>
      </c>
    </row>
    <row r="72" spans="1:18">
      <c r="A72" s="15" t="s">
        <v>496</v>
      </c>
      <c r="B72" s="17" t="n">
        <v>3889</v>
      </c>
      <c r="C72" s="18">
        <f>(3396.0/B72*100)</f>
        <v/>
      </c>
      <c r="D72" s="19" t="n">
        <v>493</v>
      </c>
      <c r="E72" s="18" t="n">
        <v>58.04438041</v>
      </c>
      <c r="F72" s="20" t="n">
        <v>2.33525228</v>
      </c>
      <c r="G72" s="18" t="n">
        <v>39.16249927</v>
      </c>
      <c r="H72" s="20" t="n">
        <v>2.48587695</v>
      </c>
      <c r="I72" s="18" t="s">
        <v>431</v>
      </c>
      <c r="J72" s="20" t="s">
        <v>431</v>
      </c>
      <c r="K72" s="18" t="n">
        <v>1.08136945</v>
      </c>
      <c r="L72" s="20" t="n">
        <v>0.34104184</v>
      </c>
      <c r="M72" s="18" t="n">
        <v>0</v>
      </c>
      <c r="N72" s="20" t="n">
        <v>0</v>
      </c>
      <c r="O72" s="18" t="n">
        <v>0</v>
      </c>
      <c r="P72" s="20" t="n">
        <v>0</v>
      </c>
      <c r="Q72" s="18" t="n">
        <v>1.71175087</v>
      </c>
      <c r="R72" s="20" t="n">
        <v>0.76306917</v>
      </c>
    </row>
    <row r="73" spans="1:18">
      <c r="A73" s="15" t="s">
        <v>497</v>
      </c>
      <c r="B73" s="17" t="n">
        <v>3597</v>
      </c>
      <c r="C73" s="18">
        <f>(3193.0/B73*100)</f>
        <v/>
      </c>
      <c r="D73" s="19" t="n">
        <v>404</v>
      </c>
      <c r="E73" s="18" t="n">
        <v>50.15393789</v>
      </c>
      <c r="F73" s="20" t="n">
        <v>3.02898161</v>
      </c>
      <c r="G73" s="18" t="n">
        <v>48.94452328</v>
      </c>
      <c r="H73" s="20" t="n">
        <v>3.04499444</v>
      </c>
      <c r="I73" s="18" t="s">
        <v>431</v>
      </c>
      <c r="J73" s="20" t="s">
        <v>431</v>
      </c>
      <c r="K73" s="18" t="n">
        <v>0.19650871</v>
      </c>
      <c r="L73" s="20" t="n">
        <v>0.1597021</v>
      </c>
      <c r="M73" s="18" t="n">
        <v>0</v>
      </c>
      <c r="N73" s="20" t="n">
        <v>0</v>
      </c>
      <c r="O73" s="18" t="n">
        <v>0</v>
      </c>
      <c r="P73" s="20" t="n">
        <v>0</v>
      </c>
      <c r="Q73" s="18" t="n">
        <v>0.70503012</v>
      </c>
      <c r="R73" s="20" t="n">
        <v>0.42169345</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(2158.0/B75*100)</f>
        <v/>
      </c>
      <c r="D75" s="19" t="n">
        <v>248</v>
      </c>
      <c r="E75" s="18" t="n">
        <v>49.9940897</v>
      </c>
      <c r="F75" s="20" t="n">
        <v>3.32963938</v>
      </c>
      <c r="G75" s="18" t="n">
        <v>37.58114106</v>
      </c>
      <c r="H75" s="20" t="n">
        <v>3.32649935</v>
      </c>
      <c r="I75" s="18" t="s">
        <v>431</v>
      </c>
      <c r="J75" s="20" t="s">
        <v>431</v>
      </c>
      <c r="K75" s="18" t="n">
        <v>9.555385769999999</v>
      </c>
      <c r="L75" s="20" t="n">
        <v>1.59406809</v>
      </c>
      <c r="M75" s="18" t="n">
        <v>0</v>
      </c>
      <c r="N75" s="20" t="n">
        <v>0</v>
      </c>
      <c r="O75" s="18" t="n">
        <v>0</v>
      </c>
      <c r="P75" s="20" t="n">
        <v>0</v>
      </c>
      <c r="Q75" s="18" t="n">
        <v>2.86938347</v>
      </c>
      <c r="R75" s="20" t="n">
        <v>0.94855063</v>
      </c>
    </row>
    <row r="76" spans="1:18">
      <c r="A76" s="15" t="s">
        <v>500</v>
      </c>
      <c r="B76" s="17" t="n">
        <v>7052</v>
      </c>
      <c r="C76" s="18">
        <f>(6224.0/B76*100)</f>
        <v/>
      </c>
      <c r="D76" s="19" t="n">
        <v>828</v>
      </c>
      <c r="E76" s="18" t="n">
        <v>62.0518891</v>
      </c>
      <c r="F76" s="20" t="n">
        <v>2.3114214</v>
      </c>
      <c r="G76" s="18" t="n">
        <v>32.44496968</v>
      </c>
      <c r="H76" s="20" t="n">
        <v>2.33460788</v>
      </c>
      <c r="I76" s="18" t="s">
        <v>431</v>
      </c>
      <c r="J76" s="20" t="s">
        <v>431</v>
      </c>
      <c r="K76" s="18" t="n">
        <v>3.96504075</v>
      </c>
      <c r="L76" s="20" t="n">
        <v>0.77025043</v>
      </c>
      <c r="M76" s="18" t="n">
        <v>0</v>
      </c>
      <c r="N76" s="20" t="n">
        <v>0</v>
      </c>
      <c r="O76" s="18" t="n">
        <v>0</v>
      </c>
      <c r="P76" s="20" t="n">
        <v>0</v>
      </c>
      <c r="Q76" s="18" t="n">
        <v>1.53810047</v>
      </c>
      <c r="R76" s="20" t="n">
        <v>0.5386709</v>
      </c>
    </row>
    <row r="77" spans="1:18">
      <c r="A77" s="15" t="s">
        <v>501</v>
      </c>
      <c r="B77" s="17" t="n">
        <v>2908</v>
      </c>
      <c r="C77" s="18">
        <f>(2567.0/B77*100)</f>
        <v/>
      </c>
      <c r="D77" s="19" t="n">
        <v>341</v>
      </c>
      <c r="E77" s="18" t="n">
        <v>55.35915789</v>
      </c>
      <c r="F77" s="20" t="n">
        <v>2.71760569</v>
      </c>
      <c r="G77" s="18" t="n">
        <v>27.81378991</v>
      </c>
      <c r="H77" s="20" t="n">
        <v>2.64228451</v>
      </c>
      <c r="I77" s="18" t="s">
        <v>431</v>
      </c>
      <c r="J77" s="20" t="s">
        <v>431</v>
      </c>
      <c r="K77" s="18" t="n">
        <v>12.91818581</v>
      </c>
      <c r="L77" s="20" t="n">
        <v>2.01919129</v>
      </c>
      <c r="M77" s="18" t="n">
        <v>0</v>
      </c>
      <c r="N77" s="20" t="n">
        <v>0</v>
      </c>
      <c r="O77" s="18" t="n">
        <v>0</v>
      </c>
      <c r="P77" s="20" t="n">
        <v>0</v>
      </c>
      <c r="Q77" s="18" t="n">
        <v>3.90886639</v>
      </c>
      <c r="R77" s="20" t="n">
        <v>1.13061883</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(3670.0/B81*100)</f>
        <v/>
      </c>
      <c r="D81" s="19" t="n">
        <v>493</v>
      </c>
      <c r="E81" s="18" t="n">
        <v>65.22818895</v>
      </c>
      <c r="F81" s="20" t="n">
        <v>2.26144231</v>
      </c>
      <c r="G81" s="18" t="n">
        <v>32.9761676</v>
      </c>
      <c r="H81" s="20" t="n">
        <v>2.23743782</v>
      </c>
      <c r="I81" s="18" t="s">
        <v>431</v>
      </c>
      <c r="J81" s="20" t="s">
        <v>431</v>
      </c>
      <c r="K81" s="18" t="n">
        <v>1.42813124</v>
      </c>
      <c r="L81" s="20" t="n">
        <v>0.96259277</v>
      </c>
      <c r="M81" s="18" t="n">
        <v>0</v>
      </c>
      <c r="N81" s="20" t="n">
        <v>0</v>
      </c>
      <c r="O81" s="18" t="n">
        <v>0</v>
      </c>
      <c r="P81" s="20" t="n">
        <v>0</v>
      </c>
      <c r="Q81" s="18" t="n">
        <v>0.36751221</v>
      </c>
      <c r="R81" s="20" t="n">
        <v>0.37905565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552</v>
      </c>
    </row>
    <row customHeight="1" ht="30" r="4" spans="1:20">
      <c r="A4" s="6" t="n"/>
      <c r="B4" s="7" t="s">
        <v>415</v>
      </c>
      <c r="C4" s="7" t="s">
        <v>416</v>
      </c>
      <c r="D4" s="8" t="s">
        <v>415</v>
      </c>
      <c r="E4" s="9" t="s">
        <v>523</v>
      </c>
      <c r="F4" s="10" t="n"/>
      <c r="G4" s="9" t="s">
        <v>539</v>
      </c>
      <c r="H4" s="10" t="n"/>
      <c r="I4" s="9" t="s">
        <v>524</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(6530.0/B7*100)</f>
        <v/>
      </c>
      <c r="D7" s="19" t="n">
        <v>837</v>
      </c>
      <c r="E7" s="18" t="n">
        <v>71.01490093</v>
      </c>
      <c r="F7" s="20" t="n">
        <v>1.91642968</v>
      </c>
      <c r="G7" s="18" t="n">
        <v>18.69628526</v>
      </c>
      <c r="H7" s="20" t="n">
        <v>1.50672965</v>
      </c>
      <c r="I7" s="18" t="n">
        <v>1.48698278</v>
      </c>
      <c r="J7" s="20" t="n">
        <v>0.53972034</v>
      </c>
      <c r="K7" s="18" t="s">
        <v>431</v>
      </c>
      <c r="L7" s="20" t="s">
        <v>431</v>
      </c>
      <c r="M7" s="18" t="n">
        <v>8.80183104</v>
      </c>
      <c r="N7" s="20" t="n">
        <v>1.12038383</v>
      </c>
      <c r="O7" s="18" t="n">
        <v>0</v>
      </c>
      <c r="P7" s="20" t="n">
        <v>0</v>
      </c>
      <c r="Q7" s="18" t="n">
        <v>0</v>
      </c>
      <c r="R7" s="20" t="n">
        <v>0</v>
      </c>
      <c r="S7" s="18" t="n">
        <v>0</v>
      </c>
      <c r="T7" s="20" t="n">
        <v>0</v>
      </c>
    </row>
    <row r="8" spans="1:20">
      <c r="A8" s="15" t="s">
        <v>432</v>
      </c>
      <c r="B8" s="17" t="n">
        <v>3564</v>
      </c>
      <c r="C8" s="18">
        <f>(3160.0/B8*100)</f>
        <v/>
      </c>
      <c r="D8" s="19" t="n">
        <v>404</v>
      </c>
      <c r="E8" s="18" t="n">
        <v>70.0709533</v>
      </c>
      <c r="F8" s="20" t="n">
        <v>2.72256063</v>
      </c>
      <c r="G8" s="18" t="n">
        <v>21.57300427</v>
      </c>
      <c r="H8" s="20" t="n">
        <v>2.06643662</v>
      </c>
      <c r="I8" s="18" t="n">
        <v>0.72824332</v>
      </c>
      <c r="J8" s="20" t="n">
        <v>0.46144163</v>
      </c>
      <c r="K8" s="18" t="s">
        <v>431</v>
      </c>
      <c r="L8" s="20" t="s">
        <v>431</v>
      </c>
      <c r="M8" s="18" t="n">
        <v>7.62779911</v>
      </c>
      <c r="N8" s="20" t="n">
        <v>1.42578736</v>
      </c>
      <c r="O8" s="18" t="n">
        <v>0</v>
      </c>
      <c r="P8" s="20" t="n">
        <v>0</v>
      </c>
      <c r="Q8" s="18" t="n">
        <v>0</v>
      </c>
      <c r="R8" s="20" t="n">
        <v>0</v>
      </c>
      <c r="S8" s="18" t="n">
        <v>0</v>
      </c>
      <c r="T8" s="20" t="n">
        <v>0</v>
      </c>
    </row>
    <row r="9" spans="1:20">
      <c r="A9" s="15" t="s">
        <v>433</v>
      </c>
      <c r="B9" s="17" t="n">
        <v>4899</v>
      </c>
      <c r="C9" s="18">
        <f>(4344.0/B9*100)</f>
        <v/>
      </c>
      <c r="D9" s="19" t="n">
        <v>555</v>
      </c>
      <c r="E9" s="18" t="n">
        <v>73.55385115999999</v>
      </c>
      <c r="F9" s="20" t="n">
        <v>2.08399057</v>
      </c>
      <c r="G9" s="18" t="n">
        <v>20.37630302</v>
      </c>
      <c r="H9" s="20" t="n">
        <v>1.91449338</v>
      </c>
      <c r="I9" s="18" t="n">
        <v>0.64570224</v>
      </c>
      <c r="J9" s="20" t="n">
        <v>0.3335909</v>
      </c>
      <c r="K9" s="18" t="s">
        <v>431</v>
      </c>
      <c r="L9" s="20" t="s">
        <v>431</v>
      </c>
      <c r="M9" s="18" t="n">
        <v>5.42414358</v>
      </c>
      <c r="N9" s="20" t="n">
        <v>1.07335099</v>
      </c>
      <c r="O9" s="18" t="n">
        <v>0</v>
      </c>
      <c r="P9" s="20" t="n">
        <v>0</v>
      </c>
      <c r="Q9" s="18" t="n">
        <v>0</v>
      </c>
      <c r="R9" s="20" t="n">
        <v>0</v>
      </c>
      <c r="S9" s="18" t="n">
        <v>0</v>
      </c>
      <c r="T9" s="20" t="n">
        <v>0</v>
      </c>
    </row>
    <row r="10" spans="1:20">
      <c r="A10" s="15" t="s">
        <v>434</v>
      </c>
      <c r="B10" s="17" t="n">
        <v>10036</v>
      </c>
      <c r="C10" s="18">
        <f>(8838.0/B10*100)</f>
        <v/>
      </c>
      <c r="D10" s="19" t="n">
        <v>1198</v>
      </c>
      <c r="E10" s="18" t="n">
        <v>68.48254939</v>
      </c>
      <c r="F10" s="20" t="n">
        <v>1.55267917</v>
      </c>
      <c r="G10" s="18" t="n">
        <v>21.84051291</v>
      </c>
      <c r="H10" s="20" t="n">
        <v>1.65152769</v>
      </c>
      <c r="I10" s="18" t="n">
        <v>3.28587097</v>
      </c>
      <c r="J10" s="20" t="n">
        <v>0.88263054</v>
      </c>
      <c r="K10" s="18" t="s">
        <v>431</v>
      </c>
      <c r="L10" s="20" t="s">
        <v>431</v>
      </c>
      <c r="M10" s="18" t="n">
        <v>6.39106672</v>
      </c>
      <c r="N10" s="20" t="n">
        <v>1.04743607</v>
      </c>
      <c r="O10" s="18" t="n">
        <v>0</v>
      </c>
      <c r="P10" s="20" t="n">
        <v>0</v>
      </c>
      <c r="Q10" s="18" t="n">
        <v>0</v>
      </c>
      <c r="R10" s="20" t="n">
        <v>0</v>
      </c>
      <c r="S10" s="18" t="n">
        <v>0</v>
      </c>
      <c r="T10" s="20" t="n">
        <v>0</v>
      </c>
    </row>
    <row r="11" spans="1:20">
      <c r="A11" s="15" t="s">
        <v>435</v>
      </c>
      <c r="B11" s="17" t="n">
        <v>3553</v>
      </c>
      <c r="C11" s="18">
        <f>(3121.0/B11*100)</f>
        <v/>
      </c>
      <c r="D11" s="19" t="n">
        <v>432</v>
      </c>
      <c r="E11" s="18" t="n">
        <v>71.79273302</v>
      </c>
      <c r="F11" s="20" t="n">
        <v>2.90064557</v>
      </c>
      <c r="G11" s="18" t="n">
        <v>14.05065312</v>
      </c>
      <c r="H11" s="20" t="n">
        <v>1.86834769</v>
      </c>
      <c r="I11" s="18" t="n">
        <v>1.38646223</v>
      </c>
      <c r="J11" s="20" t="n">
        <v>0.54306005</v>
      </c>
      <c r="K11" s="18" t="s">
        <v>431</v>
      </c>
      <c r="L11" s="20" t="s">
        <v>431</v>
      </c>
      <c r="M11" s="18" t="n">
        <v>12.77015162</v>
      </c>
      <c r="N11" s="20" t="n">
        <v>1.93287979</v>
      </c>
      <c r="O11" s="18" t="n">
        <v>0</v>
      </c>
      <c r="P11" s="20" t="n">
        <v>0</v>
      </c>
      <c r="Q11" s="18" t="n">
        <v>0</v>
      </c>
      <c r="R11" s="20" t="n">
        <v>0</v>
      </c>
      <c r="S11" s="18" t="n">
        <v>0</v>
      </c>
      <c r="T11" s="20" t="n">
        <v>0</v>
      </c>
    </row>
    <row r="12" spans="1:20">
      <c r="A12" s="15" t="s">
        <v>436</v>
      </c>
      <c r="B12" s="17" t="n">
        <v>3472</v>
      </c>
      <c r="C12" s="18">
        <f>(3052.0/B12*100)</f>
        <v/>
      </c>
      <c r="D12" s="19" t="n">
        <v>420</v>
      </c>
      <c r="E12" s="18" t="n">
        <v>69.85609225</v>
      </c>
      <c r="F12" s="20" t="n">
        <v>2.20559797</v>
      </c>
      <c r="G12" s="18" t="n">
        <v>17.49692442</v>
      </c>
      <c r="H12" s="20" t="n">
        <v>2.02478542</v>
      </c>
      <c r="I12" s="18" t="n">
        <v>4.28714188</v>
      </c>
      <c r="J12" s="20" t="n">
        <v>1.00069111</v>
      </c>
      <c r="K12" s="18" t="s">
        <v>431</v>
      </c>
      <c r="L12" s="20" t="s">
        <v>431</v>
      </c>
      <c r="M12" s="18" t="n">
        <v>8.359841449999999</v>
      </c>
      <c r="N12" s="20" t="n">
        <v>1.76369578</v>
      </c>
      <c r="O12" s="18" t="n">
        <v>0</v>
      </c>
      <c r="P12" s="20" t="n">
        <v>0</v>
      </c>
      <c r="Q12" s="18" t="n">
        <v>0</v>
      </c>
      <c r="R12" s="20" t="n">
        <v>0</v>
      </c>
      <c r="S12" s="18" t="n">
        <v>0</v>
      </c>
      <c r="T12" s="20" t="n">
        <v>0</v>
      </c>
    </row>
    <row r="13" spans="1:20">
      <c r="A13" s="15" t="s">
        <v>437</v>
      </c>
      <c r="B13" s="17" t="n">
        <v>3559</v>
      </c>
      <c r="C13" s="18">
        <f>(3156.0/B13*100)</f>
        <v/>
      </c>
      <c r="D13" s="19" t="n">
        <v>403</v>
      </c>
      <c r="E13" s="18" t="n">
        <v>74.76689881999999</v>
      </c>
      <c r="F13" s="20" t="n">
        <v>2.61740781</v>
      </c>
      <c r="G13" s="18" t="n">
        <v>18.4347012</v>
      </c>
      <c r="H13" s="20" t="n">
        <v>2.62487906</v>
      </c>
      <c r="I13" s="18" t="n">
        <v>0.76041747</v>
      </c>
      <c r="J13" s="20" t="n">
        <v>0.4069665</v>
      </c>
      <c r="K13" s="18" t="s">
        <v>431</v>
      </c>
      <c r="L13" s="20" t="s">
        <v>431</v>
      </c>
      <c r="M13" s="18" t="n">
        <v>6.03798251</v>
      </c>
      <c r="N13" s="20" t="n">
        <v>1.49452783</v>
      </c>
      <c r="O13" s="18" t="n">
        <v>0</v>
      </c>
      <c r="P13" s="20" t="n">
        <v>0</v>
      </c>
      <c r="Q13" s="18" t="n">
        <v>0</v>
      </c>
      <c r="R13" s="20" t="n">
        <v>0</v>
      </c>
      <c r="S13" s="18" t="n">
        <v>0</v>
      </c>
      <c r="T13" s="20" t="n">
        <v>0</v>
      </c>
    </row>
    <row r="14" spans="1:20">
      <c r="A14" s="15" t="s">
        <v>438</v>
      </c>
      <c r="B14" s="17" t="n">
        <v>2799</v>
      </c>
      <c r="C14" s="18">
        <f>(2469.0/B14*100)</f>
        <v/>
      </c>
      <c r="D14" s="19" t="n">
        <v>330</v>
      </c>
      <c r="E14" s="18" t="n">
        <v>74.38236894000001</v>
      </c>
      <c r="F14" s="20" t="n">
        <v>2.83724612</v>
      </c>
      <c r="G14" s="18" t="n">
        <v>19.96143543</v>
      </c>
      <c r="H14" s="20" t="n">
        <v>2.55971746</v>
      </c>
      <c r="I14" s="18" t="n">
        <v>2.29285247</v>
      </c>
      <c r="J14" s="20" t="n">
        <v>0.83215915</v>
      </c>
      <c r="K14" s="18" t="s">
        <v>431</v>
      </c>
      <c r="L14" s="20" t="s">
        <v>431</v>
      </c>
      <c r="M14" s="18" t="n">
        <v>3.36334316</v>
      </c>
      <c r="N14" s="20" t="n">
        <v>1.09200961</v>
      </c>
      <c r="O14" s="18" t="n">
        <v>0</v>
      </c>
      <c r="P14" s="20" t="n">
        <v>0</v>
      </c>
      <c r="Q14" s="18" t="n">
        <v>0</v>
      </c>
      <c r="R14" s="20" t="n">
        <v>0</v>
      </c>
      <c r="S14" s="18" t="n">
        <v>0</v>
      </c>
      <c r="T14" s="20" t="n">
        <v>0</v>
      </c>
    </row>
    <row r="15" spans="1:20">
      <c r="A15" s="15" t="s">
        <v>439</v>
      </c>
      <c r="B15" s="17" t="n">
        <v>3019</v>
      </c>
      <c r="C15" s="18">
        <f>(2648.0/B15*100)</f>
        <v/>
      </c>
      <c r="D15" s="19" t="n">
        <v>371</v>
      </c>
      <c r="E15" s="18" t="n">
        <v>74.63988831</v>
      </c>
      <c r="F15" s="20" t="n">
        <v>2.1511435</v>
      </c>
      <c r="G15" s="18" t="n">
        <v>16.87687767</v>
      </c>
      <c r="H15" s="20" t="n">
        <v>1.87414591</v>
      </c>
      <c r="I15" s="18" t="n">
        <v>2.69206274</v>
      </c>
      <c r="J15" s="20" t="n">
        <v>0.88812842</v>
      </c>
      <c r="K15" s="18" t="s">
        <v>431</v>
      </c>
      <c r="L15" s="20" t="s">
        <v>431</v>
      </c>
      <c r="M15" s="18" t="n">
        <v>5.79117128</v>
      </c>
      <c r="N15" s="20" t="n">
        <v>1.15334116</v>
      </c>
      <c r="O15" s="18" t="n">
        <v>0</v>
      </c>
      <c r="P15" s="20" t="n">
        <v>0</v>
      </c>
      <c r="Q15" s="18" t="n">
        <v>0</v>
      </c>
      <c r="R15" s="20" t="n">
        <v>0</v>
      </c>
      <c r="S15" s="18" t="n">
        <v>0</v>
      </c>
      <c r="T15" s="20" t="n">
        <v>0</v>
      </c>
    </row>
    <row r="16" spans="1:20">
      <c r="A16" s="15" t="s">
        <v>440</v>
      </c>
      <c r="B16" s="17" t="n">
        <v>2997</v>
      </c>
      <c r="C16" s="18">
        <f>(2630.0/B16*100)</f>
        <v/>
      </c>
      <c r="D16" s="19" t="n">
        <v>367</v>
      </c>
      <c r="E16" s="18" t="n">
        <v>72.38518947</v>
      </c>
      <c r="F16" s="20" t="n">
        <v>2.30963138</v>
      </c>
      <c r="G16" s="18" t="n">
        <v>17.03343325</v>
      </c>
      <c r="H16" s="20" t="n">
        <v>1.78122066</v>
      </c>
      <c r="I16" s="18" t="n">
        <v>1.04176614</v>
      </c>
      <c r="J16" s="20" t="n">
        <v>0.35876678</v>
      </c>
      <c r="K16" s="18" t="s">
        <v>431</v>
      </c>
      <c r="L16" s="20" t="s">
        <v>431</v>
      </c>
      <c r="M16" s="18" t="n">
        <v>9.539611130000001</v>
      </c>
      <c r="N16" s="20" t="n">
        <v>1.55418147</v>
      </c>
      <c r="O16" s="18" t="n">
        <v>0</v>
      </c>
      <c r="P16" s="20" t="n">
        <v>0</v>
      </c>
      <c r="Q16" s="18" t="n">
        <v>0</v>
      </c>
      <c r="R16" s="20" t="n">
        <v>0</v>
      </c>
      <c r="S16" s="18" t="n">
        <v>0</v>
      </c>
      <c r="T16" s="20" t="n">
        <v>0</v>
      </c>
    </row>
    <row r="17" spans="1:20">
      <c r="A17" s="15" t="s">
        <v>441</v>
      </c>
      <c r="B17" s="17" t="n">
        <v>3307</v>
      </c>
      <c r="C17" s="18">
        <f>(2927.0/B17*100)</f>
        <v/>
      </c>
      <c r="D17" s="19" t="n">
        <v>380</v>
      </c>
      <c r="E17" s="18" t="n">
        <v>60.43229417</v>
      </c>
      <c r="F17" s="20" t="n">
        <v>3.30971822</v>
      </c>
      <c r="G17" s="18" t="n">
        <v>31.77413048</v>
      </c>
      <c r="H17" s="20" t="n">
        <v>3.28269242</v>
      </c>
      <c r="I17" s="18" t="n">
        <v>1.37380512</v>
      </c>
      <c r="J17" s="20" t="n">
        <v>0.70204654</v>
      </c>
      <c r="K17" s="18" t="s">
        <v>431</v>
      </c>
      <c r="L17" s="20" t="s">
        <v>431</v>
      </c>
      <c r="M17" s="18" t="n">
        <v>6.41977023</v>
      </c>
      <c r="N17" s="20" t="n">
        <v>1.46066961</v>
      </c>
      <c r="O17" s="18" t="n">
        <v>0</v>
      </c>
      <c r="P17" s="20" t="n">
        <v>0</v>
      </c>
      <c r="Q17" s="18" t="n">
        <v>0</v>
      </c>
      <c r="R17" s="20" t="n">
        <v>0</v>
      </c>
      <c r="S17" s="18" t="n">
        <v>0</v>
      </c>
      <c r="T17" s="20" t="n">
        <v>0</v>
      </c>
    </row>
    <row r="18" spans="1:20">
      <c r="A18" s="15" t="s">
        <v>442</v>
      </c>
      <c r="B18" s="17" t="n">
        <v>2826</v>
      </c>
      <c r="C18" s="18">
        <f>(2504.0/B18*100)</f>
        <v/>
      </c>
      <c r="D18" s="19" t="n">
        <v>322</v>
      </c>
      <c r="E18" s="18" t="n">
        <v>79.65863822</v>
      </c>
      <c r="F18" s="20" t="n">
        <v>2.53181087</v>
      </c>
      <c r="G18" s="18" t="n">
        <v>10.0989447</v>
      </c>
      <c r="H18" s="20" t="n">
        <v>1.62548316</v>
      </c>
      <c r="I18" s="18" t="n">
        <v>0.82892092</v>
      </c>
      <c r="J18" s="20" t="n">
        <v>0.30459135</v>
      </c>
      <c r="K18" s="18" t="s">
        <v>431</v>
      </c>
      <c r="L18" s="20" t="s">
        <v>431</v>
      </c>
      <c r="M18" s="18" t="n">
        <v>9.413496159999999</v>
      </c>
      <c r="N18" s="20" t="n">
        <v>1.88857856</v>
      </c>
      <c r="O18" s="18" t="n">
        <v>0</v>
      </c>
      <c r="P18" s="20" t="n">
        <v>0</v>
      </c>
      <c r="Q18" s="18" t="n">
        <v>0</v>
      </c>
      <c r="R18" s="20" t="n">
        <v>0</v>
      </c>
      <c r="S18" s="18" t="n">
        <v>0</v>
      </c>
      <c r="T18" s="20" t="n">
        <v>0</v>
      </c>
    </row>
    <row r="19" spans="1:20">
      <c r="A19" s="15" t="s">
        <v>443</v>
      </c>
      <c r="B19" s="17" t="n">
        <v>2808</v>
      </c>
      <c r="C19" s="18">
        <f>(2483.0/B19*100)</f>
        <v/>
      </c>
      <c r="D19" s="19" t="n">
        <v>325</v>
      </c>
      <c r="E19" s="18" t="n">
        <v>77.36523997</v>
      </c>
      <c r="F19" s="20" t="n">
        <v>2.2056321</v>
      </c>
      <c r="G19" s="18" t="n">
        <v>15.16186047</v>
      </c>
      <c r="H19" s="20" t="n">
        <v>1.84423485</v>
      </c>
      <c r="I19" s="18" t="n">
        <v>0.2795323</v>
      </c>
      <c r="J19" s="20" t="n">
        <v>0.26206321</v>
      </c>
      <c r="K19" s="18" t="s">
        <v>431</v>
      </c>
      <c r="L19" s="20" t="s">
        <v>431</v>
      </c>
      <c r="M19" s="18" t="n">
        <v>7.19336726</v>
      </c>
      <c r="N19" s="20" t="n">
        <v>1.69979977</v>
      </c>
      <c r="O19" s="18" t="n">
        <v>0</v>
      </c>
      <c r="P19" s="20" t="n">
        <v>0</v>
      </c>
      <c r="Q19" s="18" t="n">
        <v>0</v>
      </c>
      <c r="R19" s="20" t="n">
        <v>0</v>
      </c>
      <c r="S19" s="18" t="n">
        <v>0</v>
      </c>
      <c r="T19" s="20" t="n">
        <v>0</v>
      </c>
    </row>
    <row r="20" spans="1:20">
      <c r="A20" s="15" t="s">
        <v>444</v>
      </c>
      <c r="B20" s="17" t="n">
        <v>1630</v>
      </c>
      <c r="C20" s="18">
        <f>(1428.0/B20*100)</f>
        <v/>
      </c>
      <c r="D20" s="19" t="n">
        <v>202</v>
      </c>
      <c r="E20" s="18" t="n">
        <v>72.59478437999999</v>
      </c>
      <c r="F20" s="20" t="n">
        <v>2.97794569</v>
      </c>
      <c r="G20" s="18" t="n">
        <v>19.20316455</v>
      </c>
      <c r="H20" s="20" t="n">
        <v>2.72573364</v>
      </c>
      <c r="I20" s="18" t="n">
        <v>1.38888924</v>
      </c>
      <c r="J20" s="20" t="n">
        <v>0.79225915</v>
      </c>
      <c r="K20" s="18" t="s">
        <v>431</v>
      </c>
      <c r="L20" s="20" t="s">
        <v>431</v>
      </c>
      <c r="M20" s="18" t="n">
        <v>6.81316183</v>
      </c>
      <c r="N20" s="20" t="n">
        <v>1.56662596</v>
      </c>
      <c r="O20" s="18" t="n">
        <v>0</v>
      </c>
      <c r="P20" s="20" t="n">
        <v>0</v>
      </c>
      <c r="Q20" s="18" t="n">
        <v>0</v>
      </c>
      <c r="R20" s="20" t="n">
        <v>0</v>
      </c>
      <c r="S20" s="18" t="n">
        <v>0</v>
      </c>
      <c r="T20" s="20" t="n">
        <v>0</v>
      </c>
    </row>
    <row r="21" spans="1:20">
      <c r="A21" s="15" t="s">
        <v>445</v>
      </c>
      <c r="B21" s="17" t="n">
        <v>2908</v>
      </c>
      <c r="C21" s="18">
        <f>(2451.0/B21*100)</f>
        <v/>
      </c>
      <c r="D21" s="19" t="n">
        <v>457</v>
      </c>
      <c r="E21" s="18" t="n">
        <v>69.95204441999999</v>
      </c>
      <c r="F21" s="20" t="n">
        <v>1.97304268</v>
      </c>
      <c r="G21" s="18" t="n">
        <v>21.00568065</v>
      </c>
      <c r="H21" s="20" t="n">
        <v>1.67730029</v>
      </c>
      <c r="I21" s="18" t="n">
        <v>0.93850564</v>
      </c>
      <c r="J21" s="20" t="n">
        <v>0.41362529</v>
      </c>
      <c r="K21" s="18" t="s">
        <v>431</v>
      </c>
      <c r="L21" s="20" t="s">
        <v>431</v>
      </c>
      <c r="M21" s="18" t="n">
        <v>8.10376928</v>
      </c>
      <c r="N21" s="20" t="n">
        <v>1.28451526</v>
      </c>
      <c r="O21" s="18" t="n">
        <v>0</v>
      </c>
      <c r="P21" s="20" t="n">
        <v>0</v>
      </c>
      <c r="Q21" s="18" t="n">
        <v>0</v>
      </c>
      <c r="R21" s="20" t="n">
        <v>0</v>
      </c>
      <c r="S21" s="18" t="n">
        <v>0</v>
      </c>
      <c r="T21" s="20" t="n">
        <v>0</v>
      </c>
    </row>
    <row r="22" spans="1:20">
      <c r="A22" s="15" t="s">
        <v>446</v>
      </c>
      <c r="B22" s="17" t="n">
        <v>2931</v>
      </c>
      <c r="C22" s="18">
        <f>(2571.0/B22*100)</f>
        <v/>
      </c>
      <c r="D22" s="19" t="n">
        <v>360</v>
      </c>
      <c r="E22" s="18" t="n">
        <v>73.21686346</v>
      </c>
      <c r="F22" s="20" t="n">
        <v>2.41045857</v>
      </c>
      <c r="G22" s="18" t="n">
        <v>17.94313865</v>
      </c>
      <c r="H22" s="20" t="n">
        <v>1.98138654</v>
      </c>
      <c r="I22" s="18" t="n">
        <v>1.25867767</v>
      </c>
      <c r="J22" s="20" t="n">
        <v>0.60141689</v>
      </c>
      <c r="K22" s="18" t="s">
        <v>431</v>
      </c>
      <c r="L22" s="20" t="s">
        <v>431</v>
      </c>
      <c r="M22" s="18" t="n">
        <v>7.58132022</v>
      </c>
      <c r="N22" s="20" t="n">
        <v>1.34786384</v>
      </c>
      <c r="O22" s="18" t="n">
        <v>0</v>
      </c>
      <c r="P22" s="20" t="n">
        <v>0</v>
      </c>
      <c r="Q22" s="18" t="n">
        <v>0</v>
      </c>
      <c r="R22" s="20" t="n">
        <v>0</v>
      </c>
      <c r="S22" s="18" t="n">
        <v>0</v>
      </c>
      <c r="T22" s="20" t="n">
        <v>0</v>
      </c>
    </row>
    <row r="23" spans="1:20">
      <c r="A23" s="15" t="s">
        <v>447</v>
      </c>
      <c r="B23" s="17" t="n">
        <v>5791</v>
      </c>
      <c r="C23" s="18">
        <f>(5079.0/B23*100)</f>
        <v/>
      </c>
      <c r="D23" s="19" t="n">
        <v>712</v>
      </c>
      <c r="E23" s="18" t="n">
        <v>74.5816638</v>
      </c>
      <c r="F23" s="20" t="n">
        <v>2.07226528</v>
      </c>
      <c r="G23" s="18" t="n">
        <v>13.46336894</v>
      </c>
      <c r="H23" s="20" t="n">
        <v>1.31154048</v>
      </c>
      <c r="I23" s="18" t="n">
        <v>2.64805391</v>
      </c>
      <c r="J23" s="20" t="n">
        <v>0.8491487599999999</v>
      </c>
      <c r="K23" s="18" t="s">
        <v>431</v>
      </c>
      <c r="L23" s="20" t="s">
        <v>431</v>
      </c>
      <c r="M23" s="18" t="n">
        <v>9.306913359999999</v>
      </c>
      <c r="N23" s="20" t="n">
        <v>1.57564569</v>
      </c>
      <c r="O23" s="18" t="n">
        <v>0</v>
      </c>
      <c r="P23" s="20" t="n">
        <v>0</v>
      </c>
      <c r="Q23" s="18" t="n">
        <v>0</v>
      </c>
      <c r="R23" s="20" t="n">
        <v>0</v>
      </c>
      <c r="S23" s="18" t="n">
        <v>0</v>
      </c>
      <c r="T23" s="20" t="n">
        <v>0</v>
      </c>
    </row>
    <row r="24" spans="1:20">
      <c r="A24" s="15" t="s">
        <v>448</v>
      </c>
      <c r="B24" s="17" t="n">
        <v>3338</v>
      </c>
      <c r="C24" s="18">
        <f>(2964.0/B24*100)</f>
        <v/>
      </c>
      <c r="D24" s="19" t="n">
        <v>374</v>
      </c>
      <c r="E24" s="18" t="n">
        <v>72.82632288000001</v>
      </c>
      <c r="F24" s="20" t="n">
        <v>2.42406134</v>
      </c>
      <c r="G24" s="18" t="n">
        <v>9.9540971</v>
      </c>
      <c r="H24" s="20" t="n">
        <v>1.52046387</v>
      </c>
      <c r="I24" s="18" t="n">
        <v>3.1879877</v>
      </c>
      <c r="J24" s="20" t="n">
        <v>1.0162883</v>
      </c>
      <c r="K24" s="18" t="s">
        <v>431</v>
      </c>
      <c r="L24" s="20" t="s">
        <v>431</v>
      </c>
      <c r="M24" s="18" t="n">
        <v>14.03159232</v>
      </c>
      <c r="N24" s="20" t="n">
        <v>1.53589647</v>
      </c>
      <c r="O24" s="18" t="n">
        <v>0</v>
      </c>
      <c r="P24" s="20" t="n">
        <v>0</v>
      </c>
      <c r="Q24" s="18" t="n">
        <v>0</v>
      </c>
      <c r="R24" s="20" t="n">
        <v>0</v>
      </c>
      <c r="S24" s="18" t="n">
        <v>0</v>
      </c>
      <c r="T24" s="20" t="n">
        <v>0</v>
      </c>
    </row>
    <row r="25" spans="1:20">
      <c r="A25" s="15" t="s">
        <v>449</v>
      </c>
      <c r="B25" s="17" t="n">
        <v>2912</v>
      </c>
      <c r="C25" s="18">
        <f>(2567.0/B25*100)</f>
        <v/>
      </c>
      <c r="D25" s="19" t="n">
        <v>345</v>
      </c>
      <c r="E25" s="18" t="n">
        <v>62.9074159</v>
      </c>
      <c r="F25" s="20" t="n">
        <v>2.47046953</v>
      </c>
      <c r="G25" s="18" t="n">
        <v>22.13802771</v>
      </c>
      <c r="H25" s="20" t="n">
        <v>2.23367082</v>
      </c>
      <c r="I25" s="18" t="n">
        <v>7.51310058</v>
      </c>
      <c r="J25" s="20" t="n">
        <v>1.5827813</v>
      </c>
      <c r="K25" s="18" t="s">
        <v>431</v>
      </c>
      <c r="L25" s="20" t="s">
        <v>431</v>
      </c>
      <c r="M25" s="18" t="n">
        <v>7.44145581</v>
      </c>
      <c r="N25" s="20" t="n">
        <v>1.53743337</v>
      </c>
      <c r="O25" s="18" t="n">
        <v>0</v>
      </c>
      <c r="P25" s="20" t="n">
        <v>0</v>
      </c>
      <c r="Q25" s="18" t="n">
        <v>0</v>
      </c>
      <c r="R25" s="20" t="n">
        <v>0</v>
      </c>
      <c r="S25" s="18" t="n">
        <v>0</v>
      </c>
      <c r="T25" s="20" t="n">
        <v>0</v>
      </c>
    </row>
    <row r="26" spans="1:20">
      <c r="A26" s="15" t="s">
        <v>450</v>
      </c>
      <c r="B26" s="17" t="n">
        <v>2450</v>
      </c>
      <c r="C26" s="18">
        <f>(2163.0/B26*100)</f>
        <v/>
      </c>
      <c r="D26" s="19" t="n">
        <v>287</v>
      </c>
      <c r="E26" s="18" t="n">
        <v>83.05364562</v>
      </c>
      <c r="F26" s="20" t="n">
        <v>2.01993714</v>
      </c>
      <c r="G26" s="18" t="n">
        <v>11.24923906</v>
      </c>
      <c r="H26" s="20" t="n">
        <v>1.74961304</v>
      </c>
      <c r="I26" s="18" t="n">
        <v>0.27014475</v>
      </c>
      <c r="J26" s="20" t="n">
        <v>0.27877083</v>
      </c>
      <c r="K26" s="18" t="s">
        <v>431</v>
      </c>
      <c r="L26" s="20" t="s">
        <v>431</v>
      </c>
      <c r="M26" s="18" t="n">
        <v>5.42697057</v>
      </c>
      <c r="N26" s="20" t="n">
        <v>1.38190144</v>
      </c>
      <c r="O26" s="18" t="n">
        <v>0</v>
      </c>
      <c r="P26" s="20" t="n">
        <v>0</v>
      </c>
      <c r="Q26" s="18" t="n">
        <v>0</v>
      </c>
      <c r="R26" s="20" t="n">
        <v>0</v>
      </c>
      <c r="S26" s="18" t="n">
        <v>0</v>
      </c>
      <c r="T26" s="20" t="n">
        <v>0</v>
      </c>
    </row>
    <row r="27" spans="1:20">
      <c r="A27" s="15" t="s">
        <v>451</v>
      </c>
      <c r="B27" s="17" t="n">
        <v>2616</v>
      </c>
      <c r="C27" s="18">
        <f>(2312.0/B27*100)</f>
        <v/>
      </c>
      <c r="D27" s="19" t="n">
        <v>304</v>
      </c>
      <c r="E27" s="18" t="n">
        <v>72.91168238</v>
      </c>
      <c r="F27" s="20" t="n">
        <v>2.74197652</v>
      </c>
      <c r="G27" s="18" t="n">
        <v>22.46524905</v>
      </c>
      <c r="H27" s="20" t="n">
        <v>2.60002285</v>
      </c>
      <c r="I27" s="18" t="n">
        <v>0.3534701</v>
      </c>
      <c r="J27" s="20" t="n">
        <v>0.35640125</v>
      </c>
      <c r="K27" s="18" t="s">
        <v>431</v>
      </c>
      <c r="L27" s="20" t="s">
        <v>431</v>
      </c>
      <c r="M27" s="18" t="n">
        <v>4.26959847</v>
      </c>
      <c r="N27" s="20" t="n">
        <v>1.04484126</v>
      </c>
      <c r="O27" s="18" t="n">
        <v>0</v>
      </c>
      <c r="P27" s="20" t="n">
        <v>0</v>
      </c>
      <c r="Q27" s="18" t="n">
        <v>0</v>
      </c>
      <c r="R27" s="20" t="n">
        <v>0</v>
      </c>
      <c r="S27" s="18" t="n">
        <v>0</v>
      </c>
      <c r="T27" s="20" t="n">
        <v>0</v>
      </c>
    </row>
    <row r="28" spans="1:20">
      <c r="A28" s="15" t="s">
        <v>452</v>
      </c>
      <c r="B28" s="17" t="n">
        <v>3765</v>
      </c>
      <c r="C28" s="18">
        <f>(3387.0/B28*100)</f>
        <v/>
      </c>
      <c r="D28" s="19" t="n">
        <v>378</v>
      </c>
      <c r="E28" s="18" t="n">
        <v>86.45370739000001</v>
      </c>
      <c r="F28" s="20" t="n">
        <v>1.81788668</v>
      </c>
      <c r="G28" s="18" t="n">
        <v>7.61408896</v>
      </c>
      <c r="H28" s="20" t="n">
        <v>1.4389498</v>
      </c>
      <c r="I28" s="18" t="n">
        <v>0.89142701</v>
      </c>
      <c r="J28" s="20" t="n">
        <v>0.45810749</v>
      </c>
      <c r="K28" s="18" t="s">
        <v>431</v>
      </c>
      <c r="L28" s="20" t="s">
        <v>431</v>
      </c>
      <c r="M28" s="18" t="n">
        <v>5.04077663</v>
      </c>
      <c r="N28" s="20" t="n">
        <v>1.10443396</v>
      </c>
      <c r="O28" s="18" t="n">
        <v>0</v>
      </c>
      <c r="P28" s="20" t="n">
        <v>0</v>
      </c>
      <c r="Q28" s="18" t="n">
        <v>0</v>
      </c>
      <c r="R28" s="20" t="n">
        <v>0</v>
      </c>
      <c r="S28" s="18" t="n">
        <v>0</v>
      </c>
      <c r="T28" s="20" t="n">
        <v>0</v>
      </c>
    </row>
    <row r="29" spans="1:20">
      <c r="A29" s="15" t="s">
        <v>453</v>
      </c>
      <c r="B29" s="17" t="n">
        <v>2685</v>
      </c>
      <c r="C29" s="18">
        <f>(2357.0/B29*100)</f>
        <v/>
      </c>
      <c r="D29" s="19" t="n">
        <v>328</v>
      </c>
      <c r="E29" s="18" t="n">
        <v>76.32523165000001</v>
      </c>
      <c r="F29" s="20" t="n">
        <v>2.50653321</v>
      </c>
      <c r="G29" s="18" t="n">
        <v>17.73356169</v>
      </c>
      <c r="H29" s="20" t="n">
        <v>2.17071335</v>
      </c>
      <c r="I29" s="18" t="n">
        <v>2.49644548</v>
      </c>
      <c r="J29" s="20" t="n">
        <v>0.78369691</v>
      </c>
      <c r="K29" s="18" t="s">
        <v>431</v>
      </c>
      <c r="L29" s="20" t="s">
        <v>431</v>
      </c>
      <c r="M29" s="18" t="n">
        <v>3.44476118</v>
      </c>
      <c r="N29" s="20" t="n">
        <v>0.92164175</v>
      </c>
      <c r="O29" s="18" t="n">
        <v>0</v>
      </c>
      <c r="P29" s="20" t="n">
        <v>0</v>
      </c>
      <c r="Q29" s="18" t="n">
        <v>0</v>
      </c>
      <c r="R29" s="20" t="n">
        <v>0</v>
      </c>
      <c r="S29" s="18" t="n">
        <v>0</v>
      </c>
      <c r="T29" s="20" t="n">
        <v>0</v>
      </c>
    </row>
    <row r="30" spans="1:20">
      <c r="A30" s="15" t="s">
        <v>454</v>
      </c>
      <c r="B30" s="17" t="n">
        <v>2263</v>
      </c>
      <c r="C30" s="18">
        <f>(1991.0/B30*100)</f>
        <v/>
      </c>
      <c r="D30" s="19" t="n">
        <v>272</v>
      </c>
      <c r="E30" s="18" t="n">
        <v>62.66127215</v>
      </c>
      <c r="F30" s="20" t="n">
        <v>3.32358603</v>
      </c>
      <c r="G30" s="18" t="n">
        <v>25.28046935</v>
      </c>
      <c r="H30" s="20" t="n">
        <v>2.96724926</v>
      </c>
      <c r="I30" s="18" t="n">
        <v>2.44282639</v>
      </c>
      <c r="J30" s="20" t="n">
        <v>1.00462782</v>
      </c>
      <c r="K30" s="18" t="s">
        <v>431</v>
      </c>
      <c r="L30" s="20" t="s">
        <v>431</v>
      </c>
      <c r="M30" s="18" t="n">
        <v>9.61543211</v>
      </c>
      <c r="N30" s="20" t="n">
        <v>1.37539534</v>
      </c>
      <c r="O30" s="18" t="n">
        <v>0</v>
      </c>
      <c r="P30" s="20" t="n">
        <v>0</v>
      </c>
      <c r="Q30" s="18" t="n">
        <v>0</v>
      </c>
      <c r="R30" s="20" t="n">
        <v>0</v>
      </c>
      <c r="S30" s="18" t="n">
        <v>0</v>
      </c>
      <c r="T30" s="20" t="n">
        <v>0</v>
      </c>
    </row>
    <row r="31" spans="1:20">
      <c r="A31" s="15" t="s">
        <v>455</v>
      </c>
      <c r="B31" s="17" t="n">
        <v>2750</v>
      </c>
      <c r="C31" s="18">
        <f>(2427.0/B31*100)</f>
        <v/>
      </c>
      <c r="D31" s="19" t="n">
        <v>323</v>
      </c>
      <c r="E31" s="18" t="n">
        <v>65.09718657000001</v>
      </c>
      <c r="F31" s="20" t="n">
        <v>2.56306294</v>
      </c>
      <c r="G31" s="18" t="n">
        <v>19.32255946</v>
      </c>
      <c r="H31" s="20" t="n">
        <v>1.96008033</v>
      </c>
      <c r="I31" s="18" t="n">
        <v>1.52141025</v>
      </c>
      <c r="J31" s="20" t="n">
        <v>0.67321971</v>
      </c>
      <c r="K31" s="18" t="s">
        <v>431</v>
      </c>
      <c r="L31" s="20" t="s">
        <v>431</v>
      </c>
      <c r="M31" s="18" t="n">
        <v>14.05884372</v>
      </c>
      <c r="N31" s="20" t="n">
        <v>1.98184819</v>
      </c>
      <c r="O31" s="18" t="n">
        <v>0</v>
      </c>
      <c r="P31" s="20" t="n">
        <v>0</v>
      </c>
      <c r="Q31" s="18" t="n">
        <v>0</v>
      </c>
      <c r="R31" s="20" t="n">
        <v>0</v>
      </c>
      <c r="S31" s="18" t="n">
        <v>0</v>
      </c>
      <c r="T31" s="20" t="n">
        <v>0</v>
      </c>
    </row>
    <row r="32" spans="1:20">
      <c r="A32" s="15" t="s">
        <v>456</v>
      </c>
      <c r="B32" s="17" t="n">
        <v>2269</v>
      </c>
      <c r="C32" s="18">
        <f>(1922.0/B32*100)</f>
        <v/>
      </c>
      <c r="D32" s="19" t="n">
        <v>347</v>
      </c>
      <c r="E32" s="18" t="n">
        <v>72.28875763000001</v>
      </c>
      <c r="F32" s="20" t="n">
        <v>2.72181884</v>
      </c>
      <c r="G32" s="18" t="n">
        <v>18.69113463</v>
      </c>
      <c r="H32" s="20" t="n">
        <v>2.11569562</v>
      </c>
      <c r="I32" s="18" t="n">
        <v>2.62356619</v>
      </c>
      <c r="J32" s="20" t="n">
        <v>0.87835203</v>
      </c>
      <c r="K32" s="18" t="s">
        <v>431</v>
      </c>
      <c r="L32" s="20" t="s">
        <v>431</v>
      </c>
      <c r="M32" s="18" t="n">
        <v>6.39654154</v>
      </c>
      <c r="N32" s="20" t="n">
        <v>1.43114013</v>
      </c>
      <c r="O32" s="18" t="n">
        <v>0</v>
      </c>
      <c r="P32" s="20" t="n">
        <v>0</v>
      </c>
      <c r="Q32" s="18" t="n">
        <v>0</v>
      </c>
      <c r="R32" s="20" t="n">
        <v>0</v>
      </c>
      <c r="S32" s="18" t="n">
        <v>0</v>
      </c>
      <c r="T32" s="20" t="n">
        <v>0</v>
      </c>
    </row>
    <row r="33" spans="1:20">
      <c r="A33" s="15" t="s">
        <v>457</v>
      </c>
      <c r="B33" s="17" t="n">
        <v>3674</v>
      </c>
      <c r="C33" s="18">
        <f>(3237.0/B33*100)</f>
        <v/>
      </c>
      <c r="D33" s="19" t="n">
        <v>437</v>
      </c>
      <c r="E33" s="18" t="n">
        <v>72.61788411000001</v>
      </c>
      <c r="F33" s="20" t="n">
        <v>2.70806223</v>
      </c>
      <c r="G33" s="18" t="n">
        <v>23.33018397</v>
      </c>
      <c r="H33" s="20" t="n">
        <v>2.67660158</v>
      </c>
      <c r="I33" s="18" t="n">
        <v>1.21855737</v>
      </c>
      <c r="J33" s="20" t="n">
        <v>0.56395966</v>
      </c>
      <c r="K33" s="18" t="s">
        <v>431</v>
      </c>
      <c r="L33" s="20" t="s">
        <v>431</v>
      </c>
      <c r="M33" s="18" t="n">
        <v>2.83337455</v>
      </c>
      <c r="N33" s="20" t="n">
        <v>0.78363563</v>
      </c>
      <c r="O33" s="18" t="n">
        <v>0</v>
      </c>
      <c r="P33" s="20" t="n">
        <v>0</v>
      </c>
      <c r="Q33" s="18" t="n">
        <v>0</v>
      </c>
      <c r="R33" s="20" t="n">
        <v>0</v>
      </c>
      <c r="S33" s="18" t="n">
        <v>0</v>
      </c>
      <c r="T33" s="20" t="n">
        <v>0</v>
      </c>
    </row>
    <row r="34" spans="1:20">
      <c r="A34" s="15" t="s">
        <v>458</v>
      </c>
      <c r="B34" s="17" t="n">
        <v>3315</v>
      </c>
      <c r="C34" s="18">
        <f>(2935.0/B34*100)</f>
        <v/>
      </c>
      <c r="D34" s="19" t="n">
        <v>380</v>
      </c>
      <c r="E34" s="18" t="n">
        <v>81.15080694</v>
      </c>
      <c r="F34" s="20" t="n">
        <v>2.1198425</v>
      </c>
      <c r="G34" s="18" t="n">
        <v>10.64311819</v>
      </c>
      <c r="H34" s="20" t="n">
        <v>1.58859187</v>
      </c>
      <c r="I34" s="18" t="n">
        <v>0.81975191</v>
      </c>
      <c r="J34" s="20" t="n">
        <v>0.50217564</v>
      </c>
      <c r="K34" s="18" t="s">
        <v>431</v>
      </c>
      <c r="L34" s="20" t="s">
        <v>431</v>
      </c>
      <c r="M34" s="18" t="n">
        <v>7.38632296</v>
      </c>
      <c r="N34" s="20" t="n">
        <v>1.41151887</v>
      </c>
      <c r="O34" s="18" t="n">
        <v>0</v>
      </c>
      <c r="P34" s="20" t="n">
        <v>0</v>
      </c>
      <c r="Q34" s="18" t="n">
        <v>0</v>
      </c>
      <c r="R34" s="20" t="n">
        <v>0</v>
      </c>
      <c r="S34" s="18" t="n">
        <v>0</v>
      </c>
      <c r="T34" s="20" t="n">
        <v>0</v>
      </c>
    </row>
    <row r="35" spans="1:20">
      <c r="A35" s="15" t="s">
        <v>459</v>
      </c>
      <c r="B35" s="17" t="n">
        <v>3505</v>
      </c>
      <c r="C35" s="18">
        <f>(3073.0/B35*100)</f>
        <v/>
      </c>
      <c r="D35" s="19" t="n">
        <v>432</v>
      </c>
      <c r="E35" s="18" t="n">
        <v>77.38856091</v>
      </c>
      <c r="F35" s="20" t="n">
        <v>2.63654634</v>
      </c>
      <c r="G35" s="18" t="n">
        <v>13.08792421</v>
      </c>
      <c r="H35" s="20" t="n">
        <v>2.12855292</v>
      </c>
      <c r="I35" s="18" t="n">
        <v>0.87621215</v>
      </c>
      <c r="J35" s="20" t="n">
        <v>0.40898268</v>
      </c>
      <c r="K35" s="18" t="s">
        <v>431</v>
      </c>
      <c r="L35" s="20" t="s">
        <v>431</v>
      </c>
      <c r="M35" s="18" t="n">
        <v>8.647302740000001</v>
      </c>
      <c r="N35" s="20" t="n">
        <v>1.78973189</v>
      </c>
      <c r="O35" s="18" t="n">
        <v>0</v>
      </c>
      <c r="P35" s="20" t="n">
        <v>0</v>
      </c>
      <c r="Q35" s="18" t="n">
        <v>0</v>
      </c>
      <c r="R35" s="20" t="n">
        <v>0</v>
      </c>
      <c r="S35" s="18" t="n">
        <v>0</v>
      </c>
      <c r="T35" s="20" t="n">
        <v>0</v>
      </c>
    </row>
    <row r="36" spans="1:20">
      <c r="A36" s="15" t="s">
        <v>460</v>
      </c>
      <c r="B36" s="17" t="n">
        <v>3332</v>
      </c>
      <c r="C36" s="18">
        <f>(2940.0/B36*100)</f>
        <v/>
      </c>
      <c r="D36" s="19" t="n">
        <v>392</v>
      </c>
      <c r="E36" s="18" t="n">
        <v>74.13045753999999</v>
      </c>
      <c r="F36" s="20" t="n">
        <v>2.1972282</v>
      </c>
      <c r="G36" s="18" t="n">
        <v>18.59331825</v>
      </c>
      <c r="H36" s="20" t="n">
        <v>2.16790869</v>
      </c>
      <c r="I36" s="18" t="n">
        <v>1.88979675</v>
      </c>
      <c r="J36" s="20" t="n">
        <v>0.65368832</v>
      </c>
      <c r="K36" s="18" t="s">
        <v>431</v>
      </c>
      <c r="L36" s="20" t="s">
        <v>431</v>
      </c>
      <c r="M36" s="18" t="n">
        <v>5.38642746</v>
      </c>
      <c r="N36" s="20" t="n">
        <v>1.23565947</v>
      </c>
      <c r="O36" s="18" t="n">
        <v>0</v>
      </c>
      <c r="P36" s="20" t="n">
        <v>0</v>
      </c>
      <c r="Q36" s="18" t="n">
        <v>0</v>
      </c>
      <c r="R36" s="20" t="n">
        <v>0</v>
      </c>
      <c r="S36" s="18" t="n">
        <v>0</v>
      </c>
      <c r="T36" s="20" t="n">
        <v>0</v>
      </c>
    </row>
    <row r="37" spans="1:20">
      <c r="A37" s="15" t="s">
        <v>461</v>
      </c>
      <c r="B37" s="17" t="n">
        <v>2727</v>
      </c>
      <c r="C37" s="18">
        <f>(2398.0/B37*100)</f>
        <v/>
      </c>
      <c r="D37" s="19" t="n">
        <v>329</v>
      </c>
      <c r="E37" s="18" t="n">
        <v>60.25788502</v>
      </c>
      <c r="F37" s="20" t="n">
        <v>2.32570623</v>
      </c>
      <c r="G37" s="18" t="n">
        <v>27.32326025</v>
      </c>
      <c r="H37" s="20" t="n">
        <v>2.57515543</v>
      </c>
      <c r="I37" s="18" t="n">
        <v>1.40127445</v>
      </c>
      <c r="J37" s="20" t="n">
        <v>0.63029073</v>
      </c>
      <c r="K37" s="18" t="s">
        <v>431</v>
      </c>
      <c r="L37" s="20" t="s">
        <v>431</v>
      </c>
      <c r="M37" s="18" t="n">
        <v>11.01758027</v>
      </c>
      <c r="N37" s="20" t="n">
        <v>1.96144729</v>
      </c>
      <c r="O37" s="18" t="n">
        <v>0</v>
      </c>
      <c r="P37" s="20" t="n">
        <v>0</v>
      </c>
      <c r="Q37" s="18" t="n">
        <v>0</v>
      </c>
      <c r="R37" s="20" t="n">
        <v>0</v>
      </c>
      <c r="S37" s="18" t="n">
        <v>0</v>
      </c>
      <c r="T37" s="20" t="n">
        <v>0</v>
      </c>
    </row>
    <row r="38" spans="1:20">
      <c r="A38" s="15" t="s">
        <v>462</v>
      </c>
      <c r="B38" s="17" t="n">
        <v>3053</v>
      </c>
      <c r="C38" s="18">
        <f>(2612.0/B38*100)</f>
        <v/>
      </c>
      <c r="D38" s="19" t="n">
        <v>441</v>
      </c>
      <c r="E38" s="18" t="n">
        <v>62.80738745</v>
      </c>
      <c r="F38" s="20" t="n">
        <v>2.29593502</v>
      </c>
      <c r="G38" s="18" t="n">
        <v>29.31341277</v>
      </c>
      <c r="H38" s="20" t="n">
        <v>2.53129781</v>
      </c>
      <c r="I38" s="18" t="n">
        <v>0.5658677600000001</v>
      </c>
      <c r="J38" s="20" t="n">
        <v>0.30050729</v>
      </c>
      <c r="K38" s="18" t="s">
        <v>431</v>
      </c>
      <c r="L38" s="20" t="s">
        <v>431</v>
      </c>
      <c r="M38" s="18" t="n">
        <v>7.31333202</v>
      </c>
      <c r="N38" s="20" t="n">
        <v>1.26045238</v>
      </c>
      <c r="O38" s="18" t="n">
        <v>0</v>
      </c>
      <c r="P38" s="20" t="n">
        <v>0</v>
      </c>
      <c r="Q38" s="18" t="n">
        <v>0</v>
      </c>
      <c r="R38" s="20" t="n">
        <v>0</v>
      </c>
      <c r="S38" s="18" t="n">
        <v>0</v>
      </c>
      <c r="T38" s="20" t="n">
        <v>0</v>
      </c>
    </row>
    <row r="39" spans="1:20">
      <c r="A39" s="15" t="s">
        <v>463</v>
      </c>
      <c r="B39" s="17" t="n">
        <v>2957</v>
      </c>
      <c r="C39" s="18">
        <f>(2591.0/B39*100)</f>
        <v/>
      </c>
      <c r="D39" s="19" t="n">
        <v>366</v>
      </c>
      <c r="E39" s="18" t="n">
        <v>87.45550926999999</v>
      </c>
      <c r="F39" s="20" t="n">
        <v>1.8553997</v>
      </c>
      <c r="G39" s="18" t="n">
        <v>6.2778013</v>
      </c>
      <c r="H39" s="20" t="n">
        <v>1.19771328</v>
      </c>
      <c r="I39" s="18" t="n">
        <v>1.04890648</v>
      </c>
      <c r="J39" s="20" t="n">
        <v>0.60595585</v>
      </c>
      <c r="K39" s="18" t="s">
        <v>431</v>
      </c>
      <c r="L39" s="20" t="s">
        <v>431</v>
      </c>
      <c r="M39" s="18" t="n">
        <v>5.21778295</v>
      </c>
      <c r="N39" s="20" t="n">
        <v>1.42200773</v>
      </c>
      <c r="O39" s="18" t="n">
        <v>0</v>
      </c>
      <c r="P39" s="20" t="n">
        <v>0</v>
      </c>
      <c r="Q39" s="18" t="n">
        <v>0</v>
      </c>
      <c r="R39" s="20" t="n">
        <v>0</v>
      </c>
      <c r="S39" s="18" t="n">
        <v>0</v>
      </c>
      <c r="T39" s="20" t="n">
        <v>0</v>
      </c>
    </row>
    <row r="40" spans="1:20">
      <c r="A40" s="15" t="s">
        <v>464</v>
      </c>
      <c r="B40" s="17" t="n">
        <v>7235</v>
      </c>
      <c r="C40" s="18">
        <f>(6341.0/B40*100)</f>
        <v/>
      </c>
      <c r="D40" s="19" t="n">
        <v>894</v>
      </c>
      <c r="E40" s="18" t="n">
        <v>71.96284251</v>
      </c>
      <c r="F40" s="20" t="n">
        <v>2.22389255</v>
      </c>
      <c r="G40" s="18" t="n">
        <v>17.23265147</v>
      </c>
      <c r="H40" s="20" t="n">
        <v>1.77203895</v>
      </c>
      <c r="I40" s="18" t="n">
        <v>1.45273568</v>
      </c>
      <c r="J40" s="20" t="n">
        <v>0.57024558</v>
      </c>
      <c r="K40" s="18" t="s">
        <v>431</v>
      </c>
      <c r="L40" s="20" t="s">
        <v>431</v>
      </c>
      <c r="M40" s="18" t="n">
        <v>9.351770330000001</v>
      </c>
      <c r="N40" s="20" t="n">
        <v>1.50922733</v>
      </c>
      <c r="O40" s="18" t="n">
        <v>0</v>
      </c>
      <c r="P40" s="20" t="n">
        <v>0</v>
      </c>
      <c r="Q40" s="18" t="n">
        <v>0</v>
      </c>
      <c r="R40" s="20" t="n">
        <v>0</v>
      </c>
      <c r="S40" s="18" t="n">
        <v>0</v>
      </c>
      <c r="T40" s="20" t="n">
        <v>0</v>
      </c>
    </row>
    <row r="41" spans="1:20">
      <c r="A41" s="15" t="s">
        <v>465</v>
      </c>
      <c r="B41" s="17" t="n">
        <v>2858</v>
      </c>
      <c r="C41" s="18">
        <f>(2539.0/B41*100)</f>
        <v/>
      </c>
      <c r="D41" s="19" t="n">
        <v>319</v>
      </c>
      <c r="E41" s="18" t="n">
        <v>74.25868631</v>
      </c>
      <c r="F41" s="20" t="n">
        <v>2.32803885</v>
      </c>
      <c r="G41" s="18" t="n">
        <v>21.08205163</v>
      </c>
      <c r="H41" s="20" t="n">
        <v>2.24349065</v>
      </c>
      <c r="I41" s="18" t="n">
        <v>1.37394741</v>
      </c>
      <c r="J41" s="20" t="n">
        <v>0.64191325</v>
      </c>
      <c r="K41" s="18" t="s">
        <v>431</v>
      </c>
      <c r="L41" s="20" t="s">
        <v>431</v>
      </c>
      <c r="M41" s="18" t="n">
        <v>3.28531465</v>
      </c>
      <c r="N41" s="20" t="n">
        <v>0.9548873</v>
      </c>
      <c r="O41" s="18" t="n">
        <v>0</v>
      </c>
      <c r="P41" s="20" t="n">
        <v>0</v>
      </c>
      <c r="Q41" s="18" t="n">
        <v>0</v>
      </c>
      <c r="R41" s="20" t="n">
        <v>0</v>
      </c>
      <c r="S41" s="18" t="n">
        <v>0</v>
      </c>
      <c r="T41" s="20" t="n">
        <v>0</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11068</v>
      </c>
      <c r="C46" s="18">
        <f>(10135.0/B46*100)</f>
        <v/>
      </c>
      <c r="D46" s="19" t="n">
        <v>933</v>
      </c>
      <c r="E46" s="18" t="n">
        <v>81.86348531</v>
      </c>
      <c r="F46" s="20" t="n">
        <v>1.74324806</v>
      </c>
      <c r="G46" s="18" t="n">
        <v>4.58527303</v>
      </c>
      <c r="H46" s="20" t="n">
        <v>0.8775199</v>
      </c>
      <c r="I46" s="18" t="n">
        <v>0.30550158</v>
      </c>
      <c r="J46" s="20" t="n">
        <v>0.22407293</v>
      </c>
      <c r="K46" s="18" t="s">
        <v>431</v>
      </c>
      <c r="L46" s="20" t="s">
        <v>431</v>
      </c>
      <c r="M46" s="18" t="n">
        <v>13.24574008</v>
      </c>
      <c r="N46" s="20" t="n">
        <v>1.38008469</v>
      </c>
      <c r="O46" s="18" t="n">
        <v>0</v>
      </c>
      <c r="P46" s="20" t="n">
        <v>0</v>
      </c>
      <c r="Q46" s="18" t="n">
        <v>0</v>
      </c>
      <c r="R46" s="20" t="n">
        <v>0</v>
      </c>
      <c r="S46" s="18" t="n">
        <v>0</v>
      </c>
      <c r="T46" s="20" t="n">
        <v>0</v>
      </c>
    </row>
    <row r="47" spans="1:20">
      <c r="A47" s="15" t="s">
        <v>471</v>
      </c>
      <c r="B47" s="17" t="n">
        <v>3105</v>
      </c>
      <c r="C47" s="18">
        <f>(2732.0/B47*100)</f>
        <v/>
      </c>
      <c r="D47" s="19" t="n">
        <v>373</v>
      </c>
      <c r="E47" s="18" t="n">
        <v>76.70450341</v>
      </c>
      <c r="F47" s="20" t="n">
        <v>2.62391475</v>
      </c>
      <c r="G47" s="18" t="n">
        <v>11.98890475</v>
      </c>
      <c r="H47" s="20" t="n">
        <v>1.8613213</v>
      </c>
      <c r="I47" s="18" t="n">
        <v>0</v>
      </c>
      <c r="J47" s="20" t="n">
        <v>0</v>
      </c>
      <c r="K47" s="18" t="s">
        <v>431</v>
      </c>
      <c r="L47" s="20" t="s">
        <v>431</v>
      </c>
      <c r="M47" s="18" t="n">
        <v>11.30659183</v>
      </c>
      <c r="N47" s="20" t="n">
        <v>1.94389855</v>
      </c>
      <c r="O47" s="18" t="n">
        <v>0</v>
      </c>
      <c r="P47" s="20" t="n">
        <v>0</v>
      </c>
      <c r="Q47" s="18" t="n">
        <v>0</v>
      </c>
      <c r="R47" s="20" t="n">
        <v>0</v>
      </c>
      <c r="S47" s="18" t="n">
        <v>0</v>
      </c>
      <c r="T47" s="20" t="n">
        <v>0</v>
      </c>
    </row>
    <row r="48" spans="1:20">
      <c r="A48" s="15" t="s">
        <v>472</v>
      </c>
      <c r="B48" s="17" t="n">
        <v>5159</v>
      </c>
      <c r="C48" s="18">
        <f>(4544.0/B48*100)</f>
        <v/>
      </c>
      <c r="D48" s="19" t="n">
        <v>615</v>
      </c>
      <c r="E48" s="18" t="n">
        <v>67.43625518</v>
      </c>
      <c r="F48" s="20" t="n">
        <v>2.51258166</v>
      </c>
      <c r="G48" s="18" t="n">
        <v>21.05860868</v>
      </c>
      <c r="H48" s="20" t="n">
        <v>1.95765582</v>
      </c>
      <c r="I48" s="18" t="n">
        <v>7.4379662</v>
      </c>
      <c r="J48" s="20" t="n">
        <v>1.66990459</v>
      </c>
      <c r="K48" s="18" t="s">
        <v>431</v>
      </c>
      <c r="L48" s="20" t="s">
        <v>431</v>
      </c>
      <c r="M48" s="18" t="n">
        <v>4.06716994</v>
      </c>
      <c r="N48" s="20" t="n">
        <v>1.07728391</v>
      </c>
      <c r="O48" s="18" t="n">
        <v>0</v>
      </c>
      <c r="P48" s="20" t="n">
        <v>0</v>
      </c>
      <c r="Q48" s="18" t="n">
        <v>0</v>
      </c>
      <c r="R48" s="20" t="n">
        <v>0</v>
      </c>
      <c r="S48" s="18" t="n">
        <v>0</v>
      </c>
      <c r="T48" s="20" t="n">
        <v>0</v>
      </c>
    </row>
    <row r="49" spans="1:20">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5637</v>
      </c>
      <c r="C50" s="18">
        <f>(4986.0/B50*100)</f>
        <v/>
      </c>
      <c r="D50" s="19" t="n">
        <v>651</v>
      </c>
      <c r="E50" s="18" t="n">
        <v>78.74293301</v>
      </c>
      <c r="F50" s="20" t="n">
        <v>2.25421437</v>
      </c>
      <c r="G50" s="18" t="n">
        <v>9.028114260000001</v>
      </c>
      <c r="H50" s="20" t="n">
        <v>1.29393473</v>
      </c>
      <c r="I50" s="18" t="n">
        <v>2.05265417</v>
      </c>
      <c r="J50" s="20" t="n">
        <v>1.02336357</v>
      </c>
      <c r="K50" s="18" t="s">
        <v>431</v>
      </c>
      <c r="L50" s="20" t="s">
        <v>431</v>
      </c>
      <c r="M50" s="18" t="n">
        <v>10.17629856</v>
      </c>
      <c r="N50" s="20" t="n">
        <v>1.50969521</v>
      </c>
      <c r="O50" s="18" t="n">
        <v>0</v>
      </c>
      <c r="P50" s="20" t="n">
        <v>0</v>
      </c>
      <c r="Q50" s="18" t="n">
        <v>0</v>
      </c>
      <c r="R50" s="20" t="n">
        <v>0</v>
      </c>
      <c r="S50" s="18" t="n">
        <v>0</v>
      </c>
      <c r="T50" s="20" t="n">
        <v>0</v>
      </c>
    </row>
    <row r="51" spans="1:20">
      <c r="A51" s="15" t="s">
        <v>475</v>
      </c>
      <c r="B51" s="17" t="n">
        <v>3372</v>
      </c>
      <c r="C51" s="18">
        <f>(3026.0/B51*100)</f>
        <v/>
      </c>
      <c r="D51" s="19" t="n">
        <v>346</v>
      </c>
      <c r="E51" s="18" t="n">
        <v>79.16155722000001</v>
      </c>
      <c r="F51" s="20" t="n">
        <v>2.52674419</v>
      </c>
      <c r="G51" s="18" t="n">
        <v>14.08900489</v>
      </c>
      <c r="H51" s="20" t="n">
        <v>2.3915552</v>
      </c>
      <c r="I51" s="18" t="n">
        <v>0.62460073</v>
      </c>
      <c r="J51" s="20" t="n">
        <v>0.42891376</v>
      </c>
      <c r="K51" s="18" t="s">
        <v>431</v>
      </c>
      <c r="L51" s="20" t="s">
        <v>431</v>
      </c>
      <c r="M51" s="18" t="n">
        <v>6.12483716</v>
      </c>
      <c r="N51" s="20" t="n">
        <v>1.61742388</v>
      </c>
      <c r="O51" s="18" t="n">
        <v>0</v>
      </c>
      <c r="P51" s="20" t="n">
        <v>0</v>
      </c>
      <c r="Q51" s="18" t="n">
        <v>0</v>
      </c>
      <c r="R51" s="20" t="n">
        <v>0</v>
      </c>
      <c r="S51" s="18" t="n">
        <v>0</v>
      </c>
      <c r="T51" s="20" t="n">
        <v>0</v>
      </c>
    </row>
    <row r="52" spans="1:20">
      <c r="A52" s="15" t="s">
        <v>476</v>
      </c>
      <c r="B52" s="17" t="n">
        <v>2796</v>
      </c>
      <c r="C52" s="18">
        <f>(2451.0/B52*100)</f>
        <v/>
      </c>
      <c r="D52" s="19" t="n">
        <v>345</v>
      </c>
      <c r="E52" s="18" t="n">
        <v>71.63050115999999</v>
      </c>
      <c r="F52" s="20" t="n">
        <v>2.62736388</v>
      </c>
      <c r="G52" s="18" t="n">
        <v>19.7482988</v>
      </c>
      <c r="H52" s="20" t="n">
        <v>2.28958194</v>
      </c>
      <c r="I52" s="18" t="n">
        <v>2.67569521</v>
      </c>
      <c r="J52" s="20" t="n">
        <v>0.76847864</v>
      </c>
      <c r="K52" s="18" t="s">
        <v>431</v>
      </c>
      <c r="L52" s="20" t="s">
        <v>431</v>
      </c>
      <c r="M52" s="18" t="n">
        <v>5.94550483</v>
      </c>
      <c r="N52" s="20" t="n">
        <v>1.22186727</v>
      </c>
      <c r="O52" s="18" t="n">
        <v>0</v>
      </c>
      <c r="P52" s="20" t="n">
        <v>0</v>
      </c>
      <c r="Q52" s="18" t="n">
        <v>0</v>
      </c>
      <c r="R52" s="20" t="n">
        <v>0</v>
      </c>
      <c r="S52" s="18" t="n">
        <v>0</v>
      </c>
      <c r="T52" s="20" t="n">
        <v>0</v>
      </c>
    </row>
    <row r="53" spans="1:20">
      <c r="A53" s="15" t="s">
        <v>477</v>
      </c>
      <c r="B53" s="17" t="n">
        <v>2811</v>
      </c>
      <c r="C53" s="18">
        <f>(2486.0/B53*100)</f>
        <v/>
      </c>
      <c r="D53" s="19" t="n">
        <v>325</v>
      </c>
      <c r="E53" s="18" t="n">
        <v>79.54200068</v>
      </c>
      <c r="F53" s="20" t="n">
        <v>2.30699415</v>
      </c>
      <c r="G53" s="18" t="n">
        <v>7.19924983</v>
      </c>
      <c r="H53" s="20" t="n">
        <v>1.57952235</v>
      </c>
      <c r="I53" s="18" t="n">
        <v>0.42744043</v>
      </c>
      <c r="J53" s="20" t="n">
        <v>0.29866825</v>
      </c>
      <c r="K53" s="18" t="s">
        <v>431</v>
      </c>
      <c r="L53" s="20" t="s">
        <v>431</v>
      </c>
      <c r="M53" s="18" t="n">
        <v>12.83130905</v>
      </c>
      <c r="N53" s="20" t="n">
        <v>1.9187612</v>
      </c>
      <c r="O53" s="18" t="n">
        <v>0</v>
      </c>
      <c r="P53" s="20" t="n">
        <v>0</v>
      </c>
      <c r="Q53" s="18" t="n">
        <v>0</v>
      </c>
      <c r="R53" s="20" t="n">
        <v>0</v>
      </c>
      <c r="S53" s="18" t="n">
        <v>0</v>
      </c>
      <c r="T53" s="20" t="n">
        <v>0</v>
      </c>
    </row>
    <row r="54" spans="1:20">
      <c r="A54" s="15" t="s">
        <v>478</v>
      </c>
      <c r="B54" s="17" t="n">
        <v>2266</v>
      </c>
      <c r="C54" s="18">
        <f>(1886.0/B54*100)</f>
        <v/>
      </c>
      <c r="D54" s="19" t="n">
        <v>380</v>
      </c>
      <c r="E54" s="18" t="n">
        <v>66.83933189</v>
      </c>
      <c r="F54" s="20" t="n">
        <v>2.64055741</v>
      </c>
      <c r="G54" s="18" t="n">
        <v>1.4600822</v>
      </c>
      <c r="H54" s="20" t="n">
        <v>0.58627039</v>
      </c>
      <c r="I54" s="18" t="n">
        <v>0</v>
      </c>
      <c r="J54" s="20" t="n">
        <v>0</v>
      </c>
      <c r="K54" s="18" t="s">
        <v>431</v>
      </c>
      <c r="L54" s="20" t="s">
        <v>431</v>
      </c>
      <c r="M54" s="18" t="n">
        <v>31.70058591</v>
      </c>
      <c r="N54" s="20" t="n">
        <v>2.65494605</v>
      </c>
      <c r="O54" s="18" t="n">
        <v>0</v>
      </c>
      <c r="P54" s="20" t="n">
        <v>0</v>
      </c>
      <c r="Q54" s="18" t="n">
        <v>0</v>
      </c>
      <c r="R54" s="20" t="n">
        <v>0</v>
      </c>
      <c r="S54" s="18" t="n">
        <v>0</v>
      </c>
      <c r="T54" s="20" t="n">
        <v>0</v>
      </c>
    </row>
    <row r="55" spans="1:20">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2684</v>
      </c>
      <c r="C56" s="18">
        <f>(2359.0/B56*100)</f>
        <v/>
      </c>
      <c r="D56" s="19" t="n">
        <v>325</v>
      </c>
      <c r="E56" s="18" t="n">
        <v>50.2374911</v>
      </c>
      <c r="F56" s="20" t="n">
        <v>2.61341847</v>
      </c>
      <c r="G56" s="18" t="n">
        <v>42.84952648</v>
      </c>
      <c r="H56" s="20" t="n">
        <v>2.60805613</v>
      </c>
      <c r="I56" s="18" t="n">
        <v>4.7214168</v>
      </c>
      <c r="J56" s="20" t="n">
        <v>1.20773992</v>
      </c>
      <c r="K56" s="18" t="s">
        <v>431</v>
      </c>
      <c r="L56" s="20" t="s">
        <v>431</v>
      </c>
      <c r="M56" s="18" t="n">
        <v>2.19156562</v>
      </c>
      <c r="N56" s="20" t="n">
        <v>0.77583308</v>
      </c>
      <c r="O56" s="18" t="n">
        <v>0</v>
      </c>
      <c r="P56" s="20" t="n">
        <v>0</v>
      </c>
      <c r="Q56" s="18" t="n">
        <v>0</v>
      </c>
      <c r="R56" s="20" t="n">
        <v>0</v>
      </c>
      <c r="S56" s="18" t="n">
        <v>0</v>
      </c>
      <c r="T56" s="20" t="n">
        <v>0</v>
      </c>
    </row>
    <row r="57" spans="1:20">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3324</v>
      </c>
      <c r="C61" s="18">
        <f>(2911.0/B61*100)</f>
        <v/>
      </c>
      <c r="D61" s="19" t="n">
        <v>413</v>
      </c>
      <c r="E61" s="18" t="n">
        <v>74.2225036</v>
      </c>
      <c r="F61" s="20" t="n">
        <v>2.67119833</v>
      </c>
      <c r="G61" s="18" t="n">
        <v>16.09404281</v>
      </c>
      <c r="H61" s="20" t="n">
        <v>2.17620637</v>
      </c>
      <c r="I61" s="18" t="n">
        <v>1.19839748</v>
      </c>
      <c r="J61" s="20" t="n">
        <v>0.68801337</v>
      </c>
      <c r="K61" s="18" t="s">
        <v>431</v>
      </c>
      <c r="L61" s="20" t="s">
        <v>431</v>
      </c>
      <c r="M61" s="18" t="n">
        <v>8.48505611</v>
      </c>
      <c r="N61" s="20" t="n">
        <v>1.56331291</v>
      </c>
      <c r="O61" s="18" t="n">
        <v>0</v>
      </c>
      <c r="P61" s="20" t="n">
        <v>0</v>
      </c>
      <c r="Q61" s="18" t="n">
        <v>0</v>
      </c>
      <c r="R61" s="20" t="n">
        <v>0</v>
      </c>
      <c r="S61" s="18" t="n">
        <v>0</v>
      </c>
      <c r="T61" s="20" t="n">
        <v>0</v>
      </c>
    </row>
    <row r="62" spans="1:20">
      <c r="A62" s="15" t="s">
        <v>486</v>
      </c>
      <c r="B62" s="17" t="n">
        <v>2246</v>
      </c>
      <c r="C62" s="18">
        <f>(2004.0/B62*100)</f>
        <v/>
      </c>
      <c r="D62" s="19" t="n">
        <v>242</v>
      </c>
      <c r="E62" s="18" t="n">
        <v>56.98808443</v>
      </c>
      <c r="F62" s="20" t="n">
        <v>2.86904874</v>
      </c>
      <c r="G62" s="18" t="n">
        <v>38.86843943</v>
      </c>
      <c r="H62" s="20" t="n">
        <v>2.72631162</v>
      </c>
      <c r="I62" s="18" t="n">
        <v>3.3232741</v>
      </c>
      <c r="J62" s="20" t="n">
        <v>1.12827217</v>
      </c>
      <c r="K62" s="18" t="s">
        <v>431</v>
      </c>
      <c r="L62" s="20" t="s">
        <v>431</v>
      </c>
      <c r="M62" s="18" t="n">
        <v>0.82020204</v>
      </c>
      <c r="N62" s="20" t="n">
        <v>0.58120304</v>
      </c>
      <c r="O62" s="18" t="n">
        <v>0</v>
      </c>
      <c r="P62" s="20" t="n">
        <v>0</v>
      </c>
      <c r="Q62" s="18" t="n">
        <v>0</v>
      </c>
      <c r="R62" s="20" t="n">
        <v>0</v>
      </c>
      <c r="S62" s="18" t="n">
        <v>0</v>
      </c>
      <c r="T62" s="20" t="n">
        <v>0</v>
      </c>
    </row>
    <row r="63" spans="1:20">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2894</v>
      </c>
      <c r="C66" s="18">
        <f>(2568.0/B66*100)</f>
        <v/>
      </c>
      <c r="D66" s="19" t="n">
        <v>326</v>
      </c>
      <c r="E66" s="18" t="n">
        <v>77.86368484</v>
      </c>
      <c r="F66" s="20" t="n">
        <v>2.32671237</v>
      </c>
      <c r="G66" s="18" t="n">
        <v>7.49213122</v>
      </c>
      <c r="H66" s="20" t="n">
        <v>1.62522422</v>
      </c>
      <c r="I66" s="18" t="n">
        <v>0.33745233</v>
      </c>
      <c r="J66" s="20" t="n">
        <v>0.33677596</v>
      </c>
      <c r="K66" s="18" t="s">
        <v>431</v>
      </c>
      <c r="L66" s="20" t="s">
        <v>431</v>
      </c>
      <c r="M66" s="18" t="n">
        <v>14.30673162</v>
      </c>
      <c r="N66" s="20" t="n">
        <v>1.95896043</v>
      </c>
      <c r="O66" s="18" t="n">
        <v>0</v>
      </c>
      <c r="P66" s="20" t="n">
        <v>0</v>
      </c>
      <c r="Q66" s="18" t="n">
        <v>0</v>
      </c>
      <c r="R66" s="20" t="n">
        <v>0</v>
      </c>
      <c r="S66" s="18" t="n">
        <v>0</v>
      </c>
      <c r="T66" s="20" t="n">
        <v>0</v>
      </c>
    </row>
    <row r="67" spans="1:20">
      <c r="A67" s="15" t="s">
        <v>491</v>
      </c>
      <c r="B67" s="17" t="n">
        <v>3511</v>
      </c>
      <c r="C67" s="18">
        <f>(3179.0/B67*100)</f>
        <v/>
      </c>
      <c r="D67" s="19" t="n">
        <v>332</v>
      </c>
      <c r="E67" s="18" t="n">
        <v>81.72646189</v>
      </c>
      <c r="F67" s="20" t="n">
        <v>2.63765896</v>
      </c>
      <c r="G67" s="18" t="n">
        <v>10.780479</v>
      </c>
      <c r="H67" s="20" t="n">
        <v>2.27305671</v>
      </c>
      <c r="I67" s="18" t="n">
        <v>1.30102387</v>
      </c>
      <c r="J67" s="20" t="n">
        <v>0.59271901</v>
      </c>
      <c r="K67" s="18" t="s">
        <v>431</v>
      </c>
      <c r="L67" s="20" t="s">
        <v>431</v>
      </c>
      <c r="M67" s="18" t="n">
        <v>6.19203524</v>
      </c>
      <c r="N67" s="20" t="n">
        <v>1.31724201</v>
      </c>
      <c r="O67" s="18" t="n">
        <v>0</v>
      </c>
      <c r="P67" s="20" t="n">
        <v>0</v>
      </c>
      <c r="Q67" s="18" t="n">
        <v>0</v>
      </c>
      <c r="R67" s="20" t="n">
        <v>0</v>
      </c>
      <c r="S67" s="18" t="n">
        <v>0</v>
      </c>
      <c r="T67" s="20" t="n">
        <v>0</v>
      </c>
    </row>
    <row r="68" spans="1:20">
      <c r="A68" s="15" t="s">
        <v>492</v>
      </c>
      <c r="B68" s="17" t="n">
        <v>6049</v>
      </c>
      <c r="C68" s="18">
        <f>(5054.0/B68*100)</f>
        <v/>
      </c>
      <c r="D68" s="19" t="n">
        <v>995</v>
      </c>
      <c r="E68" s="18" t="n">
        <v>71.2105617</v>
      </c>
      <c r="F68" s="20" t="n">
        <v>1.44269131</v>
      </c>
      <c r="G68" s="18" t="n">
        <v>9.51082998</v>
      </c>
      <c r="H68" s="20" t="n">
        <v>0.9413266</v>
      </c>
      <c r="I68" s="18" t="n">
        <v>0.6783565499999999</v>
      </c>
      <c r="J68" s="20" t="n">
        <v>0.25323807</v>
      </c>
      <c r="K68" s="18" t="s">
        <v>431</v>
      </c>
      <c r="L68" s="20" t="s">
        <v>431</v>
      </c>
      <c r="M68" s="18" t="n">
        <v>18.60025177</v>
      </c>
      <c r="N68" s="20" t="n">
        <v>1.30042285</v>
      </c>
      <c r="O68" s="18" t="n">
        <v>0</v>
      </c>
      <c r="P68" s="20" t="n">
        <v>0</v>
      </c>
      <c r="Q68" s="18" t="n">
        <v>0</v>
      </c>
      <c r="R68" s="20" t="n">
        <v>0</v>
      </c>
      <c r="S68" s="18" t="n">
        <v>0</v>
      </c>
      <c r="T68" s="20" t="n">
        <v>0</v>
      </c>
    </row>
    <row r="69" spans="1:20">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2929</v>
      </c>
      <c r="C70" s="18">
        <f>(2622.0/B70*100)</f>
        <v/>
      </c>
      <c r="D70" s="19" t="n">
        <v>307</v>
      </c>
      <c r="E70" s="18" t="n">
        <v>61.58731801</v>
      </c>
      <c r="F70" s="20" t="n">
        <v>4.06328102</v>
      </c>
      <c r="G70" s="18" t="n">
        <v>30.5728351</v>
      </c>
      <c r="H70" s="20" t="n">
        <v>3.27695919</v>
      </c>
      <c r="I70" s="18" t="n">
        <v>2.29249085</v>
      </c>
      <c r="J70" s="20" t="n">
        <v>1.2931722</v>
      </c>
      <c r="K70" s="18" t="s">
        <v>431</v>
      </c>
      <c r="L70" s="20" t="s">
        <v>431</v>
      </c>
      <c r="M70" s="18" t="n">
        <v>5.54735605</v>
      </c>
      <c r="N70" s="20" t="n">
        <v>1.28363689</v>
      </c>
      <c r="O70" s="18" t="n">
        <v>0</v>
      </c>
      <c r="P70" s="20" t="n">
        <v>0</v>
      </c>
      <c r="Q70" s="18" t="n">
        <v>0</v>
      </c>
      <c r="R70" s="20" t="n">
        <v>0</v>
      </c>
      <c r="S70" s="18" t="n">
        <v>0</v>
      </c>
      <c r="T70" s="20" t="n">
        <v>0</v>
      </c>
    </row>
    <row r="71" spans="1:20">
      <c r="A71" s="15" t="s">
        <v>495</v>
      </c>
      <c r="B71" s="17" t="n">
        <v>3142</v>
      </c>
      <c r="C71" s="18">
        <f>(2763.0/B71*100)</f>
        <v/>
      </c>
      <c r="D71" s="19" t="n">
        <v>379</v>
      </c>
      <c r="E71" s="18" t="n">
        <v>55.96207414</v>
      </c>
      <c r="F71" s="20" t="n">
        <v>2.99364937</v>
      </c>
      <c r="G71" s="18" t="n">
        <v>38.96860398</v>
      </c>
      <c r="H71" s="20" t="n">
        <v>2.76743304</v>
      </c>
      <c r="I71" s="18" t="n">
        <v>2.87643308</v>
      </c>
      <c r="J71" s="20" t="n">
        <v>0.90416335</v>
      </c>
      <c r="K71" s="18" t="s">
        <v>431</v>
      </c>
      <c r="L71" s="20" t="s">
        <v>431</v>
      </c>
      <c r="M71" s="18" t="n">
        <v>2.1928888</v>
      </c>
      <c r="N71" s="20" t="n">
        <v>0.73695124</v>
      </c>
      <c r="O71" s="18" t="n">
        <v>0</v>
      </c>
      <c r="P71" s="20" t="n">
        <v>0</v>
      </c>
      <c r="Q71" s="18" t="n">
        <v>0</v>
      </c>
      <c r="R71" s="20" t="n">
        <v>0</v>
      </c>
      <c r="S71" s="18" t="n">
        <v>0</v>
      </c>
      <c r="T71" s="20" t="n">
        <v>0</v>
      </c>
    </row>
    <row r="72" spans="1:20">
      <c r="A72" s="15" t="s">
        <v>496</v>
      </c>
      <c r="B72" s="17" t="n">
        <v>3889</v>
      </c>
      <c r="C72" s="18">
        <f>(3398.0/B72*100)</f>
        <v/>
      </c>
      <c r="D72" s="19" t="n">
        <v>491</v>
      </c>
      <c r="E72" s="18" t="n">
        <v>64.13586567999999</v>
      </c>
      <c r="F72" s="20" t="n">
        <v>2.3026946</v>
      </c>
      <c r="G72" s="18" t="n">
        <v>26.41169739</v>
      </c>
      <c r="H72" s="20" t="n">
        <v>1.98540493</v>
      </c>
      <c r="I72" s="18" t="n">
        <v>6.4317689</v>
      </c>
      <c r="J72" s="20" t="n">
        <v>1.29826301</v>
      </c>
      <c r="K72" s="18" t="s">
        <v>431</v>
      </c>
      <c r="L72" s="20" t="s">
        <v>431</v>
      </c>
      <c r="M72" s="18" t="n">
        <v>3.02066802</v>
      </c>
      <c r="N72" s="20" t="n">
        <v>0.713944</v>
      </c>
      <c r="O72" s="18" t="n">
        <v>0</v>
      </c>
      <c r="P72" s="20" t="n">
        <v>0</v>
      </c>
      <c r="Q72" s="18" t="n">
        <v>0</v>
      </c>
      <c r="R72" s="20" t="n">
        <v>0</v>
      </c>
      <c r="S72" s="18" t="n">
        <v>0</v>
      </c>
      <c r="T72" s="20" t="n">
        <v>0</v>
      </c>
    </row>
    <row r="73" spans="1:20">
      <c r="A73" s="15" t="s">
        <v>497</v>
      </c>
      <c r="B73" s="17" t="n">
        <v>3597</v>
      </c>
      <c r="C73" s="18">
        <f>(3197.0/B73*100)</f>
        <v/>
      </c>
      <c r="D73" s="19" t="n">
        <v>400</v>
      </c>
      <c r="E73" s="18" t="n">
        <v>88.82209725</v>
      </c>
      <c r="F73" s="20" t="n">
        <v>1.73453538</v>
      </c>
      <c r="G73" s="18" t="n">
        <v>7.82569561</v>
      </c>
      <c r="H73" s="20" t="n">
        <v>1.58884912</v>
      </c>
      <c r="I73" s="18" t="n">
        <v>2.29723152</v>
      </c>
      <c r="J73" s="20" t="n">
        <v>0.68818077</v>
      </c>
      <c r="K73" s="18" t="s">
        <v>431</v>
      </c>
      <c r="L73" s="20" t="s">
        <v>431</v>
      </c>
      <c r="M73" s="18" t="n">
        <v>1.05497562</v>
      </c>
      <c r="N73" s="20" t="n">
        <v>0.51896562</v>
      </c>
      <c r="O73" s="18" t="n">
        <v>0</v>
      </c>
      <c r="P73" s="20" t="n">
        <v>0</v>
      </c>
      <c r="Q73" s="18" t="n">
        <v>0</v>
      </c>
      <c r="R73" s="20" t="n">
        <v>0</v>
      </c>
      <c r="S73" s="18" t="n">
        <v>0</v>
      </c>
      <c r="T73" s="20" t="n">
        <v>0</v>
      </c>
    </row>
    <row r="74" spans="1:20">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2406</v>
      </c>
      <c r="C75" s="18">
        <f>(2159.0/B75*100)</f>
        <v/>
      </c>
      <c r="D75" s="19" t="n">
        <v>247</v>
      </c>
      <c r="E75" s="18" t="n">
        <v>84.41419184999999</v>
      </c>
      <c r="F75" s="20" t="n">
        <v>1.97568552</v>
      </c>
      <c r="G75" s="18" t="n">
        <v>2.32834093</v>
      </c>
      <c r="H75" s="20" t="n">
        <v>0.92350043</v>
      </c>
      <c r="I75" s="18" t="n">
        <v>0</v>
      </c>
      <c r="J75" s="20" t="n">
        <v>0</v>
      </c>
      <c r="K75" s="18" t="s">
        <v>431</v>
      </c>
      <c r="L75" s="20" t="s">
        <v>431</v>
      </c>
      <c r="M75" s="18" t="n">
        <v>13.25746722</v>
      </c>
      <c r="N75" s="20" t="n">
        <v>2.02883276</v>
      </c>
      <c r="O75" s="18" t="n">
        <v>0</v>
      </c>
      <c r="P75" s="20" t="n">
        <v>0</v>
      </c>
      <c r="Q75" s="18" t="n">
        <v>0</v>
      </c>
      <c r="R75" s="20" t="n">
        <v>0</v>
      </c>
      <c r="S75" s="18" t="n">
        <v>0</v>
      </c>
      <c r="T75" s="20" t="n">
        <v>0</v>
      </c>
    </row>
    <row r="76" spans="1:20">
      <c r="A76" s="15" t="s">
        <v>500</v>
      </c>
      <c r="B76" s="17" t="n">
        <v>7052</v>
      </c>
      <c r="C76" s="18">
        <f>(6224.0/B76*100)</f>
        <v/>
      </c>
      <c r="D76" s="19" t="n">
        <v>828</v>
      </c>
      <c r="E76" s="18" t="n">
        <v>79.01678662</v>
      </c>
      <c r="F76" s="20" t="n">
        <v>1.82680882</v>
      </c>
      <c r="G76" s="18" t="n">
        <v>14.19022114</v>
      </c>
      <c r="H76" s="20" t="n">
        <v>1.62466248</v>
      </c>
      <c r="I76" s="18" t="n">
        <v>1.24177714</v>
      </c>
      <c r="J76" s="20" t="n">
        <v>0.50207191</v>
      </c>
      <c r="K76" s="18" t="s">
        <v>431</v>
      </c>
      <c r="L76" s="20" t="s">
        <v>431</v>
      </c>
      <c r="M76" s="18" t="n">
        <v>5.5512151</v>
      </c>
      <c r="N76" s="20" t="n">
        <v>0.89719403</v>
      </c>
      <c r="O76" s="18" t="n">
        <v>0</v>
      </c>
      <c r="P76" s="20" t="n">
        <v>0</v>
      </c>
      <c r="Q76" s="18" t="n">
        <v>0</v>
      </c>
      <c r="R76" s="20" t="n">
        <v>0</v>
      </c>
      <c r="S76" s="18" t="n">
        <v>0</v>
      </c>
      <c r="T76" s="20" t="n">
        <v>0</v>
      </c>
    </row>
    <row r="77" spans="1:20">
      <c r="A77" s="15" t="s">
        <v>501</v>
      </c>
      <c r="B77" s="17" t="n">
        <v>2908</v>
      </c>
      <c r="C77" s="18">
        <f>(2570.0/B77*100)</f>
        <v/>
      </c>
      <c r="D77" s="19" t="n">
        <v>338</v>
      </c>
      <c r="E77" s="18" t="n">
        <v>68.6664507</v>
      </c>
      <c r="F77" s="20" t="n">
        <v>2.85232837</v>
      </c>
      <c r="G77" s="18" t="n">
        <v>12.02161232</v>
      </c>
      <c r="H77" s="20" t="n">
        <v>1.7628383</v>
      </c>
      <c r="I77" s="18" t="n">
        <v>0.26856127</v>
      </c>
      <c r="J77" s="20" t="n">
        <v>0.27149197</v>
      </c>
      <c r="K77" s="18" t="s">
        <v>431</v>
      </c>
      <c r="L77" s="20" t="s">
        <v>431</v>
      </c>
      <c r="M77" s="18" t="n">
        <v>19.0433757</v>
      </c>
      <c r="N77" s="20" t="n">
        <v>2.37438612</v>
      </c>
      <c r="O77" s="18" t="n">
        <v>0</v>
      </c>
      <c r="P77" s="20" t="n">
        <v>0</v>
      </c>
      <c r="Q77" s="18" t="n">
        <v>0</v>
      </c>
      <c r="R77" s="20" t="n">
        <v>0</v>
      </c>
      <c r="S77" s="18" t="n">
        <v>0</v>
      </c>
      <c r="T77" s="20" t="n">
        <v>0</v>
      </c>
    </row>
    <row r="78" spans="1:20">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(3671.0/B81*100)</f>
        <v/>
      </c>
      <c r="D81" s="19" t="n">
        <v>492</v>
      </c>
      <c r="E81" s="18" t="n">
        <v>84.64635833</v>
      </c>
      <c r="F81" s="20" t="n">
        <v>2.30514079</v>
      </c>
      <c r="G81" s="18" t="n">
        <v>10.63360382</v>
      </c>
      <c r="H81" s="20" t="n">
        <v>1.89147832</v>
      </c>
      <c r="I81" s="18" t="n">
        <v>1.40029914</v>
      </c>
      <c r="J81" s="20" t="n">
        <v>0.67643516</v>
      </c>
      <c r="K81" s="18" t="s">
        <v>431</v>
      </c>
      <c r="L81" s="20" t="s">
        <v>431</v>
      </c>
      <c r="M81" s="18" t="n">
        <v>3.31973871</v>
      </c>
      <c r="N81" s="20" t="n">
        <v>1.08999218</v>
      </c>
      <c r="O81" s="18" t="n">
        <v>0</v>
      </c>
      <c r="P81" s="20" t="n">
        <v>0</v>
      </c>
      <c r="Q81" s="18" t="n">
        <v>0</v>
      </c>
      <c r="R81" s="20" t="n">
        <v>0</v>
      </c>
      <c r="S81" s="18" t="n">
        <v>0</v>
      </c>
      <c r="T81" s="20" t="n">
        <v>0</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(6457.0/B7*100)</f>
        <v/>
      </c>
      <c r="D7" s="19" t="n">
        <v>910</v>
      </c>
      <c r="E7" s="18" t="n">
        <v>33.37841956</v>
      </c>
      <c r="F7" s="20" t="n">
        <v>1.88548267</v>
      </c>
      <c r="G7" s="18" t="n">
        <v>63.28592969</v>
      </c>
      <c r="H7" s="20" t="n">
        <v>1.88668907</v>
      </c>
      <c r="I7" s="18" t="s">
        <v>431</v>
      </c>
      <c r="J7" s="20" t="s">
        <v>431</v>
      </c>
      <c r="K7" s="18" t="n">
        <v>0.18769661</v>
      </c>
      <c r="L7" s="20" t="n">
        <v>0.20060728</v>
      </c>
      <c r="M7" s="18" t="n">
        <v>0.05213036</v>
      </c>
      <c r="N7" s="20" t="n">
        <v>0.04055237</v>
      </c>
      <c r="O7" s="18" t="n">
        <v>0</v>
      </c>
      <c r="P7" s="20" t="n">
        <v>0</v>
      </c>
      <c r="Q7" s="18" t="n">
        <v>3.09582377</v>
      </c>
      <c r="R7" s="20" t="n">
        <v>0.58009856</v>
      </c>
    </row>
    <row r="8" spans="1:18">
      <c r="A8" s="15" t="s">
        <v>432</v>
      </c>
      <c r="B8" s="17" t="n">
        <v>3564</v>
      </c>
      <c r="C8" s="18">
        <f>(3138.0/B8*100)</f>
        <v/>
      </c>
      <c r="D8" s="19" t="n">
        <v>426</v>
      </c>
      <c r="E8" s="18" t="n">
        <v>13.19539891</v>
      </c>
      <c r="F8" s="20" t="n">
        <v>1.8323557</v>
      </c>
      <c r="G8" s="18" t="n">
        <v>83.64415289</v>
      </c>
      <c r="H8" s="20" t="n">
        <v>1.9565427</v>
      </c>
      <c r="I8" s="18" t="s">
        <v>431</v>
      </c>
      <c r="J8" s="20" t="s">
        <v>431</v>
      </c>
      <c r="K8" s="18" t="n">
        <v>0</v>
      </c>
      <c r="L8" s="20" t="n">
        <v>0</v>
      </c>
      <c r="M8" s="18" t="n">
        <v>0</v>
      </c>
      <c r="N8" s="20" t="n">
        <v>0</v>
      </c>
      <c r="O8" s="18" t="n">
        <v>0</v>
      </c>
      <c r="P8" s="20" t="n">
        <v>0</v>
      </c>
      <c r="Q8" s="18" t="n">
        <v>3.1604482</v>
      </c>
      <c r="R8" s="20" t="n">
        <v>0.91266383</v>
      </c>
    </row>
    <row r="9" spans="1:18">
      <c r="A9" s="15" t="s">
        <v>433</v>
      </c>
      <c r="B9" s="17" t="n">
        <v>4899</v>
      </c>
      <c r="C9" s="18">
        <f>(4321.0/B9*100)</f>
        <v/>
      </c>
      <c r="D9" s="19" t="n">
        <v>578</v>
      </c>
      <c r="E9" s="18" t="n">
        <v>22.64057828</v>
      </c>
      <c r="F9" s="20" t="n">
        <v>2.27395567</v>
      </c>
      <c r="G9" s="18" t="n">
        <v>74.02868654</v>
      </c>
      <c r="H9" s="20" t="n">
        <v>2.31258015</v>
      </c>
      <c r="I9" s="18" t="s">
        <v>431</v>
      </c>
      <c r="J9" s="20" t="s">
        <v>431</v>
      </c>
      <c r="K9" s="18" t="n">
        <v>0</v>
      </c>
      <c r="L9" s="20" t="n">
        <v>0</v>
      </c>
      <c r="M9" s="18" t="n">
        <v>0.12668154</v>
      </c>
      <c r="N9" s="20" t="n">
        <v>0.12898087</v>
      </c>
      <c r="O9" s="18" t="n">
        <v>0</v>
      </c>
      <c r="P9" s="20" t="n">
        <v>0</v>
      </c>
      <c r="Q9" s="18" t="n">
        <v>3.20405365</v>
      </c>
      <c r="R9" s="20" t="n">
        <v>0.75527678</v>
      </c>
    </row>
    <row r="10" spans="1:18">
      <c r="A10" s="15" t="s">
        <v>434</v>
      </c>
      <c r="B10" s="17" t="n">
        <v>10036</v>
      </c>
      <c r="C10" s="18">
        <f>(8782.0/B10*100)</f>
        <v/>
      </c>
      <c r="D10" s="19" t="n">
        <v>1254</v>
      </c>
      <c r="E10" s="18" t="n">
        <v>29.90980655</v>
      </c>
      <c r="F10" s="20" t="n">
        <v>1.5368579</v>
      </c>
      <c r="G10" s="18" t="n">
        <v>67.43064554999999</v>
      </c>
      <c r="H10" s="20" t="n">
        <v>1.70818733</v>
      </c>
      <c r="I10" s="18" t="s">
        <v>431</v>
      </c>
      <c r="J10" s="20" t="s">
        <v>431</v>
      </c>
      <c r="K10" s="18" t="n">
        <v>0.19122117</v>
      </c>
      <c r="L10" s="20" t="n">
        <v>0.17593448</v>
      </c>
      <c r="M10" s="18" t="n">
        <v>0</v>
      </c>
      <c r="N10" s="20" t="n">
        <v>0</v>
      </c>
      <c r="O10" s="18" t="n">
        <v>0</v>
      </c>
      <c r="P10" s="20" t="n">
        <v>0</v>
      </c>
      <c r="Q10" s="18" t="n">
        <v>2.46832673</v>
      </c>
      <c r="R10" s="20" t="n">
        <v>0.60177949</v>
      </c>
    </row>
    <row r="11" spans="1:18">
      <c r="A11" s="15" t="s">
        <v>435</v>
      </c>
      <c r="B11" s="17" t="n">
        <v>3553</v>
      </c>
      <c r="C11" s="18">
        <f>(3124.0/B11*100)</f>
        <v/>
      </c>
      <c r="D11" s="19" t="n">
        <v>429</v>
      </c>
      <c r="E11" s="18" t="n">
        <v>21.97189387</v>
      </c>
      <c r="F11" s="20" t="n">
        <v>2.77730471</v>
      </c>
      <c r="G11" s="18" t="n">
        <v>71.03132948</v>
      </c>
      <c r="H11" s="20" t="n">
        <v>2.91362994</v>
      </c>
      <c r="I11" s="18" t="s">
        <v>431</v>
      </c>
      <c r="J11" s="20" t="s">
        <v>431</v>
      </c>
      <c r="K11" s="18" t="n">
        <v>0.29941266</v>
      </c>
      <c r="L11" s="20" t="n">
        <v>0.29984249</v>
      </c>
      <c r="M11" s="18" t="n">
        <v>0</v>
      </c>
      <c r="N11" s="20" t="n">
        <v>0</v>
      </c>
      <c r="O11" s="18" t="n">
        <v>0</v>
      </c>
      <c r="P11" s="20" t="n">
        <v>0</v>
      </c>
      <c r="Q11" s="18" t="n">
        <v>6.69736399</v>
      </c>
      <c r="R11" s="20" t="n">
        <v>1.42328485</v>
      </c>
    </row>
    <row r="12" spans="1:18">
      <c r="A12" s="15" t="s">
        <v>436</v>
      </c>
      <c r="B12" s="17" t="n">
        <v>3472</v>
      </c>
      <c r="C12" s="18">
        <f>(3060.0/B12*100)</f>
        <v/>
      </c>
      <c r="D12" s="19" t="n">
        <v>412</v>
      </c>
      <c r="E12" s="18" t="n">
        <v>15.7425424</v>
      </c>
      <c r="F12" s="20" t="n">
        <v>1.72425995</v>
      </c>
      <c r="G12" s="18" t="n">
        <v>78.38637622</v>
      </c>
      <c r="H12" s="20" t="n">
        <v>1.99000915</v>
      </c>
      <c r="I12" s="18" t="s">
        <v>431</v>
      </c>
      <c r="J12" s="20" t="s">
        <v>431</v>
      </c>
      <c r="K12" s="18" t="n">
        <v>0</v>
      </c>
      <c r="L12" s="20" t="n">
        <v>0</v>
      </c>
      <c r="M12" s="18" t="n">
        <v>0</v>
      </c>
      <c r="N12" s="20" t="n">
        <v>0</v>
      </c>
      <c r="O12" s="18" t="n">
        <v>0</v>
      </c>
      <c r="P12" s="20" t="n">
        <v>0</v>
      </c>
      <c r="Q12" s="18" t="n">
        <v>5.87108138</v>
      </c>
      <c r="R12" s="20" t="n">
        <v>1.34621487</v>
      </c>
    </row>
    <row r="13" spans="1:18">
      <c r="A13" s="15" t="s">
        <v>437</v>
      </c>
      <c r="B13" s="17" t="n">
        <v>3559</v>
      </c>
      <c r="C13" s="18">
        <f>(3153.0/B13*100)</f>
        <v/>
      </c>
      <c r="D13" s="19" t="n">
        <v>406</v>
      </c>
      <c r="E13" s="18" t="n">
        <v>25.87543066</v>
      </c>
      <c r="F13" s="20" t="n">
        <v>2.5611192</v>
      </c>
      <c r="G13" s="18" t="n">
        <v>73.41367672</v>
      </c>
      <c r="H13" s="20" t="n">
        <v>2.60508543</v>
      </c>
      <c r="I13" s="18" t="s">
        <v>431</v>
      </c>
      <c r="J13" s="20" t="s">
        <v>431</v>
      </c>
      <c r="K13" s="18" t="n">
        <v>0</v>
      </c>
      <c r="L13" s="20" t="n">
        <v>0</v>
      </c>
      <c r="M13" s="18" t="n">
        <v>0</v>
      </c>
      <c r="N13" s="20" t="n">
        <v>0</v>
      </c>
      <c r="O13" s="18" t="n">
        <v>0</v>
      </c>
      <c r="P13" s="20" t="n">
        <v>0</v>
      </c>
      <c r="Q13" s="18" t="n">
        <v>0.71089262</v>
      </c>
      <c r="R13" s="20" t="n">
        <v>0.27871189</v>
      </c>
    </row>
    <row r="14" spans="1:18">
      <c r="A14" s="15" t="s">
        <v>438</v>
      </c>
      <c r="B14" s="17" t="n">
        <v>2799</v>
      </c>
      <c r="C14" s="18">
        <f>(2449.0/B14*100)</f>
        <v/>
      </c>
      <c r="D14" s="19" t="n">
        <v>350</v>
      </c>
      <c r="E14" s="18" t="n">
        <v>19.83604165</v>
      </c>
      <c r="F14" s="20" t="n">
        <v>2.29576233</v>
      </c>
      <c r="G14" s="18" t="n">
        <v>78.79132353</v>
      </c>
      <c r="H14" s="20" t="n">
        <v>2.33336392</v>
      </c>
      <c r="I14" s="18" t="s">
        <v>431</v>
      </c>
      <c r="J14" s="20" t="s">
        <v>431</v>
      </c>
      <c r="K14" s="18" t="n">
        <v>0</v>
      </c>
      <c r="L14" s="20" t="n">
        <v>0</v>
      </c>
      <c r="M14" s="18" t="n">
        <v>0</v>
      </c>
      <c r="N14" s="20" t="n">
        <v>0</v>
      </c>
      <c r="O14" s="18" t="n">
        <v>0</v>
      </c>
      <c r="P14" s="20" t="n">
        <v>0</v>
      </c>
      <c r="Q14" s="18" t="n">
        <v>1.37263482</v>
      </c>
      <c r="R14" s="20" t="n">
        <v>0.5509257400000001</v>
      </c>
    </row>
    <row r="15" spans="1:18">
      <c r="A15" s="15" t="s">
        <v>439</v>
      </c>
      <c r="B15" s="17" t="n">
        <v>3019</v>
      </c>
      <c r="C15" s="18">
        <f>(2648.0/B15*100)</f>
        <v/>
      </c>
      <c r="D15" s="19" t="n">
        <v>371</v>
      </c>
      <c r="E15" s="18" t="n">
        <v>22.4509817</v>
      </c>
      <c r="F15" s="20" t="n">
        <v>2.38446332</v>
      </c>
      <c r="G15" s="18" t="n">
        <v>74.93570261000001</v>
      </c>
      <c r="H15" s="20" t="n">
        <v>2.42012248</v>
      </c>
      <c r="I15" s="18" t="s">
        <v>431</v>
      </c>
      <c r="J15" s="20" t="s">
        <v>431</v>
      </c>
      <c r="K15" s="18" t="n">
        <v>0</v>
      </c>
      <c r="L15" s="20" t="n">
        <v>0</v>
      </c>
      <c r="M15" s="18" t="n">
        <v>0</v>
      </c>
      <c r="N15" s="20" t="n">
        <v>0</v>
      </c>
      <c r="O15" s="18" t="n">
        <v>0</v>
      </c>
      <c r="P15" s="20" t="n">
        <v>0</v>
      </c>
      <c r="Q15" s="18" t="n">
        <v>2.61331568</v>
      </c>
      <c r="R15" s="20" t="n">
        <v>0.8419952000000001</v>
      </c>
    </row>
    <row r="16" spans="1:18">
      <c r="A16" s="15" t="s">
        <v>440</v>
      </c>
      <c r="B16" s="17" t="n">
        <v>2997</v>
      </c>
      <c r="C16" s="18">
        <f>(2638.0/B16*100)</f>
        <v/>
      </c>
      <c r="D16" s="19" t="n">
        <v>359</v>
      </c>
      <c r="E16" s="18" t="n">
        <v>18.36594581</v>
      </c>
      <c r="F16" s="20" t="n">
        <v>1.98706072</v>
      </c>
      <c r="G16" s="18" t="n">
        <v>76.18842442</v>
      </c>
      <c r="H16" s="20" t="n">
        <v>2.17623797</v>
      </c>
      <c r="I16" s="18" t="s">
        <v>431</v>
      </c>
      <c r="J16" s="20" t="s">
        <v>431</v>
      </c>
      <c r="K16" s="18" t="n">
        <v>0</v>
      </c>
      <c r="L16" s="20" t="n">
        <v>0</v>
      </c>
      <c r="M16" s="18" t="n">
        <v>0</v>
      </c>
      <c r="N16" s="20" t="n">
        <v>0</v>
      </c>
      <c r="O16" s="18" t="n">
        <v>0</v>
      </c>
      <c r="P16" s="20" t="n">
        <v>0</v>
      </c>
      <c r="Q16" s="18" t="n">
        <v>5.44562977</v>
      </c>
      <c r="R16" s="20" t="n">
        <v>1.23263882</v>
      </c>
    </row>
    <row r="17" spans="1:18">
      <c r="A17" s="15" t="s">
        <v>441</v>
      </c>
      <c r="B17" s="17" t="n">
        <v>3307</v>
      </c>
      <c r="C17" s="18">
        <f>(2904.0/B17*100)</f>
        <v/>
      </c>
      <c r="D17" s="19" t="n">
        <v>403</v>
      </c>
      <c r="E17" s="18" t="n">
        <v>9.708709410000001</v>
      </c>
      <c r="F17" s="20" t="n">
        <v>2.07123174</v>
      </c>
      <c r="G17" s="18" t="n">
        <v>88.70820418</v>
      </c>
      <c r="H17" s="20" t="n">
        <v>2.12402786</v>
      </c>
      <c r="I17" s="18" t="s">
        <v>431</v>
      </c>
      <c r="J17" s="20" t="s">
        <v>431</v>
      </c>
      <c r="K17" s="18" t="n">
        <v>0.4809244</v>
      </c>
      <c r="L17" s="20" t="n">
        <v>0.34393884</v>
      </c>
      <c r="M17" s="18" t="n">
        <v>0</v>
      </c>
      <c r="N17" s="20" t="n">
        <v>0</v>
      </c>
      <c r="O17" s="18" t="n">
        <v>0</v>
      </c>
      <c r="P17" s="20" t="n">
        <v>0</v>
      </c>
      <c r="Q17" s="18" t="n">
        <v>1.10216201</v>
      </c>
      <c r="R17" s="20" t="n">
        <v>0.48423022</v>
      </c>
    </row>
    <row r="18" spans="1:18">
      <c r="A18" s="15" t="s">
        <v>442</v>
      </c>
      <c r="B18" s="17" t="n">
        <v>2826</v>
      </c>
      <c r="C18" s="18">
        <f>(2483.0/B18*100)</f>
        <v/>
      </c>
      <c r="D18" s="19" t="n">
        <v>343</v>
      </c>
      <c r="E18" s="18" t="n">
        <v>18.47591509</v>
      </c>
      <c r="F18" s="20" t="n">
        <v>2.77190824</v>
      </c>
      <c r="G18" s="18" t="n">
        <v>79.05530555999999</v>
      </c>
      <c r="H18" s="20" t="n">
        <v>2.86899789</v>
      </c>
      <c r="I18" s="18" t="s">
        <v>431</v>
      </c>
      <c r="J18" s="20" t="s">
        <v>431</v>
      </c>
      <c r="K18" s="18" t="n">
        <v>0</v>
      </c>
      <c r="L18" s="20" t="n">
        <v>0</v>
      </c>
      <c r="M18" s="18" t="n">
        <v>0</v>
      </c>
      <c r="N18" s="20" t="n">
        <v>0</v>
      </c>
      <c r="O18" s="18" t="n">
        <v>0</v>
      </c>
      <c r="P18" s="20" t="n">
        <v>0</v>
      </c>
      <c r="Q18" s="18" t="n">
        <v>2.46877935</v>
      </c>
      <c r="R18" s="20" t="n">
        <v>1.07771111</v>
      </c>
    </row>
    <row r="19" spans="1:18">
      <c r="A19" s="15" t="s">
        <v>443</v>
      </c>
      <c r="B19" s="17" t="n">
        <v>2808</v>
      </c>
      <c r="C19" s="18">
        <f>(2473.0/B19*100)</f>
        <v/>
      </c>
      <c r="D19" s="19" t="n">
        <v>335</v>
      </c>
      <c r="E19" s="18" t="n">
        <v>24.659487</v>
      </c>
      <c r="F19" s="20" t="n">
        <v>2.70207242</v>
      </c>
      <c r="G19" s="18" t="n">
        <v>71.41655202</v>
      </c>
      <c r="H19" s="20" t="n">
        <v>2.5276932</v>
      </c>
      <c r="I19" s="18" t="s">
        <v>431</v>
      </c>
      <c r="J19" s="20" t="s">
        <v>431</v>
      </c>
      <c r="K19" s="18" t="n">
        <v>0</v>
      </c>
      <c r="L19" s="20" t="n">
        <v>0</v>
      </c>
      <c r="M19" s="18" t="n">
        <v>0</v>
      </c>
      <c r="N19" s="20" t="n">
        <v>0</v>
      </c>
      <c r="O19" s="18" t="n">
        <v>0</v>
      </c>
      <c r="P19" s="20" t="n">
        <v>0</v>
      </c>
      <c r="Q19" s="18" t="n">
        <v>3.92396099</v>
      </c>
      <c r="R19" s="20" t="n">
        <v>1.16140051</v>
      </c>
    </row>
    <row r="20" spans="1:18">
      <c r="A20" s="15" t="s">
        <v>444</v>
      </c>
      <c r="B20" s="17" t="n">
        <v>1630</v>
      </c>
      <c r="C20" s="18">
        <f>(1438.0/B20*100)</f>
        <v/>
      </c>
      <c r="D20" s="19" t="n">
        <v>192</v>
      </c>
      <c r="E20" s="18" t="n">
        <v>21.97970734</v>
      </c>
      <c r="F20" s="20" t="n">
        <v>3.02203732</v>
      </c>
      <c r="G20" s="18" t="n">
        <v>74.70374446</v>
      </c>
      <c r="H20" s="20" t="n">
        <v>2.9869023</v>
      </c>
      <c r="I20" s="18" t="s">
        <v>431</v>
      </c>
      <c r="J20" s="20" t="s">
        <v>431</v>
      </c>
      <c r="K20" s="18" t="n">
        <v>0.5123400299999999</v>
      </c>
      <c r="L20" s="20" t="n">
        <v>0.50918025</v>
      </c>
      <c r="M20" s="18" t="n">
        <v>0</v>
      </c>
      <c r="N20" s="20" t="n">
        <v>0</v>
      </c>
      <c r="O20" s="18" t="n">
        <v>0</v>
      </c>
      <c r="P20" s="20" t="n">
        <v>0</v>
      </c>
      <c r="Q20" s="18" t="n">
        <v>2.80420817</v>
      </c>
      <c r="R20" s="20" t="n">
        <v>1.22105101</v>
      </c>
    </row>
    <row r="21" spans="1:18">
      <c r="A21" s="15" t="s">
        <v>445</v>
      </c>
      <c r="B21" s="17" t="n">
        <v>2908</v>
      </c>
      <c r="C21" s="18">
        <f>(2429.0/B21*100)</f>
        <v/>
      </c>
      <c r="D21" s="19" t="n">
        <v>479</v>
      </c>
      <c r="E21" s="18" t="n">
        <v>38.45348596</v>
      </c>
      <c r="F21" s="20" t="n">
        <v>2.39469312</v>
      </c>
      <c r="G21" s="18" t="n">
        <v>60.14530068</v>
      </c>
      <c r="H21" s="20" t="n">
        <v>2.44958367</v>
      </c>
      <c r="I21" s="18" t="s">
        <v>431</v>
      </c>
      <c r="J21" s="20" t="s">
        <v>431</v>
      </c>
      <c r="K21" s="18" t="n">
        <v>0.17378083</v>
      </c>
      <c r="L21" s="20" t="n">
        <v>0.12307943</v>
      </c>
      <c r="M21" s="18" t="n">
        <v>0</v>
      </c>
      <c r="N21" s="20" t="n">
        <v>0</v>
      </c>
      <c r="O21" s="18" t="n">
        <v>0</v>
      </c>
      <c r="P21" s="20" t="n">
        <v>0</v>
      </c>
      <c r="Q21" s="18" t="n">
        <v>1.22743253</v>
      </c>
      <c r="R21" s="20" t="n">
        <v>0.50702678</v>
      </c>
    </row>
    <row r="22" spans="1:18">
      <c r="A22" s="15" t="s">
        <v>446</v>
      </c>
      <c r="B22" s="17" t="n">
        <v>2931</v>
      </c>
      <c r="C22" s="18">
        <f>(2588.0/B22*100)</f>
        <v/>
      </c>
      <c r="D22" s="19" t="n">
        <v>343</v>
      </c>
      <c r="E22" s="18" t="n">
        <v>23.3569953</v>
      </c>
      <c r="F22" s="20" t="n">
        <v>2.44706145</v>
      </c>
      <c r="G22" s="18" t="n">
        <v>73.5378284</v>
      </c>
      <c r="H22" s="20" t="n">
        <v>2.60180877</v>
      </c>
      <c r="I22" s="18" t="s">
        <v>431</v>
      </c>
      <c r="J22" s="20" t="s">
        <v>431</v>
      </c>
      <c r="K22" s="18" t="n">
        <v>0.45577146</v>
      </c>
      <c r="L22" s="20" t="n">
        <v>0.32283519</v>
      </c>
      <c r="M22" s="18" t="n">
        <v>0</v>
      </c>
      <c r="N22" s="20" t="n">
        <v>0</v>
      </c>
      <c r="O22" s="18" t="n">
        <v>0</v>
      </c>
      <c r="P22" s="20" t="n">
        <v>0</v>
      </c>
      <c r="Q22" s="18" t="n">
        <v>2.64940485</v>
      </c>
      <c r="R22" s="20" t="n">
        <v>0.79181071</v>
      </c>
    </row>
    <row r="23" spans="1:18">
      <c r="A23" s="15" t="s">
        <v>447</v>
      </c>
      <c r="B23" s="17" t="n">
        <v>5791</v>
      </c>
      <c r="C23" s="18">
        <f>(5048.0/B23*100)</f>
        <v/>
      </c>
      <c r="D23" s="19" t="n">
        <v>743</v>
      </c>
      <c r="E23" s="18" t="n">
        <v>31.41811709</v>
      </c>
      <c r="F23" s="20" t="n">
        <v>2.83973207</v>
      </c>
      <c r="G23" s="18" t="n">
        <v>63.3760027</v>
      </c>
      <c r="H23" s="20" t="n">
        <v>2.56991299</v>
      </c>
      <c r="I23" s="18" t="s">
        <v>431</v>
      </c>
      <c r="J23" s="20" t="s">
        <v>431</v>
      </c>
      <c r="K23" s="18" t="n">
        <v>0</v>
      </c>
      <c r="L23" s="20" t="n">
        <v>0</v>
      </c>
      <c r="M23" s="18" t="n">
        <v>0.2020759</v>
      </c>
      <c r="N23" s="20" t="n">
        <v>0.23314663</v>
      </c>
      <c r="O23" s="18" t="n">
        <v>0</v>
      </c>
      <c r="P23" s="20" t="n">
        <v>0</v>
      </c>
      <c r="Q23" s="18" t="n">
        <v>5.00380431</v>
      </c>
      <c r="R23" s="20" t="n">
        <v>0.8398801</v>
      </c>
    </row>
    <row r="24" spans="1:18">
      <c r="A24" s="15" t="s">
        <v>448</v>
      </c>
      <c r="B24" s="17" t="n">
        <v>3338</v>
      </c>
      <c r="C24" s="18">
        <f>(2935.0/B24*100)</f>
        <v/>
      </c>
      <c r="D24" s="19" t="n">
        <v>403</v>
      </c>
      <c r="E24" s="18" t="n">
        <v>8.49954035</v>
      </c>
      <c r="F24" s="20" t="n">
        <v>1.67009358</v>
      </c>
      <c r="G24" s="18" t="n">
        <v>89.31258937</v>
      </c>
      <c r="H24" s="20" t="n">
        <v>1.75168475</v>
      </c>
      <c r="I24" s="18" t="s">
        <v>431</v>
      </c>
      <c r="J24" s="20" t="s">
        <v>431</v>
      </c>
      <c r="K24" s="18" t="n">
        <v>0</v>
      </c>
      <c r="L24" s="20" t="n">
        <v>0</v>
      </c>
      <c r="M24" s="18" t="n">
        <v>0</v>
      </c>
      <c r="N24" s="20" t="n">
        <v>0</v>
      </c>
      <c r="O24" s="18" t="n">
        <v>0</v>
      </c>
      <c r="P24" s="20" t="n">
        <v>0</v>
      </c>
      <c r="Q24" s="18" t="n">
        <v>2.18787028</v>
      </c>
      <c r="R24" s="20" t="n">
        <v>0.63587535</v>
      </c>
    </row>
    <row r="25" spans="1:18">
      <c r="A25" s="15" t="s">
        <v>449</v>
      </c>
      <c r="B25" s="17" t="n">
        <v>2912</v>
      </c>
      <c r="C25" s="18">
        <f>(2568.0/B25*100)</f>
        <v/>
      </c>
      <c r="D25" s="19" t="n">
        <v>344</v>
      </c>
      <c r="E25" s="18" t="n">
        <v>21.53197074</v>
      </c>
      <c r="F25" s="20" t="n">
        <v>2.35624142</v>
      </c>
      <c r="G25" s="18" t="n">
        <v>76.17714252</v>
      </c>
      <c r="H25" s="20" t="n">
        <v>2.6601247</v>
      </c>
      <c r="I25" s="18" t="s">
        <v>431</v>
      </c>
      <c r="J25" s="20" t="s">
        <v>431</v>
      </c>
      <c r="K25" s="18" t="n">
        <v>0</v>
      </c>
      <c r="L25" s="20" t="n">
        <v>0</v>
      </c>
      <c r="M25" s="18" t="n">
        <v>0</v>
      </c>
      <c r="N25" s="20" t="n">
        <v>0</v>
      </c>
      <c r="O25" s="18" t="n">
        <v>0</v>
      </c>
      <c r="P25" s="20" t="n">
        <v>0</v>
      </c>
      <c r="Q25" s="18" t="n">
        <v>2.29088673</v>
      </c>
      <c r="R25" s="20" t="n">
        <v>0.8337075900000001</v>
      </c>
    </row>
    <row r="26" spans="1:18">
      <c r="A26" s="15" t="s">
        <v>450</v>
      </c>
      <c r="B26" s="17" t="n">
        <v>2450</v>
      </c>
      <c r="C26" s="18">
        <f>(2136.0/B26*100)</f>
        <v/>
      </c>
      <c r="D26" s="19" t="n">
        <v>314</v>
      </c>
      <c r="E26" s="18" t="n">
        <v>27.19258002</v>
      </c>
      <c r="F26" s="20" t="n">
        <v>3.06765711</v>
      </c>
      <c r="G26" s="18" t="n">
        <v>70.38885256</v>
      </c>
      <c r="H26" s="20" t="n">
        <v>3.06596622</v>
      </c>
      <c r="I26" s="18" t="s">
        <v>431</v>
      </c>
      <c r="J26" s="20" t="s">
        <v>431</v>
      </c>
      <c r="K26" s="18" t="n">
        <v>0</v>
      </c>
      <c r="L26" s="20" t="n">
        <v>0</v>
      </c>
      <c r="M26" s="18" t="n">
        <v>0.6345721600000001</v>
      </c>
      <c r="N26" s="20" t="n">
        <v>0.64216124</v>
      </c>
      <c r="O26" s="18" t="n">
        <v>0</v>
      </c>
      <c r="P26" s="20" t="n">
        <v>0</v>
      </c>
      <c r="Q26" s="18" t="n">
        <v>1.78399527</v>
      </c>
      <c r="R26" s="20" t="n">
        <v>0.73804074</v>
      </c>
    </row>
    <row r="27" spans="1:18">
      <c r="A27" s="15" t="s">
        <v>451</v>
      </c>
      <c r="B27" s="17" t="n">
        <v>2616</v>
      </c>
      <c r="C27" s="18">
        <f>(2295.0/B27*100)</f>
        <v/>
      </c>
      <c r="D27" s="19" t="n">
        <v>321</v>
      </c>
      <c r="E27" s="18" t="n">
        <v>18.62498644</v>
      </c>
      <c r="F27" s="20" t="n">
        <v>2.11000414</v>
      </c>
      <c r="G27" s="18" t="n">
        <v>77.93701024000001</v>
      </c>
      <c r="H27" s="20" t="n">
        <v>2.23851275</v>
      </c>
      <c r="I27" s="18" t="s">
        <v>431</v>
      </c>
      <c r="J27" s="20" t="s">
        <v>431</v>
      </c>
      <c r="K27" s="18" t="n">
        <v>0</v>
      </c>
      <c r="L27" s="20" t="n">
        <v>0</v>
      </c>
      <c r="M27" s="18" t="n">
        <v>0</v>
      </c>
      <c r="N27" s="20" t="n">
        <v>0</v>
      </c>
      <c r="O27" s="18" t="n">
        <v>0</v>
      </c>
      <c r="P27" s="20" t="n">
        <v>0</v>
      </c>
      <c r="Q27" s="18" t="n">
        <v>3.43800332</v>
      </c>
      <c r="R27" s="20" t="n">
        <v>1.0301862</v>
      </c>
    </row>
    <row r="28" spans="1:18">
      <c r="A28" s="15" t="s">
        <v>452</v>
      </c>
      <c r="B28" s="17" t="n">
        <v>3765</v>
      </c>
      <c r="C28" s="18">
        <f>(3293.0/B28*100)</f>
        <v/>
      </c>
      <c r="D28" s="19" t="n">
        <v>472</v>
      </c>
      <c r="E28" s="18" t="n">
        <v>30.35254166</v>
      </c>
      <c r="F28" s="20" t="n">
        <v>2.65451352</v>
      </c>
      <c r="G28" s="18" t="n">
        <v>66.83441500000001</v>
      </c>
      <c r="H28" s="20" t="n">
        <v>2.85848691</v>
      </c>
      <c r="I28" s="18" t="s">
        <v>431</v>
      </c>
      <c r="J28" s="20" t="s">
        <v>431</v>
      </c>
      <c r="K28" s="18" t="n">
        <v>0.30243781</v>
      </c>
      <c r="L28" s="20" t="n">
        <v>0.30181833</v>
      </c>
      <c r="M28" s="18" t="n">
        <v>0</v>
      </c>
      <c r="N28" s="20" t="n">
        <v>0</v>
      </c>
      <c r="O28" s="18" t="n">
        <v>0</v>
      </c>
      <c r="P28" s="20" t="n">
        <v>0</v>
      </c>
      <c r="Q28" s="18" t="n">
        <v>2.51060553</v>
      </c>
      <c r="R28" s="20" t="n">
        <v>1.06097575</v>
      </c>
    </row>
    <row r="29" spans="1:18">
      <c r="A29" s="15" t="s">
        <v>453</v>
      </c>
      <c r="B29" s="17" t="n">
        <v>2685</v>
      </c>
      <c r="C29" s="18">
        <f>(2346.0/B29*100)</f>
        <v/>
      </c>
      <c r="D29" s="19" t="n">
        <v>339</v>
      </c>
      <c r="E29" s="18" t="n">
        <v>14.51064366</v>
      </c>
      <c r="F29" s="20" t="n">
        <v>1.72595785</v>
      </c>
      <c r="G29" s="18" t="n">
        <v>83.53889934999999</v>
      </c>
      <c r="H29" s="20" t="n">
        <v>1.87072394</v>
      </c>
      <c r="I29" s="18" t="s">
        <v>431</v>
      </c>
      <c r="J29" s="20" t="s">
        <v>431</v>
      </c>
      <c r="K29" s="18" t="n">
        <v>0.17456224</v>
      </c>
      <c r="L29" s="20" t="n">
        <v>0.17548825</v>
      </c>
      <c r="M29" s="18" t="n">
        <v>0</v>
      </c>
      <c r="N29" s="20" t="n">
        <v>0</v>
      </c>
      <c r="O29" s="18" t="n">
        <v>0</v>
      </c>
      <c r="P29" s="20" t="n">
        <v>0</v>
      </c>
      <c r="Q29" s="18" t="n">
        <v>1.77589475</v>
      </c>
      <c r="R29" s="20" t="n">
        <v>0.77800848</v>
      </c>
    </row>
    <row r="30" spans="1:18">
      <c r="A30" s="15" t="s">
        <v>454</v>
      </c>
      <c r="B30" s="17" t="n">
        <v>2263</v>
      </c>
      <c r="C30" s="18">
        <f>(1969.0/B30*100)</f>
        <v/>
      </c>
      <c r="D30" s="19" t="n">
        <v>294</v>
      </c>
      <c r="E30" s="18" t="n">
        <v>31.04911318</v>
      </c>
      <c r="F30" s="20" t="n">
        <v>2.72703727</v>
      </c>
      <c r="G30" s="18" t="n">
        <v>64.02388563</v>
      </c>
      <c r="H30" s="20" t="n">
        <v>2.94004294</v>
      </c>
      <c r="I30" s="18" t="s">
        <v>431</v>
      </c>
      <c r="J30" s="20" t="s">
        <v>431</v>
      </c>
      <c r="K30" s="18" t="n">
        <v>0.26973102</v>
      </c>
      <c r="L30" s="20" t="n">
        <v>0.27148974</v>
      </c>
      <c r="M30" s="18" t="n">
        <v>0.76315746</v>
      </c>
      <c r="N30" s="20" t="n">
        <v>0.54929471</v>
      </c>
      <c r="O30" s="18" t="n">
        <v>0</v>
      </c>
      <c r="P30" s="20" t="n">
        <v>0</v>
      </c>
      <c r="Q30" s="18" t="n">
        <v>3.89411271</v>
      </c>
      <c r="R30" s="20" t="n">
        <v>1.17665519</v>
      </c>
    </row>
    <row r="31" spans="1:18">
      <c r="A31" s="15" t="s">
        <v>455</v>
      </c>
      <c r="B31" s="17" t="n">
        <v>2750</v>
      </c>
      <c r="C31" s="18">
        <f>(2415.0/B31*100)</f>
        <v/>
      </c>
      <c r="D31" s="19" t="n">
        <v>335</v>
      </c>
      <c r="E31" s="18" t="n">
        <v>13.53551817</v>
      </c>
      <c r="F31" s="20" t="n">
        <v>1.92951077</v>
      </c>
      <c r="G31" s="18" t="n">
        <v>83.22580031</v>
      </c>
      <c r="H31" s="20" t="n">
        <v>2.20529805</v>
      </c>
      <c r="I31" s="18" t="s">
        <v>431</v>
      </c>
      <c r="J31" s="20" t="s">
        <v>431</v>
      </c>
      <c r="K31" s="18" t="n">
        <v>0.29836286</v>
      </c>
      <c r="L31" s="20" t="n">
        <v>0.28835479</v>
      </c>
      <c r="M31" s="18" t="n">
        <v>0.31578435</v>
      </c>
      <c r="N31" s="20" t="n">
        <v>0.34092379</v>
      </c>
      <c r="O31" s="18" t="n">
        <v>0</v>
      </c>
      <c r="P31" s="20" t="n">
        <v>0</v>
      </c>
      <c r="Q31" s="18" t="n">
        <v>2.6245343</v>
      </c>
      <c r="R31" s="20" t="n">
        <v>0.8746950100000001</v>
      </c>
    </row>
    <row r="32" spans="1:18">
      <c r="A32" s="15" t="s">
        <v>456</v>
      </c>
      <c r="B32" s="17" t="n">
        <v>2269</v>
      </c>
      <c r="C32" s="18">
        <f>(1917.0/B32*100)</f>
        <v/>
      </c>
      <c r="D32" s="19" t="n">
        <v>352</v>
      </c>
      <c r="E32" s="18" t="n">
        <v>14.72026125</v>
      </c>
      <c r="F32" s="20" t="n">
        <v>1.82484263</v>
      </c>
      <c r="G32" s="18" t="n">
        <v>82.98945223</v>
      </c>
      <c r="H32" s="20" t="n">
        <v>1.88665076</v>
      </c>
      <c r="I32" s="18" t="s">
        <v>431</v>
      </c>
      <c r="J32" s="20" t="s">
        <v>431</v>
      </c>
      <c r="K32" s="18" t="n">
        <v>0</v>
      </c>
      <c r="L32" s="20" t="n">
        <v>0</v>
      </c>
      <c r="M32" s="18" t="n">
        <v>0</v>
      </c>
      <c r="N32" s="20" t="n">
        <v>0</v>
      </c>
      <c r="O32" s="18" t="n">
        <v>0</v>
      </c>
      <c r="P32" s="20" t="n">
        <v>0</v>
      </c>
      <c r="Q32" s="18" t="n">
        <v>2.29028652</v>
      </c>
      <c r="R32" s="20" t="n">
        <v>0.6541084700000001</v>
      </c>
    </row>
    <row r="33" spans="1:18">
      <c r="A33" s="15" t="s">
        <v>457</v>
      </c>
      <c r="B33" s="17" t="n">
        <v>3674</v>
      </c>
      <c r="C33" s="18">
        <f>(3219.0/B33*100)</f>
        <v/>
      </c>
      <c r="D33" s="19" t="n">
        <v>455</v>
      </c>
      <c r="E33" s="18" t="n">
        <v>21.08496849</v>
      </c>
      <c r="F33" s="20" t="n">
        <v>2.59183752</v>
      </c>
      <c r="G33" s="18" t="n">
        <v>76.57391033</v>
      </c>
      <c r="H33" s="20" t="n">
        <v>2.59176097</v>
      </c>
      <c r="I33" s="18" t="s">
        <v>431</v>
      </c>
      <c r="J33" s="20" t="s">
        <v>431</v>
      </c>
      <c r="K33" s="18" t="n">
        <v>0</v>
      </c>
      <c r="L33" s="20" t="n">
        <v>0</v>
      </c>
      <c r="M33" s="18" t="n">
        <v>0.23877493</v>
      </c>
      <c r="N33" s="20" t="n">
        <v>0.16643115</v>
      </c>
      <c r="O33" s="18" t="n">
        <v>0</v>
      </c>
      <c r="P33" s="20" t="n">
        <v>0</v>
      </c>
      <c r="Q33" s="18" t="n">
        <v>2.10234625</v>
      </c>
      <c r="R33" s="20" t="n">
        <v>0.7065857800000001</v>
      </c>
    </row>
    <row r="34" spans="1:18">
      <c r="A34" s="15" t="s">
        <v>458</v>
      </c>
      <c r="B34" s="17" t="n">
        <v>3315</v>
      </c>
      <c r="C34" s="18">
        <f>(2928.0/B34*100)</f>
        <v/>
      </c>
      <c r="D34" s="19" t="n">
        <v>387</v>
      </c>
      <c r="E34" s="18" t="n">
        <v>19.84058775</v>
      </c>
      <c r="F34" s="20" t="n">
        <v>2.49937585</v>
      </c>
      <c r="G34" s="18" t="n">
        <v>73.36516962</v>
      </c>
      <c r="H34" s="20" t="n">
        <v>2.56871029</v>
      </c>
      <c r="I34" s="18" t="s">
        <v>431</v>
      </c>
      <c r="J34" s="20" t="s">
        <v>431</v>
      </c>
      <c r="K34" s="18" t="n">
        <v>0.41521134</v>
      </c>
      <c r="L34" s="20" t="n">
        <v>0.41308552</v>
      </c>
      <c r="M34" s="18" t="n">
        <v>0</v>
      </c>
      <c r="N34" s="20" t="n">
        <v>0</v>
      </c>
      <c r="O34" s="18" t="n">
        <v>0</v>
      </c>
      <c r="P34" s="20" t="n">
        <v>0</v>
      </c>
      <c r="Q34" s="18" t="n">
        <v>6.37903129</v>
      </c>
      <c r="R34" s="20" t="n">
        <v>1.33806037</v>
      </c>
    </row>
    <row r="35" spans="1:18">
      <c r="A35" s="15" t="s">
        <v>459</v>
      </c>
      <c r="B35" s="17" t="n">
        <v>3505</v>
      </c>
      <c r="C35" s="18">
        <f>(3098.0/B35*100)</f>
        <v/>
      </c>
      <c r="D35" s="19" t="n">
        <v>407</v>
      </c>
      <c r="E35" s="18" t="n">
        <v>15.75548966</v>
      </c>
      <c r="F35" s="20" t="n">
        <v>1.81355649</v>
      </c>
      <c r="G35" s="18" t="n">
        <v>82.5805692</v>
      </c>
      <c r="H35" s="20" t="n">
        <v>1.8819315</v>
      </c>
      <c r="I35" s="18" t="s">
        <v>431</v>
      </c>
      <c r="J35" s="20" t="s">
        <v>431</v>
      </c>
      <c r="K35" s="18" t="n">
        <v>0</v>
      </c>
      <c r="L35" s="20" t="n">
        <v>0</v>
      </c>
      <c r="M35" s="18" t="n">
        <v>0.44098594</v>
      </c>
      <c r="N35" s="20" t="n">
        <v>0.44137925</v>
      </c>
      <c r="O35" s="18" t="n">
        <v>0</v>
      </c>
      <c r="P35" s="20" t="n">
        <v>0</v>
      </c>
      <c r="Q35" s="18" t="n">
        <v>1.2229552</v>
      </c>
      <c r="R35" s="20" t="n">
        <v>0.50149565</v>
      </c>
    </row>
    <row r="36" spans="1:18">
      <c r="A36" s="15" t="s">
        <v>460</v>
      </c>
      <c r="B36" s="17" t="n">
        <v>3332</v>
      </c>
      <c r="C36" s="18">
        <f>(2929.0/B36*100)</f>
        <v/>
      </c>
      <c r="D36" s="19" t="n">
        <v>403</v>
      </c>
      <c r="E36" s="18" t="n">
        <v>22.52837643</v>
      </c>
      <c r="F36" s="20" t="n">
        <v>2.24627708</v>
      </c>
      <c r="G36" s="18" t="n">
        <v>73.84825048</v>
      </c>
      <c r="H36" s="20" t="n">
        <v>2.29535052</v>
      </c>
      <c r="I36" s="18" t="s">
        <v>431</v>
      </c>
      <c r="J36" s="20" t="s">
        <v>431</v>
      </c>
      <c r="K36" s="18" t="n">
        <v>0.27177589</v>
      </c>
      <c r="L36" s="20" t="n">
        <v>0.40043477</v>
      </c>
      <c r="M36" s="18" t="n">
        <v>0.46759906</v>
      </c>
      <c r="N36" s="20" t="n">
        <v>0.34042302</v>
      </c>
      <c r="O36" s="18" t="n">
        <v>0</v>
      </c>
      <c r="P36" s="20" t="n">
        <v>0</v>
      </c>
      <c r="Q36" s="18" t="n">
        <v>2.88399815</v>
      </c>
      <c r="R36" s="20" t="n">
        <v>0.9835918299999999</v>
      </c>
    </row>
    <row r="37" spans="1:18">
      <c r="A37" s="15" t="s">
        <v>461</v>
      </c>
      <c r="B37" s="17" t="n">
        <v>2727</v>
      </c>
      <c r="C37" s="18">
        <f>(2379.0/B37*100)</f>
        <v/>
      </c>
      <c r="D37" s="19" t="n">
        <v>348</v>
      </c>
      <c r="E37" s="18" t="n">
        <v>20.63340022</v>
      </c>
      <c r="F37" s="20" t="n">
        <v>2.36222847</v>
      </c>
      <c r="G37" s="18" t="n">
        <v>70.94720830999999</v>
      </c>
      <c r="H37" s="20" t="n">
        <v>2.80222458</v>
      </c>
      <c r="I37" s="18" t="s">
        <v>431</v>
      </c>
      <c r="J37" s="20" t="s">
        <v>431</v>
      </c>
      <c r="K37" s="18" t="n">
        <v>0</v>
      </c>
      <c r="L37" s="20" t="n">
        <v>0</v>
      </c>
      <c r="M37" s="18" t="n">
        <v>0</v>
      </c>
      <c r="N37" s="20" t="n">
        <v>0</v>
      </c>
      <c r="O37" s="18" t="n">
        <v>0</v>
      </c>
      <c r="P37" s="20" t="n">
        <v>0</v>
      </c>
      <c r="Q37" s="18" t="n">
        <v>8.419391470000001</v>
      </c>
      <c r="R37" s="20" t="n">
        <v>1.36030841</v>
      </c>
    </row>
    <row r="38" spans="1:18">
      <c r="A38" s="15" t="s">
        <v>462</v>
      </c>
      <c r="B38" s="17" t="n">
        <v>3053</v>
      </c>
      <c r="C38" s="18">
        <f>(2570.0/B38*100)</f>
        <v/>
      </c>
      <c r="D38" s="19" t="n">
        <v>483</v>
      </c>
      <c r="E38" s="18" t="n">
        <v>13.97246935</v>
      </c>
      <c r="F38" s="20" t="n">
        <v>1.75207696</v>
      </c>
      <c r="G38" s="18" t="n">
        <v>82.15409313000001</v>
      </c>
      <c r="H38" s="20" t="n">
        <v>2.2045647</v>
      </c>
      <c r="I38" s="18" t="s">
        <v>431</v>
      </c>
      <c r="J38" s="20" t="s">
        <v>431</v>
      </c>
      <c r="K38" s="18" t="n">
        <v>0.59420458</v>
      </c>
      <c r="L38" s="20" t="n">
        <v>0.57486517</v>
      </c>
      <c r="M38" s="18" t="n">
        <v>0.43550767</v>
      </c>
      <c r="N38" s="20" t="n">
        <v>0.31370067</v>
      </c>
      <c r="O38" s="18" t="n">
        <v>0</v>
      </c>
      <c r="P38" s="20" t="n">
        <v>0</v>
      </c>
      <c r="Q38" s="18" t="n">
        <v>2.84372527</v>
      </c>
      <c r="R38" s="20" t="n">
        <v>0.92993375</v>
      </c>
    </row>
    <row r="39" spans="1:18">
      <c r="A39" s="15" t="s">
        <v>463</v>
      </c>
      <c r="B39" s="17" t="n">
        <v>2957</v>
      </c>
      <c r="C39" s="18">
        <f>(2588.0/B39*100)</f>
        <v/>
      </c>
      <c r="D39" s="19" t="n">
        <v>369</v>
      </c>
      <c r="E39" s="18" t="n">
        <v>37.87720578</v>
      </c>
      <c r="F39" s="20" t="n">
        <v>3.19955329</v>
      </c>
      <c r="G39" s="18" t="n">
        <v>58.77154424</v>
      </c>
      <c r="H39" s="20" t="n">
        <v>3.34764421</v>
      </c>
      <c r="I39" s="18" t="s">
        <v>431</v>
      </c>
      <c r="J39" s="20" t="s">
        <v>431</v>
      </c>
      <c r="K39" s="18" t="n">
        <v>0.38124661</v>
      </c>
      <c r="L39" s="20" t="n">
        <v>0.37966924</v>
      </c>
      <c r="M39" s="18" t="n">
        <v>0</v>
      </c>
      <c r="N39" s="20" t="n">
        <v>0</v>
      </c>
      <c r="O39" s="18" t="n">
        <v>0</v>
      </c>
      <c r="P39" s="20" t="n">
        <v>0</v>
      </c>
      <c r="Q39" s="18" t="n">
        <v>2.97000337</v>
      </c>
      <c r="R39" s="20" t="n">
        <v>1.02074555</v>
      </c>
    </row>
    <row r="40" spans="1:18">
      <c r="A40" s="15" t="s">
        <v>464</v>
      </c>
      <c r="B40" s="17" t="n">
        <v>7235</v>
      </c>
      <c r="C40" s="18">
        <f>(6350.0/B40*100)</f>
        <v/>
      </c>
      <c r="D40" s="19" t="n">
        <v>885</v>
      </c>
      <c r="E40" s="18" t="n">
        <v>34.28104617</v>
      </c>
      <c r="F40" s="20" t="n">
        <v>2.91673666</v>
      </c>
      <c r="G40" s="18" t="n">
        <v>61.99389577</v>
      </c>
      <c r="H40" s="20" t="n">
        <v>2.9458529</v>
      </c>
      <c r="I40" s="18" t="s">
        <v>431</v>
      </c>
      <c r="J40" s="20" t="s">
        <v>431</v>
      </c>
      <c r="K40" s="18" t="n">
        <v>0</v>
      </c>
      <c r="L40" s="20" t="n">
        <v>0</v>
      </c>
      <c r="M40" s="18" t="n">
        <v>0.55623058</v>
      </c>
      <c r="N40" s="20" t="n">
        <v>0.43852685</v>
      </c>
      <c r="O40" s="18" t="n">
        <v>0</v>
      </c>
      <c r="P40" s="20" t="n">
        <v>0</v>
      </c>
      <c r="Q40" s="18" t="n">
        <v>3.16882748</v>
      </c>
      <c r="R40" s="20" t="n">
        <v>0.85461353</v>
      </c>
    </row>
    <row r="41" spans="1:18">
      <c r="A41" s="15" t="s">
        <v>465</v>
      </c>
      <c r="B41" s="17" t="n">
        <v>2858</v>
      </c>
      <c r="C41" s="18">
        <f>(2512.0/B41*100)</f>
        <v/>
      </c>
      <c r="D41" s="19" t="n">
        <v>346</v>
      </c>
      <c r="E41" s="18" t="n">
        <v>40.83694145</v>
      </c>
      <c r="F41" s="20" t="n">
        <v>2.47902906</v>
      </c>
      <c r="G41" s="18" t="n">
        <v>58.19711993</v>
      </c>
      <c r="H41" s="20" t="n">
        <v>2.50446032</v>
      </c>
      <c r="I41" s="18" t="s">
        <v>431</v>
      </c>
      <c r="J41" s="20" t="s">
        <v>431</v>
      </c>
      <c r="K41" s="18" t="n">
        <v>0</v>
      </c>
      <c r="L41" s="20" t="n">
        <v>0</v>
      </c>
      <c r="M41" s="18" t="n">
        <v>0</v>
      </c>
      <c r="N41" s="20" t="n">
        <v>0</v>
      </c>
      <c r="O41" s="18" t="n">
        <v>0</v>
      </c>
      <c r="P41" s="20" t="n">
        <v>0</v>
      </c>
      <c r="Q41" s="18" t="n">
        <v>0.96593862</v>
      </c>
      <c r="R41" s="20" t="n">
        <v>0.43179859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(9858.0/B46*100)</f>
        <v/>
      </c>
      <c r="D46" s="19" t="n">
        <v>1210</v>
      </c>
      <c r="E46" s="18" t="n">
        <v>35.85255246</v>
      </c>
      <c r="F46" s="20" t="n">
        <v>1.9462476</v>
      </c>
      <c r="G46" s="18" t="n">
        <v>55.05753614</v>
      </c>
      <c r="H46" s="20" t="n">
        <v>2.021114</v>
      </c>
      <c r="I46" s="18" t="s">
        <v>431</v>
      </c>
      <c r="J46" s="20" t="s">
        <v>431</v>
      </c>
      <c r="K46" s="18" t="n">
        <v>0.39318462</v>
      </c>
      <c r="L46" s="20" t="n">
        <v>0.22539018</v>
      </c>
      <c r="M46" s="18" t="n">
        <v>0.66394661</v>
      </c>
      <c r="N46" s="20" t="n">
        <v>0.39127573</v>
      </c>
      <c r="O46" s="18" t="n">
        <v>0</v>
      </c>
      <c r="P46" s="20" t="n">
        <v>0</v>
      </c>
      <c r="Q46" s="18" t="n">
        <v>8.032780170000001</v>
      </c>
      <c r="R46" s="20" t="n">
        <v>1.06001884</v>
      </c>
    </row>
    <row r="47" spans="1:18">
      <c r="A47" s="15" t="s">
        <v>471</v>
      </c>
      <c r="B47" s="17" t="n">
        <v>3105</v>
      </c>
      <c r="C47" s="18">
        <f>(2695.0/B47*100)</f>
        <v/>
      </c>
      <c r="D47" s="19" t="n">
        <v>410</v>
      </c>
      <c r="E47" s="18" t="n">
        <v>32.40079752</v>
      </c>
      <c r="F47" s="20" t="n">
        <v>2.60244786</v>
      </c>
      <c r="G47" s="18" t="n">
        <v>56.25808487</v>
      </c>
      <c r="H47" s="20" t="n">
        <v>2.94087589</v>
      </c>
      <c r="I47" s="18" t="s">
        <v>431</v>
      </c>
      <c r="J47" s="20" t="s">
        <v>431</v>
      </c>
      <c r="K47" s="18" t="n">
        <v>0</v>
      </c>
      <c r="L47" s="20" t="n">
        <v>0</v>
      </c>
      <c r="M47" s="18" t="n">
        <v>0</v>
      </c>
      <c r="N47" s="20" t="n">
        <v>0</v>
      </c>
      <c r="O47" s="18" t="n">
        <v>0</v>
      </c>
      <c r="P47" s="20" t="n">
        <v>0</v>
      </c>
      <c r="Q47" s="18" t="n">
        <v>11.34111761</v>
      </c>
      <c r="R47" s="20" t="n">
        <v>1.79308079</v>
      </c>
    </row>
    <row r="48" spans="1:18">
      <c r="A48" s="15" t="s">
        <v>472</v>
      </c>
      <c r="B48" s="17" t="n">
        <v>5159</v>
      </c>
      <c r="C48" s="18">
        <f>(4531.0/B48*100)</f>
        <v/>
      </c>
      <c r="D48" s="19" t="n">
        <v>628</v>
      </c>
      <c r="E48" s="18" t="n">
        <v>22.43920691</v>
      </c>
      <c r="F48" s="20" t="n">
        <v>2.01557543</v>
      </c>
      <c r="G48" s="18" t="n">
        <v>74.47345957</v>
      </c>
      <c r="H48" s="20" t="n">
        <v>1.99559939</v>
      </c>
      <c r="I48" s="18" t="s">
        <v>431</v>
      </c>
      <c r="J48" s="20" t="s">
        <v>431</v>
      </c>
      <c r="K48" s="18" t="n">
        <v>0.3633225</v>
      </c>
      <c r="L48" s="20" t="n">
        <v>0.36291522</v>
      </c>
      <c r="M48" s="18" t="n">
        <v>0</v>
      </c>
      <c r="N48" s="20" t="n">
        <v>0</v>
      </c>
      <c r="O48" s="18" t="n">
        <v>0</v>
      </c>
      <c r="P48" s="20" t="n">
        <v>0</v>
      </c>
      <c r="Q48" s="18" t="n">
        <v>2.72401102</v>
      </c>
      <c r="R48" s="20" t="n">
        <v>0.79961717</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(4965.0/B50*100)</f>
        <v/>
      </c>
      <c r="D50" s="19" t="n">
        <v>672</v>
      </c>
      <c r="E50" s="18" t="n">
        <v>30.69464728</v>
      </c>
      <c r="F50" s="20" t="n">
        <v>2.34120704</v>
      </c>
      <c r="G50" s="18" t="n">
        <v>65.67157335</v>
      </c>
      <c r="H50" s="20" t="n">
        <v>2.32625425</v>
      </c>
      <c r="I50" s="18" t="s">
        <v>431</v>
      </c>
      <c r="J50" s="20" t="s">
        <v>431</v>
      </c>
      <c r="K50" s="18" t="n">
        <v>0.83478968</v>
      </c>
      <c r="L50" s="20" t="n">
        <v>0.66608225</v>
      </c>
      <c r="M50" s="18" t="n">
        <v>0.00829206</v>
      </c>
      <c r="N50" s="20" t="n">
        <v>0.00834326</v>
      </c>
      <c r="O50" s="18" t="n">
        <v>0</v>
      </c>
      <c r="P50" s="20" t="n">
        <v>0</v>
      </c>
      <c r="Q50" s="18" t="n">
        <v>2.79069763</v>
      </c>
      <c r="R50" s="20" t="n">
        <v>0.7389127</v>
      </c>
    </row>
    <row r="51" spans="1:18">
      <c r="A51" s="15" t="s">
        <v>475</v>
      </c>
      <c r="B51" s="17" t="n">
        <v>3372</v>
      </c>
      <c r="C51" s="18">
        <f>(3007.0/B51*100)</f>
        <v/>
      </c>
      <c r="D51" s="19" t="n">
        <v>365</v>
      </c>
      <c r="E51" s="18" t="n">
        <v>37.15265523</v>
      </c>
      <c r="F51" s="20" t="n">
        <v>2.84091304</v>
      </c>
      <c r="G51" s="18" t="n">
        <v>59.53733431</v>
      </c>
      <c r="H51" s="20" t="n">
        <v>2.71324589</v>
      </c>
      <c r="I51" s="18" t="s">
        <v>431</v>
      </c>
      <c r="J51" s="20" t="s">
        <v>431</v>
      </c>
      <c r="K51" s="18" t="n">
        <v>0.98221317</v>
      </c>
      <c r="L51" s="20" t="n">
        <v>0.49693418</v>
      </c>
      <c r="M51" s="18" t="n">
        <v>0</v>
      </c>
      <c r="N51" s="20" t="n">
        <v>0</v>
      </c>
      <c r="O51" s="18" t="n">
        <v>0</v>
      </c>
      <c r="P51" s="20" t="n">
        <v>0</v>
      </c>
      <c r="Q51" s="18" t="n">
        <v>2.32779729</v>
      </c>
      <c r="R51" s="20" t="n">
        <v>0.85934798</v>
      </c>
    </row>
    <row r="52" spans="1:18">
      <c r="A52" s="15" t="s">
        <v>476</v>
      </c>
      <c r="B52" s="17" t="n">
        <v>2796</v>
      </c>
      <c r="C52" s="18">
        <f>(2429.0/B52*100)</f>
        <v/>
      </c>
      <c r="D52" s="19" t="n">
        <v>367</v>
      </c>
      <c r="E52" s="18" t="n">
        <v>18.80550437</v>
      </c>
      <c r="F52" s="20" t="n">
        <v>2.21103169</v>
      </c>
      <c r="G52" s="18" t="n">
        <v>78.0592975</v>
      </c>
      <c r="H52" s="20" t="n">
        <v>2.2038254</v>
      </c>
      <c r="I52" s="18" t="s">
        <v>431</v>
      </c>
      <c r="J52" s="20" t="s">
        <v>431</v>
      </c>
      <c r="K52" s="18" t="n">
        <v>0</v>
      </c>
      <c r="L52" s="20" t="n">
        <v>0</v>
      </c>
      <c r="M52" s="18" t="n">
        <v>0</v>
      </c>
      <c r="N52" s="20" t="n">
        <v>0</v>
      </c>
      <c r="O52" s="18" t="n">
        <v>0</v>
      </c>
      <c r="P52" s="20" t="n">
        <v>0</v>
      </c>
      <c r="Q52" s="18" t="n">
        <v>3.13519813</v>
      </c>
      <c r="R52" s="20" t="n">
        <v>0.96451415</v>
      </c>
    </row>
    <row r="53" spans="1:18">
      <c r="A53" s="15" t="s">
        <v>477</v>
      </c>
      <c r="B53" s="17" t="n">
        <v>2811</v>
      </c>
      <c r="C53" s="18">
        <f>(2480.0/B53*100)</f>
        <v/>
      </c>
      <c r="D53" s="19" t="n">
        <v>331</v>
      </c>
      <c r="E53" s="18" t="n">
        <v>24.56061434</v>
      </c>
      <c r="F53" s="20" t="n">
        <v>2.59046699</v>
      </c>
      <c r="G53" s="18" t="n">
        <v>69.79179222</v>
      </c>
      <c r="H53" s="20" t="n">
        <v>2.91194429</v>
      </c>
      <c r="I53" s="18" t="s">
        <v>431</v>
      </c>
      <c r="J53" s="20" t="s">
        <v>431</v>
      </c>
      <c r="K53" s="18" t="n">
        <v>0</v>
      </c>
      <c r="L53" s="20" t="n">
        <v>0</v>
      </c>
      <c r="M53" s="18" t="n">
        <v>0</v>
      </c>
      <c r="N53" s="20" t="n">
        <v>0</v>
      </c>
      <c r="O53" s="18" t="n">
        <v>0</v>
      </c>
      <c r="P53" s="20" t="n">
        <v>0</v>
      </c>
      <c r="Q53" s="18" t="n">
        <v>5.64759344</v>
      </c>
      <c r="R53" s="20" t="n">
        <v>1.07091523</v>
      </c>
    </row>
    <row r="54" spans="1:18">
      <c r="A54" s="15" t="s">
        <v>478</v>
      </c>
      <c r="B54" s="17" t="n">
        <v>2266</v>
      </c>
      <c r="C54" s="18">
        <f>(1880.0/B54*100)</f>
        <v/>
      </c>
      <c r="D54" s="19" t="n">
        <v>386</v>
      </c>
      <c r="E54" s="18" t="n">
        <v>47.93903011</v>
      </c>
      <c r="F54" s="20" t="n">
        <v>3.09840405</v>
      </c>
      <c r="G54" s="18" t="n">
        <v>36.7602186</v>
      </c>
      <c r="H54" s="20" t="n">
        <v>2.73619428</v>
      </c>
      <c r="I54" s="18" t="s">
        <v>431</v>
      </c>
      <c r="J54" s="20" t="s">
        <v>431</v>
      </c>
      <c r="K54" s="18" t="n">
        <v>7.02638602</v>
      </c>
      <c r="L54" s="20" t="n">
        <v>1.52012044</v>
      </c>
      <c r="M54" s="18" t="n">
        <v>0.74906846</v>
      </c>
      <c r="N54" s="20" t="n">
        <v>0.5493449500000001</v>
      </c>
      <c r="O54" s="18" t="n">
        <v>0</v>
      </c>
      <c r="P54" s="20" t="n">
        <v>0</v>
      </c>
      <c r="Q54" s="18" t="n">
        <v>7.52529681</v>
      </c>
      <c r="R54" s="20" t="n">
        <v>1.64194861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(2344.0/B56*100)</f>
        <v/>
      </c>
      <c r="D56" s="19" t="n">
        <v>340</v>
      </c>
      <c r="E56" s="18" t="n">
        <v>15.43287916</v>
      </c>
      <c r="F56" s="20" t="n">
        <v>2.39142791</v>
      </c>
      <c r="G56" s="18" t="n">
        <v>83.21605728999999</v>
      </c>
      <c r="H56" s="20" t="n">
        <v>2.41729109</v>
      </c>
      <c r="I56" s="18" t="s">
        <v>431</v>
      </c>
      <c r="J56" s="20" t="s">
        <v>431</v>
      </c>
      <c r="K56" s="18" t="n">
        <v>0.24409567</v>
      </c>
      <c r="L56" s="20" t="n">
        <v>0.24303137</v>
      </c>
      <c r="M56" s="18" t="n">
        <v>0.41311145</v>
      </c>
      <c r="N56" s="20" t="n">
        <v>0.42286612</v>
      </c>
      <c r="O56" s="18" t="n">
        <v>0</v>
      </c>
      <c r="P56" s="20" t="n">
        <v>0</v>
      </c>
      <c r="Q56" s="18" t="n">
        <v>0.69385643</v>
      </c>
      <c r="R56" s="20" t="n">
        <v>0.59549716</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(2922.0/B61*100)</f>
        <v/>
      </c>
      <c r="D61" s="19" t="n">
        <v>402</v>
      </c>
      <c r="E61" s="18" t="n">
        <v>19.56092159</v>
      </c>
      <c r="F61" s="20" t="n">
        <v>1.79341489</v>
      </c>
      <c r="G61" s="18" t="n">
        <v>77.07396903</v>
      </c>
      <c r="H61" s="20" t="n">
        <v>1.98307738</v>
      </c>
      <c r="I61" s="18" t="s">
        <v>431</v>
      </c>
      <c r="J61" s="20" t="s">
        <v>431</v>
      </c>
      <c r="K61" s="18" t="n">
        <v>0</v>
      </c>
      <c r="L61" s="20" t="n">
        <v>0</v>
      </c>
      <c r="M61" s="18" t="n">
        <v>0</v>
      </c>
      <c r="N61" s="20" t="n">
        <v>0</v>
      </c>
      <c r="O61" s="18" t="n">
        <v>0</v>
      </c>
      <c r="P61" s="20" t="n">
        <v>0</v>
      </c>
      <c r="Q61" s="18" t="n">
        <v>3.36510938</v>
      </c>
      <c r="R61" s="20" t="n">
        <v>0.9091214</v>
      </c>
    </row>
    <row r="62" spans="1:18">
      <c r="A62" s="15" t="s">
        <v>486</v>
      </c>
      <c r="B62" s="17" t="n">
        <v>2246</v>
      </c>
      <c r="C62" s="18">
        <f>(1978.0/B62*100)</f>
        <v/>
      </c>
      <c r="D62" s="19" t="n">
        <v>268</v>
      </c>
      <c r="E62" s="18" t="n">
        <v>21.28924423</v>
      </c>
      <c r="F62" s="20" t="n">
        <v>2.48991334</v>
      </c>
      <c r="G62" s="18" t="n">
        <v>77.97030913</v>
      </c>
      <c r="H62" s="20" t="n">
        <v>2.4637746</v>
      </c>
      <c r="I62" s="18" t="s">
        <v>431</v>
      </c>
      <c r="J62" s="20" t="s">
        <v>431</v>
      </c>
      <c r="K62" s="18" t="n">
        <v>0</v>
      </c>
      <c r="L62" s="20" t="n">
        <v>0</v>
      </c>
      <c r="M62" s="18" t="n">
        <v>0</v>
      </c>
      <c r="N62" s="20" t="n">
        <v>0</v>
      </c>
      <c r="O62" s="18" t="n">
        <v>0</v>
      </c>
      <c r="P62" s="20" t="n">
        <v>0</v>
      </c>
      <c r="Q62" s="18" t="n">
        <v>0.74044665</v>
      </c>
      <c r="R62" s="20" t="n">
        <v>0.52601263</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(2544.0/B66*100)</f>
        <v/>
      </c>
      <c r="D66" s="19" t="n">
        <v>350</v>
      </c>
      <c r="E66" s="18" t="n">
        <v>35.67007383</v>
      </c>
      <c r="F66" s="20" t="n">
        <v>2.65463484</v>
      </c>
      <c r="G66" s="18" t="n">
        <v>51.25403325</v>
      </c>
      <c r="H66" s="20" t="n">
        <v>3.15278842</v>
      </c>
      <c r="I66" s="18" t="s">
        <v>431</v>
      </c>
      <c r="J66" s="20" t="s">
        <v>431</v>
      </c>
      <c r="K66" s="18" t="n">
        <v>0</v>
      </c>
      <c r="L66" s="20" t="n">
        <v>0</v>
      </c>
      <c r="M66" s="18" t="n">
        <v>0.24195184</v>
      </c>
      <c r="N66" s="20" t="n">
        <v>0.24351517</v>
      </c>
      <c r="O66" s="18" t="n">
        <v>0</v>
      </c>
      <c r="P66" s="20" t="n">
        <v>0</v>
      </c>
      <c r="Q66" s="18" t="n">
        <v>12.83394109</v>
      </c>
      <c r="R66" s="20" t="n">
        <v>1.79677508</v>
      </c>
    </row>
    <row r="67" spans="1:18">
      <c r="A67" s="15" t="s">
        <v>491</v>
      </c>
      <c r="B67" s="17" t="n">
        <v>3511</v>
      </c>
      <c r="C67" s="18">
        <f>(3091.0/B67*100)</f>
        <v/>
      </c>
      <c r="D67" s="19" t="n">
        <v>420</v>
      </c>
      <c r="E67" s="18" t="n">
        <v>38.19238719</v>
      </c>
      <c r="F67" s="20" t="n">
        <v>2.79492963</v>
      </c>
      <c r="G67" s="18" t="n">
        <v>57.12689792</v>
      </c>
      <c r="H67" s="20" t="n">
        <v>2.95387779</v>
      </c>
      <c r="I67" s="18" t="s">
        <v>431</v>
      </c>
      <c r="J67" s="20" t="s">
        <v>431</v>
      </c>
      <c r="K67" s="18" t="n">
        <v>0.16467772</v>
      </c>
      <c r="L67" s="20" t="n">
        <v>0.16300023</v>
      </c>
      <c r="M67" s="18" t="n">
        <v>0.26103416</v>
      </c>
      <c r="N67" s="20" t="n">
        <v>0.26023923</v>
      </c>
      <c r="O67" s="18" t="n">
        <v>0</v>
      </c>
      <c r="P67" s="20" t="n">
        <v>0</v>
      </c>
      <c r="Q67" s="18" t="n">
        <v>4.25500302</v>
      </c>
      <c r="R67" s="20" t="n">
        <v>1.04488195</v>
      </c>
    </row>
    <row r="68" spans="1:18">
      <c r="A68" s="15" t="s">
        <v>492</v>
      </c>
      <c r="B68" s="17" t="n">
        <v>6049</v>
      </c>
      <c r="C68" s="18">
        <f>(5044.0/B68*100)</f>
        <v/>
      </c>
      <c r="D68" s="19" t="n">
        <v>1005</v>
      </c>
      <c r="E68" s="18" t="n">
        <v>38.2627448</v>
      </c>
      <c r="F68" s="20" t="n">
        <v>1.60286982</v>
      </c>
      <c r="G68" s="18" t="n">
        <v>52.57638416</v>
      </c>
      <c r="H68" s="20" t="n">
        <v>1.58631343</v>
      </c>
      <c r="I68" s="18" t="s">
        <v>431</v>
      </c>
      <c r="J68" s="20" t="s">
        <v>431</v>
      </c>
      <c r="K68" s="18" t="n">
        <v>1.63514935</v>
      </c>
      <c r="L68" s="20" t="n">
        <v>0.4624864</v>
      </c>
      <c r="M68" s="18" t="n">
        <v>0</v>
      </c>
      <c r="N68" s="20" t="n">
        <v>0</v>
      </c>
      <c r="O68" s="18" t="n">
        <v>0</v>
      </c>
      <c r="P68" s="20" t="n">
        <v>0</v>
      </c>
      <c r="Q68" s="18" t="n">
        <v>7.52572169</v>
      </c>
      <c r="R68" s="20" t="n">
        <v>0.7755902</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(2561.0/B70*100)</f>
        <v/>
      </c>
      <c r="D70" s="19" t="n">
        <v>368</v>
      </c>
      <c r="E70" s="18" t="n">
        <v>20.95913798</v>
      </c>
      <c r="F70" s="20" t="n">
        <v>2.14139418</v>
      </c>
      <c r="G70" s="18" t="n">
        <v>76.61050378</v>
      </c>
      <c r="H70" s="20" t="n">
        <v>2.08822105</v>
      </c>
      <c r="I70" s="18" t="s">
        <v>431</v>
      </c>
      <c r="J70" s="20" t="s">
        <v>431</v>
      </c>
      <c r="K70" s="18" t="n">
        <v>0</v>
      </c>
      <c r="L70" s="20" t="n">
        <v>0</v>
      </c>
      <c r="M70" s="18" t="n">
        <v>0.13409983</v>
      </c>
      <c r="N70" s="20" t="n">
        <v>0.13710059</v>
      </c>
      <c r="O70" s="18" t="n">
        <v>0</v>
      </c>
      <c r="P70" s="20" t="n">
        <v>0</v>
      </c>
      <c r="Q70" s="18" t="n">
        <v>2.29625841</v>
      </c>
      <c r="R70" s="20" t="n">
        <v>0.68251922</v>
      </c>
    </row>
    <row r="71" spans="1:18">
      <c r="A71" s="15" t="s">
        <v>495</v>
      </c>
      <c r="B71" s="17" t="n">
        <v>3142</v>
      </c>
      <c r="C71" s="18">
        <f>(2758.0/B71*100)</f>
        <v/>
      </c>
      <c r="D71" s="19" t="n">
        <v>384</v>
      </c>
      <c r="E71" s="18" t="n">
        <v>26.27889051</v>
      </c>
      <c r="F71" s="20" t="n">
        <v>2.16504264</v>
      </c>
      <c r="G71" s="18" t="n">
        <v>72.52232418</v>
      </c>
      <c r="H71" s="20" t="n">
        <v>2.18742715</v>
      </c>
      <c r="I71" s="18" t="s">
        <v>431</v>
      </c>
      <c r="J71" s="20" t="s">
        <v>431</v>
      </c>
      <c r="K71" s="18" t="n">
        <v>0</v>
      </c>
      <c r="L71" s="20" t="n">
        <v>0</v>
      </c>
      <c r="M71" s="18" t="n">
        <v>0.16044223</v>
      </c>
      <c r="N71" s="20" t="n">
        <v>0.15987814</v>
      </c>
      <c r="O71" s="18" t="n">
        <v>0</v>
      </c>
      <c r="P71" s="20" t="n">
        <v>0</v>
      </c>
      <c r="Q71" s="18" t="n">
        <v>1.03834308</v>
      </c>
      <c r="R71" s="20" t="n">
        <v>0.51598395</v>
      </c>
    </row>
    <row r="72" spans="1:18">
      <c r="A72" s="15" t="s">
        <v>496</v>
      </c>
      <c r="B72" s="17" t="n">
        <v>3889</v>
      </c>
      <c r="C72" s="18">
        <f>(3397.0/B72*100)</f>
        <v/>
      </c>
      <c r="D72" s="19" t="n">
        <v>492</v>
      </c>
      <c r="E72" s="18" t="n">
        <v>18.90702934</v>
      </c>
      <c r="F72" s="20" t="n">
        <v>1.79765489</v>
      </c>
      <c r="G72" s="18" t="n">
        <v>76.97326151999999</v>
      </c>
      <c r="H72" s="20" t="n">
        <v>1.92435331</v>
      </c>
      <c r="I72" s="18" t="s">
        <v>431</v>
      </c>
      <c r="J72" s="20" t="s">
        <v>431</v>
      </c>
      <c r="K72" s="18" t="n">
        <v>0.14090157</v>
      </c>
      <c r="L72" s="20" t="n">
        <v>0.14368853</v>
      </c>
      <c r="M72" s="18" t="n">
        <v>0</v>
      </c>
      <c r="N72" s="20" t="n">
        <v>0</v>
      </c>
      <c r="O72" s="18" t="n">
        <v>0</v>
      </c>
      <c r="P72" s="20" t="n">
        <v>0</v>
      </c>
      <c r="Q72" s="18" t="n">
        <v>3.97880756</v>
      </c>
      <c r="R72" s="20" t="n">
        <v>1.02206499</v>
      </c>
    </row>
    <row r="73" spans="1:18">
      <c r="A73" s="15" t="s">
        <v>497</v>
      </c>
      <c r="B73" s="17" t="n">
        <v>3597</v>
      </c>
      <c r="C73" s="18">
        <f>(3188.0/B73*100)</f>
        <v/>
      </c>
      <c r="D73" s="19" t="n">
        <v>409</v>
      </c>
      <c r="E73" s="18" t="n">
        <v>33.37462101</v>
      </c>
      <c r="F73" s="20" t="n">
        <v>2.94472071</v>
      </c>
      <c r="G73" s="18" t="n">
        <v>64.87788213</v>
      </c>
      <c r="H73" s="20" t="n">
        <v>2.93705889</v>
      </c>
      <c r="I73" s="18" t="s">
        <v>431</v>
      </c>
      <c r="J73" s="20" t="s">
        <v>431</v>
      </c>
      <c r="K73" s="18" t="n">
        <v>0</v>
      </c>
      <c r="L73" s="20" t="n">
        <v>0</v>
      </c>
      <c r="M73" s="18" t="n">
        <v>0</v>
      </c>
      <c r="N73" s="20" t="n">
        <v>0</v>
      </c>
      <c r="O73" s="18" t="n">
        <v>0</v>
      </c>
      <c r="P73" s="20" t="n">
        <v>0</v>
      </c>
      <c r="Q73" s="18" t="n">
        <v>1.74749686</v>
      </c>
      <c r="R73" s="20" t="n">
        <v>0.75827427</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(2139.0/B75*100)</f>
        <v/>
      </c>
      <c r="D75" s="19" t="n">
        <v>267</v>
      </c>
      <c r="E75" s="18" t="n">
        <v>39.4117328</v>
      </c>
      <c r="F75" s="20" t="n">
        <v>3.30586519</v>
      </c>
      <c r="G75" s="18" t="n">
        <v>44.25753908</v>
      </c>
      <c r="H75" s="20" t="n">
        <v>3.30681511</v>
      </c>
      <c r="I75" s="18" t="s">
        <v>431</v>
      </c>
      <c r="J75" s="20" t="s">
        <v>431</v>
      </c>
      <c r="K75" s="18" t="n">
        <v>1.75180173</v>
      </c>
      <c r="L75" s="20" t="n">
        <v>0.7558777</v>
      </c>
      <c r="M75" s="18" t="n">
        <v>1.1936716</v>
      </c>
      <c r="N75" s="20" t="n">
        <v>0.88712514</v>
      </c>
      <c r="O75" s="18" t="n">
        <v>0</v>
      </c>
      <c r="P75" s="20" t="n">
        <v>0</v>
      </c>
      <c r="Q75" s="18" t="n">
        <v>13.38525479</v>
      </c>
      <c r="R75" s="20" t="n">
        <v>2.34051565</v>
      </c>
    </row>
    <row r="76" spans="1:18">
      <c r="A76" s="15" t="s">
        <v>500</v>
      </c>
      <c r="B76" s="17" t="n">
        <v>7052</v>
      </c>
      <c r="C76" s="18">
        <f>(6201.0/B76*100)</f>
        <v/>
      </c>
      <c r="D76" s="19" t="n">
        <v>851</v>
      </c>
      <c r="E76" s="18" t="n">
        <v>40.52822132</v>
      </c>
      <c r="F76" s="20" t="n">
        <v>1.88628507</v>
      </c>
      <c r="G76" s="18" t="n">
        <v>54.32404232</v>
      </c>
      <c r="H76" s="20" t="n">
        <v>1.85284922</v>
      </c>
      <c r="I76" s="18" t="s">
        <v>431</v>
      </c>
      <c r="J76" s="20" t="s">
        <v>431</v>
      </c>
      <c r="K76" s="18" t="n">
        <v>0.67298733</v>
      </c>
      <c r="L76" s="20" t="n">
        <v>0.3306919</v>
      </c>
      <c r="M76" s="18" t="n">
        <v>0.42526236</v>
      </c>
      <c r="N76" s="20" t="n">
        <v>0.36485904</v>
      </c>
      <c r="O76" s="18" t="n">
        <v>0</v>
      </c>
      <c r="P76" s="20" t="n">
        <v>0</v>
      </c>
      <c r="Q76" s="18" t="n">
        <v>4.04948666</v>
      </c>
      <c r="R76" s="20" t="n">
        <v>0.75894579</v>
      </c>
    </row>
    <row r="77" spans="1:18">
      <c r="A77" s="15" t="s">
        <v>501</v>
      </c>
      <c r="B77" s="17" t="n">
        <v>2908</v>
      </c>
      <c r="C77" s="18">
        <f>(2555.0/B77*100)</f>
        <v/>
      </c>
      <c r="D77" s="19" t="n">
        <v>353</v>
      </c>
      <c r="E77" s="18" t="n">
        <v>31.89038698</v>
      </c>
      <c r="F77" s="20" t="n">
        <v>2.60458759</v>
      </c>
      <c r="G77" s="18" t="n">
        <v>59.96247547</v>
      </c>
      <c r="H77" s="20" t="n">
        <v>2.59653463</v>
      </c>
      <c r="I77" s="18" t="s">
        <v>431</v>
      </c>
      <c r="J77" s="20" t="s">
        <v>431</v>
      </c>
      <c r="K77" s="18" t="n">
        <v>0.54510224</v>
      </c>
      <c r="L77" s="20" t="n">
        <v>0.38507593</v>
      </c>
      <c r="M77" s="18" t="n">
        <v>0</v>
      </c>
      <c r="N77" s="20" t="n">
        <v>0</v>
      </c>
      <c r="O77" s="18" t="n">
        <v>0</v>
      </c>
      <c r="P77" s="20" t="n">
        <v>0</v>
      </c>
      <c r="Q77" s="18" t="n">
        <v>7.60203531</v>
      </c>
      <c r="R77" s="20" t="n">
        <v>1.57156265</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(3627.0/B81*100)</f>
        <v/>
      </c>
      <c r="D81" s="19" t="n">
        <v>536</v>
      </c>
      <c r="E81" s="18" t="n">
        <v>43.85150781</v>
      </c>
      <c r="F81" s="20" t="n">
        <v>2.67498504</v>
      </c>
      <c r="G81" s="18" t="n">
        <v>54.46628742</v>
      </c>
      <c r="H81" s="20" t="n">
        <v>2.66618191</v>
      </c>
      <c r="I81" s="18" t="s">
        <v>431</v>
      </c>
      <c r="J81" s="20" t="s">
        <v>431</v>
      </c>
      <c r="K81" s="18" t="n">
        <v>0</v>
      </c>
      <c r="L81" s="20" t="n">
        <v>0</v>
      </c>
      <c r="M81" s="18" t="n">
        <v>0</v>
      </c>
      <c r="N81" s="20" t="n">
        <v>0</v>
      </c>
      <c r="O81" s="18" t="n">
        <v>0</v>
      </c>
      <c r="P81" s="20" t="n">
        <v>0</v>
      </c>
      <c r="Q81" s="18" t="n">
        <v>1.68220477</v>
      </c>
      <c r="R81" s="20" t="n">
        <v>0.58246494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554</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(6456.0/B7*100)</f>
        <v/>
      </c>
      <c r="D7" s="19" t="n">
        <v>911</v>
      </c>
      <c r="E7" s="18" t="n">
        <v>19.2525446</v>
      </c>
      <c r="F7" s="20" t="n">
        <v>1.60179258</v>
      </c>
      <c r="G7" s="18" t="n">
        <v>3.27325354</v>
      </c>
      <c r="H7" s="20" t="n">
        <v>0.74169507</v>
      </c>
      <c r="I7" s="18" t="n">
        <v>67.93495589</v>
      </c>
      <c r="J7" s="20" t="n">
        <v>1.6850572</v>
      </c>
      <c r="K7" s="18" t="s">
        <v>431</v>
      </c>
      <c r="L7" s="20" t="s">
        <v>431</v>
      </c>
      <c r="M7" s="18" t="n">
        <v>0.18742983</v>
      </c>
      <c r="N7" s="20" t="n">
        <v>0.20032754</v>
      </c>
      <c r="O7" s="18" t="n">
        <v>0.05205626</v>
      </c>
      <c r="P7" s="20" t="n">
        <v>0.04049464</v>
      </c>
      <c r="Q7" s="18" t="n">
        <v>0</v>
      </c>
      <c r="R7" s="20" t="n">
        <v>0</v>
      </c>
      <c r="S7" s="18" t="n">
        <v>9.299759870000001</v>
      </c>
      <c r="T7" s="20" t="n">
        <v>1.15050689</v>
      </c>
    </row>
    <row r="8" spans="1:20">
      <c r="A8" s="15" t="s">
        <v>432</v>
      </c>
      <c r="B8" s="17" t="n">
        <v>3564</v>
      </c>
      <c r="C8" s="18">
        <f>(3138.0/B8*100)</f>
        <v/>
      </c>
      <c r="D8" s="19" t="n">
        <v>426</v>
      </c>
      <c r="E8" s="18" t="n">
        <v>22.12442316</v>
      </c>
      <c r="F8" s="20" t="n">
        <v>2.17814479</v>
      </c>
      <c r="G8" s="18" t="n">
        <v>5.16458732</v>
      </c>
      <c r="H8" s="20" t="n">
        <v>0.95926421</v>
      </c>
      <c r="I8" s="18" t="n">
        <v>63.40777613</v>
      </c>
      <c r="J8" s="20" t="n">
        <v>2.58066598</v>
      </c>
      <c r="K8" s="18" t="s">
        <v>431</v>
      </c>
      <c r="L8" s="20" t="s">
        <v>431</v>
      </c>
      <c r="M8" s="18" t="n">
        <v>0</v>
      </c>
      <c r="N8" s="20" t="n">
        <v>0</v>
      </c>
      <c r="O8" s="18" t="n">
        <v>0</v>
      </c>
      <c r="P8" s="20" t="n">
        <v>0</v>
      </c>
      <c r="Q8" s="18" t="n">
        <v>0</v>
      </c>
      <c r="R8" s="20" t="n">
        <v>0</v>
      </c>
      <c r="S8" s="18" t="n">
        <v>9.303213380000001</v>
      </c>
      <c r="T8" s="20" t="n">
        <v>1.56895103</v>
      </c>
    </row>
    <row r="9" spans="1:20">
      <c r="A9" s="15" t="s">
        <v>433</v>
      </c>
      <c r="B9" s="17" t="n">
        <v>4899</v>
      </c>
      <c r="C9" s="18">
        <f>(4323.0/B9*100)</f>
        <v/>
      </c>
      <c r="D9" s="19" t="n">
        <v>576</v>
      </c>
      <c r="E9" s="18" t="n">
        <v>17.46780213</v>
      </c>
      <c r="F9" s="20" t="n">
        <v>1.85916013</v>
      </c>
      <c r="G9" s="18" t="n">
        <v>3.24105314</v>
      </c>
      <c r="H9" s="20" t="n">
        <v>0.69855119</v>
      </c>
      <c r="I9" s="18" t="n">
        <v>68.42203805</v>
      </c>
      <c r="J9" s="20" t="n">
        <v>2.2200104</v>
      </c>
      <c r="K9" s="18" t="s">
        <v>431</v>
      </c>
      <c r="L9" s="20" t="s">
        <v>431</v>
      </c>
      <c r="M9" s="18" t="n">
        <v>0</v>
      </c>
      <c r="N9" s="20" t="n">
        <v>0</v>
      </c>
      <c r="O9" s="18" t="n">
        <v>0.12698611</v>
      </c>
      <c r="P9" s="20" t="n">
        <v>0.12928461</v>
      </c>
      <c r="Q9" s="18" t="n">
        <v>0</v>
      </c>
      <c r="R9" s="20" t="n">
        <v>0</v>
      </c>
      <c r="S9" s="18" t="n">
        <v>10.74212057</v>
      </c>
      <c r="T9" s="20" t="n">
        <v>1.35922896</v>
      </c>
    </row>
    <row r="10" spans="1:20">
      <c r="A10" s="15" t="s">
        <v>434</v>
      </c>
      <c r="B10" s="17" t="n">
        <v>10036</v>
      </c>
      <c r="C10" s="18">
        <f>(8781.0/B10*100)</f>
        <v/>
      </c>
      <c r="D10" s="19" t="n">
        <v>1255</v>
      </c>
      <c r="E10" s="18" t="n">
        <v>18.90843908</v>
      </c>
      <c r="F10" s="20" t="n">
        <v>1.64686419</v>
      </c>
      <c r="G10" s="18" t="n">
        <v>3.73612131</v>
      </c>
      <c r="H10" s="20" t="n">
        <v>0.71257867</v>
      </c>
      <c r="I10" s="18" t="n">
        <v>70.60286539000001</v>
      </c>
      <c r="J10" s="20" t="n">
        <v>1.87023464</v>
      </c>
      <c r="K10" s="18" t="s">
        <v>431</v>
      </c>
      <c r="L10" s="20" t="s">
        <v>431</v>
      </c>
      <c r="M10" s="18" t="n">
        <v>0.19118515</v>
      </c>
      <c r="N10" s="20" t="n">
        <v>0.17590071</v>
      </c>
      <c r="O10" s="18" t="n">
        <v>0</v>
      </c>
      <c r="P10" s="20" t="n">
        <v>0</v>
      </c>
      <c r="Q10" s="18" t="n">
        <v>0</v>
      </c>
      <c r="R10" s="20" t="n">
        <v>0</v>
      </c>
      <c r="S10" s="18" t="n">
        <v>6.56138907</v>
      </c>
      <c r="T10" s="20" t="n">
        <v>0.99640763</v>
      </c>
    </row>
    <row r="11" spans="1:20">
      <c r="A11" s="15" t="s">
        <v>435</v>
      </c>
      <c r="B11" s="17" t="n">
        <v>3553</v>
      </c>
      <c r="C11" s="18">
        <f>(3124.0/B11*100)</f>
        <v/>
      </c>
      <c r="D11" s="19" t="n">
        <v>429</v>
      </c>
      <c r="E11" s="18" t="n">
        <v>27.31543245</v>
      </c>
      <c r="F11" s="20" t="n">
        <v>2.78413059</v>
      </c>
      <c r="G11" s="18" t="n">
        <v>1.39023451</v>
      </c>
      <c r="H11" s="20" t="n">
        <v>0.66685391</v>
      </c>
      <c r="I11" s="18" t="n">
        <v>41.93704302</v>
      </c>
      <c r="J11" s="20" t="n">
        <v>2.82332504</v>
      </c>
      <c r="K11" s="18" t="s">
        <v>431</v>
      </c>
      <c r="L11" s="20" t="s">
        <v>431</v>
      </c>
      <c r="M11" s="18" t="n">
        <v>0.29941266</v>
      </c>
      <c r="N11" s="20" t="n">
        <v>0.29984249</v>
      </c>
      <c r="O11" s="18" t="n">
        <v>0</v>
      </c>
      <c r="P11" s="20" t="n">
        <v>0</v>
      </c>
      <c r="Q11" s="18" t="n">
        <v>0</v>
      </c>
      <c r="R11" s="20" t="n">
        <v>0</v>
      </c>
      <c r="S11" s="18" t="n">
        <v>29.05787736</v>
      </c>
      <c r="T11" s="20" t="n">
        <v>2.39053663</v>
      </c>
    </row>
    <row r="12" spans="1:20">
      <c r="A12" s="15" t="s">
        <v>436</v>
      </c>
      <c r="B12" s="17" t="n">
        <v>3472</v>
      </c>
      <c r="C12" s="18">
        <f>(3060.0/B12*100)</f>
        <v/>
      </c>
      <c r="D12" s="19" t="n">
        <v>412</v>
      </c>
      <c r="E12" s="18" t="n">
        <v>22.08451863</v>
      </c>
      <c r="F12" s="20" t="n">
        <v>2.25890072</v>
      </c>
      <c r="G12" s="18" t="n">
        <v>1.77230349</v>
      </c>
      <c r="H12" s="20" t="n">
        <v>0.68082184</v>
      </c>
      <c r="I12" s="18" t="n">
        <v>52.22328713</v>
      </c>
      <c r="J12" s="20" t="n">
        <v>2.93028002</v>
      </c>
      <c r="K12" s="18" t="s">
        <v>431</v>
      </c>
      <c r="L12" s="20" t="s">
        <v>431</v>
      </c>
      <c r="M12" s="18" t="n">
        <v>0</v>
      </c>
      <c r="N12" s="20" t="n">
        <v>0</v>
      </c>
      <c r="O12" s="18" t="n">
        <v>0</v>
      </c>
      <c r="P12" s="20" t="n">
        <v>0</v>
      </c>
      <c r="Q12" s="18" t="n">
        <v>0</v>
      </c>
      <c r="R12" s="20" t="n">
        <v>0</v>
      </c>
      <c r="S12" s="18" t="n">
        <v>23.91989075</v>
      </c>
      <c r="T12" s="20" t="n">
        <v>2.76873836</v>
      </c>
    </row>
    <row r="13" spans="1:20">
      <c r="A13" s="15" t="s">
        <v>437</v>
      </c>
      <c r="B13" s="17" t="n">
        <v>3559</v>
      </c>
      <c r="C13" s="18">
        <f>(3153.0/B13*100)</f>
        <v/>
      </c>
      <c r="D13" s="19" t="n">
        <v>406</v>
      </c>
      <c r="E13" s="18" t="n">
        <v>21.18531285</v>
      </c>
      <c r="F13" s="20" t="n">
        <v>2.07576929</v>
      </c>
      <c r="G13" s="18" t="n">
        <v>3.20462486</v>
      </c>
      <c r="H13" s="20" t="n">
        <v>1.10850138</v>
      </c>
      <c r="I13" s="18" t="n">
        <v>68.81104080999999</v>
      </c>
      <c r="J13" s="20" t="n">
        <v>2.65951152</v>
      </c>
      <c r="K13" s="18" t="s">
        <v>431</v>
      </c>
      <c r="L13" s="20" t="s">
        <v>431</v>
      </c>
      <c r="M13" s="18" t="n">
        <v>0</v>
      </c>
      <c r="N13" s="20" t="n">
        <v>0</v>
      </c>
      <c r="O13" s="18" t="n">
        <v>0</v>
      </c>
      <c r="P13" s="20" t="n">
        <v>0</v>
      </c>
      <c r="Q13" s="18" t="n">
        <v>0</v>
      </c>
      <c r="R13" s="20" t="n">
        <v>0</v>
      </c>
      <c r="S13" s="18" t="n">
        <v>6.79902148</v>
      </c>
      <c r="T13" s="20" t="n">
        <v>1.1855153</v>
      </c>
    </row>
    <row r="14" spans="1:20">
      <c r="A14" s="15" t="s">
        <v>438</v>
      </c>
      <c r="B14" s="17" t="n">
        <v>2799</v>
      </c>
      <c r="C14" s="18">
        <f>(2449.0/B14*100)</f>
        <v/>
      </c>
      <c r="D14" s="19" t="n">
        <v>350</v>
      </c>
      <c r="E14" s="18" t="n">
        <v>25.12843704</v>
      </c>
      <c r="F14" s="20" t="n">
        <v>2.60324677</v>
      </c>
      <c r="G14" s="18" t="n">
        <v>3.19369372</v>
      </c>
      <c r="H14" s="20" t="n">
        <v>1.14531269</v>
      </c>
      <c r="I14" s="18" t="n">
        <v>63.05125498</v>
      </c>
      <c r="J14" s="20" t="n">
        <v>2.62783751</v>
      </c>
      <c r="K14" s="18" t="s">
        <v>431</v>
      </c>
      <c r="L14" s="20" t="s">
        <v>431</v>
      </c>
      <c r="M14" s="18" t="n">
        <v>0</v>
      </c>
      <c r="N14" s="20" t="n">
        <v>0</v>
      </c>
      <c r="O14" s="18" t="n">
        <v>0</v>
      </c>
      <c r="P14" s="20" t="n">
        <v>0</v>
      </c>
      <c r="Q14" s="18" t="n">
        <v>0</v>
      </c>
      <c r="R14" s="20" t="n">
        <v>0</v>
      </c>
      <c r="S14" s="18" t="n">
        <v>8.62661426</v>
      </c>
      <c r="T14" s="20" t="n">
        <v>1.70734683</v>
      </c>
    </row>
    <row r="15" spans="1:20">
      <c r="A15" s="15" t="s">
        <v>439</v>
      </c>
      <c r="B15" s="17" t="n">
        <v>3019</v>
      </c>
      <c r="C15" s="18">
        <f>(2648.0/B15*100)</f>
        <v/>
      </c>
      <c r="D15" s="19" t="n">
        <v>371</v>
      </c>
      <c r="E15" s="18" t="n">
        <v>18.08997841</v>
      </c>
      <c r="F15" s="20" t="n">
        <v>2.26840939</v>
      </c>
      <c r="G15" s="18" t="n">
        <v>3.59023838</v>
      </c>
      <c r="H15" s="20" t="n">
        <v>0.9838214199999999</v>
      </c>
      <c r="I15" s="18" t="n">
        <v>69.28679897000001</v>
      </c>
      <c r="J15" s="20" t="n">
        <v>2.78948732</v>
      </c>
      <c r="K15" s="18" t="s">
        <v>431</v>
      </c>
      <c r="L15" s="20" t="s">
        <v>431</v>
      </c>
      <c r="M15" s="18" t="n">
        <v>0</v>
      </c>
      <c r="N15" s="20" t="n">
        <v>0</v>
      </c>
      <c r="O15" s="18" t="n">
        <v>0</v>
      </c>
      <c r="P15" s="20" t="n">
        <v>0</v>
      </c>
      <c r="Q15" s="18" t="n">
        <v>0</v>
      </c>
      <c r="R15" s="20" t="n">
        <v>0</v>
      </c>
      <c r="S15" s="18" t="n">
        <v>9.03298425</v>
      </c>
      <c r="T15" s="20" t="n">
        <v>1.6231092</v>
      </c>
    </row>
    <row r="16" spans="1:20">
      <c r="A16" s="15" t="s">
        <v>440</v>
      </c>
      <c r="B16" s="17" t="n">
        <v>2997</v>
      </c>
      <c r="C16" s="18">
        <f>(2638.0/B16*100)</f>
        <v/>
      </c>
      <c r="D16" s="19" t="n">
        <v>359</v>
      </c>
      <c r="E16" s="18" t="n">
        <v>19.06350086</v>
      </c>
      <c r="F16" s="20" t="n">
        <v>2.14420129</v>
      </c>
      <c r="G16" s="18" t="n">
        <v>1.56072432</v>
      </c>
      <c r="H16" s="20" t="n">
        <v>0.64061689</v>
      </c>
      <c r="I16" s="18" t="n">
        <v>65.70266745000001</v>
      </c>
      <c r="J16" s="20" t="n">
        <v>2.53287833</v>
      </c>
      <c r="K16" s="18" t="s">
        <v>431</v>
      </c>
      <c r="L16" s="20" t="s">
        <v>431</v>
      </c>
      <c r="M16" s="18" t="n">
        <v>0.24678469</v>
      </c>
      <c r="N16" s="20" t="n">
        <v>0.24692813</v>
      </c>
      <c r="O16" s="18" t="n">
        <v>0</v>
      </c>
      <c r="P16" s="20" t="n">
        <v>0</v>
      </c>
      <c r="Q16" s="18" t="n">
        <v>0</v>
      </c>
      <c r="R16" s="20" t="n">
        <v>0</v>
      </c>
      <c r="S16" s="18" t="n">
        <v>13.42632268</v>
      </c>
      <c r="T16" s="20" t="n">
        <v>1.56363672</v>
      </c>
    </row>
    <row r="17" spans="1:20">
      <c r="A17" s="15" t="s">
        <v>441</v>
      </c>
      <c r="B17" s="17" t="n">
        <v>3307</v>
      </c>
      <c r="C17" s="18">
        <f>(2904.0/B17*100)</f>
        <v/>
      </c>
      <c r="D17" s="19" t="n">
        <v>403</v>
      </c>
      <c r="E17" s="18" t="n">
        <v>17.1158335</v>
      </c>
      <c r="F17" s="20" t="n">
        <v>2.25043202</v>
      </c>
      <c r="G17" s="18" t="n">
        <v>4.29200437</v>
      </c>
      <c r="H17" s="20" t="n">
        <v>1.25012078</v>
      </c>
      <c r="I17" s="18" t="n">
        <v>68.28909590000001</v>
      </c>
      <c r="J17" s="20" t="n">
        <v>2.73238181</v>
      </c>
      <c r="K17" s="18" t="s">
        <v>431</v>
      </c>
      <c r="L17" s="20" t="s">
        <v>431</v>
      </c>
      <c r="M17" s="18" t="n">
        <v>0.4809244</v>
      </c>
      <c r="N17" s="20" t="n">
        <v>0.34393884</v>
      </c>
      <c r="O17" s="18" t="n">
        <v>0</v>
      </c>
      <c r="P17" s="20" t="n">
        <v>0</v>
      </c>
      <c r="Q17" s="18" t="n">
        <v>0</v>
      </c>
      <c r="R17" s="20" t="n">
        <v>0</v>
      </c>
      <c r="S17" s="18" t="n">
        <v>9.82214183</v>
      </c>
      <c r="T17" s="20" t="n">
        <v>1.6639254</v>
      </c>
    </row>
    <row r="18" spans="1:20">
      <c r="A18" s="15" t="s">
        <v>442</v>
      </c>
      <c r="B18" s="17" t="n">
        <v>2826</v>
      </c>
      <c r="C18" s="18">
        <f>(2483.0/B18*100)</f>
        <v/>
      </c>
      <c r="D18" s="19" t="n">
        <v>343</v>
      </c>
      <c r="E18" s="18" t="n">
        <v>30.22768506</v>
      </c>
      <c r="F18" s="20" t="n">
        <v>2.95402524</v>
      </c>
      <c r="G18" s="18" t="n">
        <v>3.48393944</v>
      </c>
      <c r="H18" s="20" t="n">
        <v>1.02963</v>
      </c>
      <c r="I18" s="18" t="n">
        <v>55.16504038</v>
      </c>
      <c r="J18" s="20" t="n">
        <v>3.03101174</v>
      </c>
      <c r="K18" s="18" t="s">
        <v>431</v>
      </c>
      <c r="L18" s="20" t="s">
        <v>431</v>
      </c>
      <c r="M18" s="18" t="n">
        <v>0.2816448</v>
      </c>
      <c r="N18" s="20" t="n">
        <v>0.26989157</v>
      </c>
      <c r="O18" s="18" t="n">
        <v>0</v>
      </c>
      <c r="P18" s="20" t="n">
        <v>0</v>
      </c>
      <c r="Q18" s="18" t="n">
        <v>0</v>
      </c>
      <c r="R18" s="20" t="n">
        <v>0</v>
      </c>
      <c r="S18" s="18" t="n">
        <v>10.84169032</v>
      </c>
      <c r="T18" s="20" t="n">
        <v>1.66120792</v>
      </c>
    </row>
    <row r="19" spans="1:20">
      <c r="A19" s="15" t="s">
        <v>443</v>
      </c>
      <c r="B19" s="17" t="n">
        <v>2808</v>
      </c>
      <c r="C19" s="18">
        <f>(2473.0/B19*100)</f>
        <v/>
      </c>
      <c r="D19" s="19" t="n">
        <v>335</v>
      </c>
      <c r="E19" s="18" t="n">
        <v>34.29807927</v>
      </c>
      <c r="F19" s="20" t="n">
        <v>2.56143526</v>
      </c>
      <c r="G19" s="18" t="n">
        <v>1.05013452</v>
      </c>
      <c r="H19" s="20" t="n">
        <v>0.32615053</v>
      </c>
      <c r="I19" s="18" t="n">
        <v>47.82205317</v>
      </c>
      <c r="J19" s="20" t="n">
        <v>2.75752376</v>
      </c>
      <c r="K19" s="18" t="s">
        <v>431</v>
      </c>
      <c r="L19" s="20" t="s">
        <v>431</v>
      </c>
      <c r="M19" s="18" t="n">
        <v>0</v>
      </c>
      <c r="N19" s="20" t="n">
        <v>0</v>
      </c>
      <c r="O19" s="18" t="n">
        <v>0</v>
      </c>
      <c r="P19" s="20" t="n">
        <v>0</v>
      </c>
      <c r="Q19" s="18" t="n">
        <v>0</v>
      </c>
      <c r="R19" s="20" t="n">
        <v>0</v>
      </c>
      <c r="S19" s="18" t="n">
        <v>16.82973304</v>
      </c>
      <c r="T19" s="20" t="n">
        <v>1.89823502</v>
      </c>
    </row>
    <row r="20" spans="1:20">
      <c r="A20" s="15" t="s">
        <v>444</v>
      </c>
      <c r="B20" s="17" t="n">
        <v>1630</v>
      </c>
      <c r="C20" s="18">
        <f>(1438.0/B20*100)</f>
        <v/>
      </c>
      <c r="D20" s="19" t="n">
        <v>192</v>
      </c>
      <c r="E20" s="18" t="n">
        <v>25.60030644</v>
      </c>
      <c r="F20" s="20" t="n">
        <v>3.62686685</v>
      </c>
      <c r="G20" s="18" t="n">
        <v>1.81690792</v>
      </c>
      <c r="H20" s="20" t="n">
        <v>1.03082105</v>
      </c>
      <c r="I20" s="18" t="n">
        <v>54.02627731</v>
      </c>
      <c r="J20" s="20" t="n">
        <v>4.1515211</v>
      </c>
      <c r="K20" s="18" t="s">
        <v>431</v>
      </c>
      <c r="L20" s="20" t="s">
        <v>431</v>
      </c>
      <c r="M20" s="18" t="n">
        <v>0.5123400299999999</v>
      </c>
      <c r="N20" s="20" t="n">
        <v>0.50918025</v>
      </c>
      <c r="O20" s="18" t="n">
        <v>0</v>
      </c>
      <c r="P20" s="20" t="n">
        <v>0</v>
      </c>
      <c r="Q20" s="18" t="n">
        <v>0</v>
      </c>
      <c r="R20" s="20" t="n">
        <v>0</v>
      </c>
      <c r="S20" s="18" t="n">
        <v>18.0441683</v>
      </c>
      <c r="T20" s="20" t="n">
        <v>3.19387821</v>
      </c>
    </row>
    <row r="21" spans="1:20">
      <c r="A21" s="15" t="s">
        <v>445</v>
      </c>
      <c r="B21" s="17" t="n">
        <v>2908</v>
      </c>
      <c r="C21" s="18">
        <f>(2429.0/B21*100)</f>
        <v/>
      </c>
      <c r="D21" s="19" t="n">
        <v>479</v>
      </c>
      <c r="E21" s="18" t="n">
        <v>16.73800913</v>
      </c>
      <c r="F21" s="20" t="n">
        <v>1.66823897</v>
      </c>
      <c r="G21" s="18" t="n">
        <v>3.26478083</v>
      </c>
      <c r="H21" s="20" t="n">
        <v>0.79659488</v>
      </c>
      <c r="I21" s="18" t="n">
        <v>71.01639838</v>
      </c>
      <c r="J21" s="20" t="n">
        <v>2.31715223</v>
      </c>
      <c r="K21" s="18" t="s">
        <v>431</v>
      </c>
      <c r="L21" s="20" t="s">
        <v>431</v>
      </c>
      <c r="M21" s="18" t="n">
        <v>0.17378083</v>
      </c>
      <c r="N21" s="20" t="n">
        <v>0.12307943</v>
      </c>
      <c r="O21" s="18" t="n">
        <v>0</v>
      </c>
      <c r="P21" s="20" t="n">
        <v>0</v>
      </c>
      <c r="Q21" s="18" t="n">
        <v>0</v>
      </c>
      <c r="R21" s="20" t="n">
        <v>0</v>
      </c>
      <c r="S21" s="18" t="n">
        <v>8.807030839999999</v>
      </c>
      <c r="T21" s="20" t="n">
        <v>1.6039156</v>
      </c>
    </row>
    <row r="22" spans="1:20">
      <c r="A22" s="15" t="s">
        <v>446</v>
      </c>
      <c r="B22" s="17" t="n">
        <v>2931</v>
      </c>
      <c r="C22" s="18">
        <f>(2588.0/B22*100)</f>
        <v/>
      </c>
      <c r="D22" s="19" t="n">
        <v>343</v>
      </c>
      <c r="E22" s="18" t="n">
        <v>27.90548477</v>
      </c>
      <c r="F22" s="20" t="n">
        <v>2.44745926</v>
      </c>
      <c r="G22" s="18" t="n">
        <v>6.97093197</v>
      </c>
      <c r="H22" s="20" t="n">
        <v>1.75664633</v>
      </c>
      <c r="I22" s="18" t="n">
        <v>54.25549449</v>
      </c>
      <c r="J22" s="20" t="n">
        <v>3.12256983</v>
      </c>
      <c r="K22" s="18" t="s">
        <v>431</v>
      </c>
      <c r="L22" s="20" t="s">
        <v>431</v>
      </c>
      <c r="M22" s="18" t="n">
        <v>0.45577146</v>
      </c>
      <c r="N22" s="20" t="n">
        <v>0.32283519</v>
      </c>
      <c r="O22" s="18" t="n">
        <v>0</v>
      </c>
      <c r="P22" s="20" t="n">
        <v>0</v>
      </c>
      <c r="Q22" s="18" t="n">
        <v>0</v>
      </c>
      <c r="R22" s="20" t="n">
        <v>0</v>
      </c>
      <c r="S22" s="18" t="n">
        <v>10.41231731</v>
      </c>
      <c r="T22" s="20" t="n">
        <v>2.1728708</v>
      </c>
    </row>
    <row r="23" spans="1:20">
      <c r="A23" s="15" t="s">
        <v>447</v>
      </c>
      <c r="B23" s="17" t="n">
        <v>5791</v>
      </c>
      <c r="C23" s="18">
        <f>(5048.0/B23*100)</f>
        <v/>
      </c>
      <c r="D23" s="19" t="n">
        <v>743</v>
      </c>
      <c r="E23" s="18" t="n">
        <v>25.38926117</v>
      </c>
      <c r="F23" s="20" t="n">
        <v>2.65142087</v>
      </c>
      <c r="G23" s="18" t="n">
        <v>2.67691184</v>
      </c>
      <c r="H23" s="20" t="n">
        <v>0.74853402</v>
      </c>
      <c r="I23" s="18" t="n">
        <v>55.7956734</v>
      </c>
      <c r="J23" s="20" t="n">
        <v>2.72828882</v>
      </c>
      <c r="K23" s="18" t="s">
        <v>431</v>
      </c>
      <c r="L23" s="20" t="s">
        <v>431</v>
      </c>
      <c r="M23" s="18" t="n">
        <v>0</v>
      </c>
      <c r="N23" s="20" t="n">
        <v>0</v>
      </c>
      <c r="O23" s="18" t="n">
        <v>0.2020759</v>
      </c>
      <c r="P23" s="20" t="n">
        <v>0.23314663</v>
      </c>
      <c r="Q23" s="18" t="n">
        <v>0</v>
      </c>
      <c r="R23" s="20" t="n">
        <v>0</v>
      </c>
      <c r="S23" s="18" t="n">
        <v>15.93607768</v>
      </c>
      <c r="T23" s="20" t="n">
        <v>1.73012338</v>
      </c>
    </row>
    <row r="24" spans="1:20">
      <c r="A24" s="15" t="s">
        <v>448</v>
      </c>
      <c r="B24" s="17" t="n">
        <v>3338</v>
      </c>
      <c r="C24" s="18">
        <f>(2935.0/B24*100)</f>
        <v/>
      </c>
      <c r="D24" s="19" t="n">
        <v>403</v>
      </c>
      <c r="E24" s="18" t="n">
        <v>18.36175548</v>
      </c>
      <c r="F24" s="20" t="n">
        <v>2.06614592</v>
      </c>
      <c r="G24" s="18" t="n">
        <v>0.69933871</v>
      </c>
      <c r="H24" s="20" t="n">
        <v>0.41168339</v>
      </c>
      <c r="I24" s="18" t="n">
        <v>71.57863745</v>
      </c>
      <c r="J24" s="20" t="n">
        <v>2.14245467</v>
      </c>
      <c r="K24" s="18" t="s">
        <v>431</v>
      </c>
      <c r="L24" s="20" t="s">
        <v>431</v>
      </c>
      <c r="M24" s="18" t="n">
        <v>0</v>
      </c>
      <c r="N24" s="20" t="n">
        <v>0</v>
      </c>
      <c r="O24" s="18" t="n">
        <v>0</v>
      </c>
      <c r="P24" s="20" t="n">
        <v>0</v>
      </c>
      <c r="Q24" s="18" t="n">
        <v>0</v>
      </c>
      <c r="R24" s="20" t="n">
        <v>0</v>
      </c>
      <c r="S24" s="18" t="n">
        <v>9.360268359999999</v>
      </c>
      <c r="T24" s="20" t="n">
        <v>1.35105304</v>
      </c>
    </row>
    <row r="25" spans="1:20">
      <c r="A25" s="15" t="s">
        <v>449</v>
      </c>
      <c r="B25" s="17" t="n">
        <v>2912</v>
      </c>
      <c r="C25" s="18">
        <f>(2568.0/B25*100)</f>
        <v/>
      </c>
      <c r="D25" s="19" t="n">
        <v>344</v>
      </c>
      <c r="E25" s="18" t="n">
        <v>16.93524088</v>
      </c>
      <c r="F25" s="20" t="n">
        <v>1.92717732</v>
      </c>
      <c r="G25" s="18" t="n">
        <v>4.93837683</v>
      </c>
      <c r="H25" s="20" t="n">
        <v>1.1341065</v>
      </c>
      <c r="I25" s="18" t="n">
        <v>66.4454635</v>
      </c>
      <c r="J25" s="20" t="n">
        <v>2.54101707</v>
      </c>
      <c r="K25" s="18" t="s">
        <v>431</v>
      </c>
      <c r="L25" s="20" t="s">
        <v>431</v>
      </c>
      <c r="M25" s="18" t="n">
        <v>0</v>
      </c>
      <c r="N25" s="20" t="n">
        <v>0</v>
      </c>
      <c r="O25" s="18" t="n">
        <v>0</v>
      </c>
      <c r="P25" s="20" t="n">
        <v>0</v>
      </c>
      <c r="Q25" s="18" t="n">
        <v>0</v>
      </c>
      <c r="R25" s="20" t="n">
        <v>0</v>
      </c>
      <c r="S25" s="18" t="n">
        <v>11.68091879</v>
      </c>
      <c r="T25" s="20" t="n">
        <v>2.02262854</v>
      </c>
    </row>
    <row r="26" spans="1:20">
      <c r="A26" s="15" t="s">
        <v>450</v>
      </c>
      <c r="B26" s="17" t="n">
        <v>2450</v>
      </c>
      <c r="C26" s="18">
        <f>(2136.0/B26*100)</f>
        <v/>
      </c>
      <c r="D26" s="19" t="n">
        <v>314</v>
      </c>
      <c r="E26" s="18" t="n">
        <v>30.30616924</v>
      </c>
      <c r="F26" s="20" t="n">
        <v>2.64058076</v>
      </c>
      <c r="G26" s="18" t="n">
        <v>8.476165849999999</v>
      </c>
      <c r="H26" s="20" t="n">
        <v>1.76433979</v>
      </c>
      <c r="I26" s="18" t="n">
        <v>50.86783832</v>
      </c>
      <c r="J26" s="20" t="n">
        <v>2.80527309</v>
      </c>
      <c r="K26" s="18" t="s">
        <v>431</v>
      </c>
      <c r="L26" s="20" t="s">
        <v>431</v>
      </c>
      <c r="M26" s="18" t="n">
        <v>0</v>
      </c>
      <c r="N26" s="20" t="n">
        <v>0</v>
      </c>
      <c r="O26" s="18" t="n">
        <v>0.6345721600000001</v>
      </c>
      <c r="P26" s="20" t="n">
        <v>0.64216124</v>
      </c>
      <c r="Q26" s="18" t="n">
        <v>0</v>
      </c>
      <c r="R26" s="20" t="n">
        <v>0</v>
      </c>
      <c r="S26" s="18" t="n">
        <v>9.715254420000001</v>
      </c>
      <c r="T26" s="20" t="n">
        <v>1.70355569</v>
      </c>
    </row>
    <row r="27" spans="1:20">
      <c r="A27" s="15" t="s">
        <v>451</v>
      </c>
      <c r="B27" s="17" t="n">
        <v>2616</v>
      </c>
      <c r="C27" s="18">
        <f>(2294.0/B27*100)</f>
        <v/>
      </c>
      <c r="D27" s="19" t="n">
        <v>322</v>
      </c>
      <c r="E27" s="18" t="n">
        <v>24.01494467</v>
      </c>
      <c r="F27" s="20" t="n">
        <v>2.16715038</v>
      </c>
      <c r="G27" s="18" t="n">
        <v>0.92982521</v>
      </c>
      <c r="H27" s="20" t="n">
        <v>0.53398927</v>
      </c>
      <c r="I27" s="18" t="n">
        <v>63.51551713</v>
      </c>
      <c r="J27" s="20" t="n">
        <v>2.48308034</v>
      </c>
      <c r="K27" s="18" t="s">
        <v>431</v>
      </c>
      <c r="L27" s="20" t="s">
        <v>431</v>
      </c>
      <c r="M27" s="18" t="n">
        <v>0</v>
      </c>
      <c r="N27" s="20" t="n">
        <v>0</v>
      </c>
      <c r="O27" s="18" t="n">
        <v>0</v>
      </c>
      <c r="P27" s="20" t="n">
        <v>0</v>
      </c>
      <c r="Q27" s="18" t="n">
        <v>0</v>
      </c>
      <c r="R27" s="20" t="n">
        <v>0</v>
      </c>
      <c r="S27" s="18" t="n">
        <v>11.53971299</v>
      </c>
      <c r="T27" s="20" t="n">
        <v>1.85532625</v>
      </c>
    </row>
    <row r="28" spans="1:20">
      <c r="A28" s="15" t="s">
        <v>452</v>
      </c>
      <c r="B28" s="17" t="n">
        <v>3765</v>
      </c>
      <c r="C28" s="18">
        <f>(3293.0/B28*100)</f>
        <v/>
      </c>
      <c r="D28" s="19" t="n">
        <v>472</v>
      </c>
      <c r="E28" s="18" t="n">
        <v>55.72196174</v>
      </c>
      <c r="F28" s="20" t="n">
        <v>2.37280845</v>
      </c>
      <c r="G28" s="18" t="n">
        <v>4.89077676</v>
      </c>
      <c r="H28" s="20" t="n">
        <v>1.02136649</v>
      </c>
      <c r="I28" s="18" t="n">
        <v>31.06834739</v>
      </c>
      <c r="J28" s="20" t="n">
        <v>2.42757284</v>
      </c>
      <c r="K28" s="18" t="s">
        <v>431</v>
      </c>
      <c r="L28" s="20" t="s">
        <v>431</v>
      </c>
      <c r="M28" s="18" t="n">
        <v>0.75179354</v>
      </c>
      <c r="N28" s="20" t="n">
        <v>0.5289017</v>
      </c>
      <c r="O28" s="18" t="n">
        <v>0</v>
      </c>
      <c r="P28" s="20" t="n">
        <v>0</v>
      </c>
      <c r="Q28" s="18" t="n">
        <v>0</v>
      </c>
      <c r="R28" s="20" t="n">
        <v>0</v>
      </c>
      <c r="S28" s="18" t="n">
        <v>7.56712056</v>
      </c>
      <c r="T28" s="20" t="n">
        <v>1.35271349</v>
      </c>
    </row>
    <row r="29" spans="1:20">
      <c r="A29" s="15" t="s">
        <v>453</v>
      </c>
      <c r="B29" s="17" t="n">
        <v>2685</v>
      </c>
      <c r="C29" s="18">
        <f>(2346.0/B29*100)</f>
        <v/>
      </c>
      <c r="D29" s="19" t="n">
        <v>339</v>
      </c>
      <c r="E29" s="18" t="n">
        <v>22.26050612</v>
      </c>
      <c r="F29" s="20" t="n">
        <v>2.36381349</v>
      </c>
      <c r="G29" s="18" t="n">
        <v>12.34847074</v>
      </c>
      <c r="H29" s="20" t="n">
        <v>1.77645457</v>
      </c>
      <c r="I29" s="18" t="n">
        <v>60.67452233</v>
      </c>
      <c r="J29" s="20" t="n">
        <v>2.80914331</v>
      </c>
      <c r="K29" s="18" t="s">
        <v>431</v>
      </c>
      <c r="L29" s="20" t="s">
        <v>431</v>
      </c>
      <c r="M29" s="18" t="n">
        <v>0.17456224</v>
      </c>
      <c r="N29" s="20" t="n">
        <v>0.17548825</v>
      </c>
      <c r="O29" s="18" t="n">
        <v>0</v>
      </c>
      <c r="P29" s="20" t="n">
        <v>0</v>
      </c>
      <c r="Q29" s="18" t="n">
        <v>0</v>
      </c>
      <c r="R29" s="20" t="n">
        <v>0</v>
      </c>
      <c r="S29" s="18" t="n">
        <v>4.54193857</v>
      </c>
      <c r="T29" s="20" t="n">
        <v>1.38484411</v>
      </c>
    </row>
    <row r="30" spans="1:20">
      <c r="A30" s="15" t="s">
        <v>454</v>
      </c>
      <c r="B30" s="17" t="n">
        <v>2263</v>
      </c>
      <c r="C30" s="18">
        <f>(1969.0/B30*100)</f>
        <v/>
      </c>
      <c r="D30" s="19" t="n">
        <v>294</v>
      </c>
      <c r="E30" s="18" t="n">
        <v>16.52175504</v>
      </c>
      <c r="F30" s="20" t="n">
        <v>2.50971096</v>
      </c>
      <c r="G30" s="18" t="n">
        <v>1.70023458</v>
      </c>
      <c r="H30" s="20" t="n">
        <v>0.79966422</v>
      </c>
      <c r="I30" s="18" t="n">
        <v>68.33892434000001</v>
      </c>
      <c r="J30" s="20" t="n">
        <v>2.9710703</v>
      </c>
      <c r="K30" s="18" t="s">
        <v>431</v>
      </c>
      <c r="L30" s="20" t="s">
        <v>431</v>
      </c>
      <c r="M30" s="18" t="n">
        <v>0.26973102</v>
      </c>
      <c r="N30" s="20" t="n">
        <v>0.27148974</v>
      </c>
      <c r="O30" s="18" t="n">
        <v>0.76315746</v>
      </c>
      <c r="P30" s="20" t="n">
        <v>0.54929471</v>
      </c>
      <c r="Q30" s="18" t="n">
        <v>0</v>
      </c>
      <c r="R30" s="20" t="n">
        <v>0</v>
      </c>
      <c r="S30" s="18" t="n">
        <v>12.40619757</v>
      </c>
      <c r="T30" s="20" t="n">
        <v>1.79095386</v>
      </c>
    </row>
    <row r="31" spans="1:20">
      <c r="A31" s="15" t="s">
        <v>455</v>
      </c>
      <c r="B31" s="17" t="n">
        <v>2750</v>
      </c>
      <c r="C31" s="18">
        <f>(2415.0/B31*100)</f>
        <v/>
      </c>
      <c r="D31" s="19" t="n">
        <v>335</v>
      </c>
      <c r="E31" s="18" t="n">
        <v>18.71650925</v>
      </c>
      <c r="F31" s="20" t="n">
        <v>2.46402553</v>
      </c>
      <c r="G31" s="18" t="n">
        <v>2.32165883</v>
      </c>
      <c r="H31" s="20" t="n">
        <v>0.83736127</v>
      </c>
      <c r="I31" s="18" t="n">
        <v>65.14692038</v>
      </c>
      <c r="J31" s="20" t="n">
        <v>3.08806841</v>
      </c>
      <c r="K31" s="18" t="s">
        <v>431</v>
      </c>
      <c r="L31" s="20" t="s">
        <v>431</v>
      </c>
      <c r="M31" s="18" t="n">
        <v>0.29836286</v>
      </c>
      <c r="N31" s="20" t="n">
        <v>0.28835479</v>
      </c>
      <c r="O31" s="18" t="n">
        <v>0</v>
      </c>
      <c r="P31" s="20" t="n">
        <v>0</v>
      </c>
      <c r="Q31" s="18" t="n">
        <v>0</v>
      </c>
      <c r="R31" s="20" t="n">
        <v>0</v>
      </c>
      <c r="S31" s="18" t="n">
        <v>13.51654868</v>
      </c>
      <c r="T31" s="20" t="n">
        <v>2.10969428</v>
      </c>
    </row>
    <row r="32" spans="1:20">
      <c r="A32" s="15" t="s">
        <v>456</v>
      </c>
      <c r="B32" s="17" t="n">
        <v>2269</v>
      </c>
      <c r="C32" s="18">
        <f>(1916.0/B32*100)</f>
        <v/>
      </c>
      <c r="D32" s="19" t="n">
        <v>353</v>
      </c>
      <c r="E32" s="18" t="n">
        <v>25.64836513</v>
      </c>
      <c r="F32" s="20" t="n">
        <v>2.53905516</v>
      </c>
      <c r="G32" s="18" t="n">
        <v>2.38346802</v>
      </c>
      <c r="H32" s="20" t="n">
        <v>0.78664026</v>
      </c>
      <c r="I32" s="18" t="n">
        <v>57.578147</v>
      </c>
      <c r="J32" s="20" t="n">
        <v>3.05586127</v>
      </c>
      <c r="K32" s="18" t="s">
        <v>431</v>
      </c>
      <c r="L32" s="20" t="s">
        <v>431</v>
      </c>
      <c r="M32" s="18" t="n">
        <v>0</v>
      </c>
      <c r="N32" s="20" t="n">
        <v>0</v>
      </c>
      <c r="O32" s="18" t="n">
        <v>0</v>
      </c>
      <c r="P32" s="20" t="n">
        <v>0</v>
      </c>
      <c r="Q32" s="18" t="n">
        <v>0</v>
      </c>
      <c r="R32" s="20" t="n">
        <v>0</v>
      </c>
      <c r="S32" s="18" t="n">
        <v>14.39001984</v>
      </c>
      <c r="T32" s="20" t="n">
        <v>1.81533399</v>
      </c>
    </row>
    <row r="33" spans="1:20">
      <c r="A33" s="15" t="s">
        <v>457</v>
      </c>
      <c r="B33" s="17" t="n">
        <v>3674</v>
      </c>
      <c r="C33" s="18">
        <f>(3219.0/B33*100)</f>
        <v/>
      </c>
      <c r="D33" s="19" t="n">
        <v>455</v>
      </c>
      <c r="E33" s="18" t="n">
        <v>21.4624751</v>
      </c>
      <c r="F33" s="20" t="n">
        <v>2.64781859</v>
      </c>
      <c r="G33" s="18" t="n">
        <v>3.50823499</v>
      </c>
      <c r="H33" s="20" t="n">
        <v>0.9547159200000001</v>
      </c>
      <c r="I33" s="18" t="n">
        <v>60.16276398</v>
      </c>
      <c r="J33" s="20" t="n">
        <v>2.99042586</v>
      </c>
      <c r="K33" s="18" t="s">
        <v>431</v>
      </c>
      <c r="L33" s="20" t="s">
        <v>431</v>
      </c>
      <c r="M33" s="18" t="n">
        <v>0.08310761</v>
      </c>
      <c r="N33" s="20" t="n">
        <v>0.10236791</v>
      </c>
      <c r="O33" s="18" t="n">
        <v>0.23877493</v>
      </c>
      <c r="P33" s="20" t="n">
        <v>0.16643115</v>
      </c>
      <c r="Q33" s="18" t="n">
        <v>0</v>
      </c>
      <c r="R33" s="20" t="n">
        <v>0</v>
      </c>
      <c r="S33" s="18" t="n">
        <v>14.54464339</v>
      </c>
      <c r="T33" s="20" t="n">
        <v>1.91107872</v>
      </c>
    </row>
    <row r="34" spans="1:20">
      <c r="A34" s="15" t="s">
        <v>458</v>
      </c>
      <c r="B34" s="17" t="n">
        <v>3315</v>
      </c>
      <c r="C34" s="18">
        <f>(2928.0/B34*100)</f>
        <v/>
      </c>
      <c r="D34" s="19" t="n">
        <v>387</v>
      </c>
      <c r="E34" s="18" t="n">
        <v>34.68994189</v>
      </c>
      <c r="F34" s="20" t="n">
        <v>2.31174558</v>
      </c>
      <c r="G34" s="18" t="n">
        <v>0.50454201</v>
      </c>
      <c r="H34" s="20" t="n">
        <v>0.29511262</v>
      </c>
      <c r="I34" s="18" t="n">
        <v>44.70333395</v>
      </c>
      <c r="J34" s="20" t="n">
        <v>2.71510594</v>
      </c>
      <c r="K34" s="18" t="s">
        <v>431</v>
      </c>
      <c r="L34" s="20" t="s">
        <v>431</v>
      </c>
      <c r="M34" s="18" t="n">
        <v>0.41521134</v>
      </c>
      <c r="N34" s="20" t="n">
        <v>0.41308552</v>
      </c>
      <c r="O34" s="18" t="n">
        <v>0</v>
      </c>
      <c r="P34" s="20" t="n">
        <v>0</v>
      </c>
      <c r="Q34" s="18" t="n">
        <v>0</v>
      </c>
      <c r="R34" s="20" t="n">
        <v>0</v>
      </c>
      <c r="S34" s="18" t="n">
        <v>19.68697082</v>
      </c>
      <c r="T34" s="20" t="n">
        <v>2.0819999</v>
      </c>
    </row>
    <row r="35" spans="1:20">
      <c r="A35" s="15" t="s">
        <v>459</v>
      </c>
      <c r="B35" s="17" t="n">
        <v>3505</v>
      </c>
      <c r="C35" s="18">
        <f>(3098.0/B35*100)</f>
        <v/>
      </c>
      <c r="D35" s="19" t="n">
        <v>407</v>
      </c>
      <c r="E35" s="18" t="n">
        <v>22.77863705</v>
      </c>
      <c r="F35" s="20" t="n">
        <v>2.45420451</v>
      </c>
      <c r="G35" s="18" t="n">
        <v>0.93470035</v>
      </c>
      <c r="H35" s="20" t="n">
        <v>0.35833488</v>
      </c>
      <c r="I35" s="18" t="n">
        <v>64.16225262</v>
      </c>
      <c r="J35" s="20" t="n">
        <v>3.0447626</v>
      </c>
      <c r="K35" s="18" t="s">
        <v>431</v>
      </c>
      <c r="L35" s="20" t="s">
        <v>431</v>
      </c>
      <c r="M35" s="18" t="n">
        <v>0</v>
      </c>
      <c r="N35" s="20" t="n">
        <v>0</v>
      </c>
      <c r="O35" s="18" t="n">
        <v>0.44098594</v>
      </c>
      <c r="P35" s="20" t="n">
        <v>0.44137925</v>
      </c>
      <c r="Q35" s="18" t="n">
        <v>0</v>
      </c>
      <c r="R35" s="20" t="n">
        <v>0</v>
      </c>
      <c r="S35" s="18" t="n">
        <v>11.68342404</v>
      </c>
      <c r="T35" s="20" t="n">
        <v>1.70952672</v>
      </c>
    </row>
    <row r="36" spans="1:20">
      <c r="A36" s="15" t="s">
        <v>460</v>
      </c>
      <c r="B36" s="17" t="n">
        <v>3332</v>
      </c>
      <c r="C36" s="18">
        <f>(2929.0/B36*100)</f>
        <v/>
      </c>
      <c r="D36" s="19" t="n">
        <v>403</v>
      </c>
      <c r="E36" s="18" t="n">
        <v>25.3310248</v>
      </c>
      <c r="F36" s="20" t="n">
        <v>2.19210193</v>
      </c>
      <c r="G36" s="18" t="n">
        <v>3.63748128</v>
      </c>
      <c r="H36" s="20" t="n">
        <v>0.94898374</v>
      </c>
      <c r="I36" s="18" t="n">
        <v>58.75426716</v>
      </c>
      <c r="J36" s="20" t="n">
        <v>2.47801001</v>
      </c>
      <c r="K36" s="18" t="s">
        <v>431</v>
      </c>
      <c r="L36" s="20" t="s">
        <v>431</v>
      </c>
      <c r="M36" s="18" t="n">
        <v>0.27177589</v>
      </c>
      <c r="N36" s="20" t="n">
        <v>0.40043477</v>
      </c>
      <c r="O36" s="18" t="n">
        <v>0</v>
      </c>
      <c r="P36" s="20" t="n">
        <v>0</v>
      </c>
      <c r="Q36" s="18" t="n">
        <v>0</v>
      </c>
      <c r="R36" s="20" t="n">
        <v>0</v>
      </c>
      <c r="S36" s="18" t="n">
        <v>12.00545087</v>
      </c>
      <c r="T36" s="20" t="n">
        <v>1.94400168</v>
      </c>
    </row>
    <row r="37" spans="1:20">
      <c r="A37" s="15" t="s">
        <v>461</v>
      </c>
      <c r="B37" s="17" t="n">
        <v>2727</v>
      </c>
      <c r="C37" s="18">
        <f>(2379.0/B37*100)</f>
        <v/>
      </c>
      <c r="D37" s="19" t="n">
        <v>348</v>
      </c>
      <c r="E37" s="18" t="n">
        <v>14.31317351</v>
      </c>
      <c r="F37" s="20" t="n">
        <v>1.98958735</v>
      </c>
      <c r="G37" s="18" t="n">
        <v>1.35844635</v>
      </c>
      <c r="H37" s="20" t="n">
        <v>0.63705062</v>
      </c>
      <c r="I37" s="18" t="n">
        <v>65.84872292</v>
      </c>
      <c r="J37" s="20" t="n">
        <v>2.44660841</v>
      </c>
      <c r="K37" s="18" t="s">
        <v>431</v>
      </c>
      <c r="L37" s="20" t="s">
        <v>431</v>
      </c>
      <c r="M37" s="18" t="n">
        <v>0</v>
      </c>
      <c r="N37" s="20" t="n">
        <v>0</v>
      </c>
      <c r="O37" s="18" t="n">
        <v>0</v>
      </c>
      <c r="P37" s="20" t="n">
        <v>0</v>
      </c>
      <c r="Q37" s="18" t="n">
        <v>0</v>
      </c>
      <c r="R37" s="20" t="n">
        <v>0</v>
      </c>
      <c r="S37" s="18" t="n">
        <v>18.47965722</v>
      </c>
      <c r="T37" s="20" t="n">
        <v>2.00839571</v>
      </c>
    </row>
    <row r="38" spans="1:20">
      <c r="A38" s="15" t="s">
        <v>462</v>
      </c>
      <c r="B38" s="17" t="n">
        <v>3053</v>
      </c>
      <c r="C38" s="18">
        <f>(2570.0/B38*100)</f>
        <v/>
      </c>
      <c r="D38" s="19" t="n">
        <v>483</v>
      </c>
      <c r="E38" s="18" t="n">
        <v>21.48825232</v>
      </c>
      <c r="F38" s="20" t="n">
        <v>2.2812765</v>
      </c>
      <c r="G38" s="18" t="n">
        <v>3.71792882</v>
      </c>
      <c r="H38" s="20" t="n">
        <v>1.62152499</v>
      </c>
      <c r="I38" s="18" t="n">
        <v>65.88271761999999</v>
      </c>
      <c r="J38" s="20" t="n">
        <v>2.48551576</v>
      </c>
      <c r="K38" s="18" t="s">
        <v>431</v>
      </c>
      <c r="L38" s="20" t="s">
        <v>431</v>
      </c>
      <c r="M38" s="18" t="n">
        <v>0.59420458</v>
      </c>
      <c r="N38" s="20" t="n">
        <v>0.57486517</v>
      </c>
      <c r="O38" s="18" t="n">
        <v>0.43550767</v>
      </c>
      <c r="P38" s="20" t="n">
        <v>0.31370067</v>
      </c>
      <c r="Q38" s="18" t="n">
        <v>0</v>
      </c>
      <c r="R38" s="20" t="n">
        <v>0</v>
      </c>
      <c r="S38" s="18" t="n">
        <v>7.881389</v>
      </c>
      <c r="T38" s="20" t="n">
        <v>1.49688659</v>
      </c>
    </row>
    <row r="39" spans="1:20">
      <c r="A39" s="15" t="s">
        <v>463</v>
      </c>
      <c r="B39" s="17" t="n">
        <v>2957</v>
      </c>
      <c r="C39" s="18">
        <f>(2588.0/B39*100)</f>
        <v/>
      </c>
      <c r="D39" s="19" t="n">
        <v>369</v>
      </c>
      <c r="E39" s="18" t="n">
        <v>32.39386298</v>
      </c>
      <c r="F39" s="20" t="n">
        <v>2.2688148</v>
      </c>
      <c r="G39" s="18" t="n">
        <v>6.1117142</v>
      </c>
      <c r="H39" s="20" t="n">
        <v>1.42302378</v>
      </c>
      <c r="I39" s="18" t="n">
        <v>47.47964555</v>
      </c>
      <c r="J39" s="20" t="n">
        <v>3.22209501</v>
      </c>
      <c r="K39" s="18" t="s">
        <v>431</v>
      </c>
      <c r="L39" s="20" t="s">
        <v>431</v>
      </c>
      <c r="M39" s="18" t="n">
        <v>0.38124661</v>
      </c>
      <c r="N39" s="20" t="n">
        <v>0.37966924</v>
      </c>
      <c r="O39" s="18" t="n">
        <v>0</v>
      </c>
      <c r="P39" s="20" t="n">
        <v>0</v>
      </c>
      <c r="Q39" s="18" t="n">
        <v>0</v>
      </c>
      <c r="R39" s="20" t="n">
        <v>0</v>
      </c>
      <c r="S39" s="18" t="n">
        <v>13.63353066</v>
      </c>
      <c r="T39" s="20" t="n">
        <v>2.21519128</v>
      </c>
    </row>
    <row r="40" spans="1:20">
      <c r="A40" s="15" t="s">
        <v>464</v>
      </c>
      <c r="B40" s="17" t="n">
        <v>7235</v>
      </c>
      <c r="C40" s="18">
        <f>(6350.0/B40*100)</f>
        <v/>
      </c>
      <c r="D40" s="19" t="n">
        <v>885</v>
      </c>
      <c r="E40" s="18" t="n">
        <v>19.33475009</v>
      </c>
      <c r="F40" s="20" t="n">
        <v>2.20334687</v>
      </c>
      <c r="G40" s="18" t="n">
        <v>2.0046869</v>
      </c>
      <c r="H40" s="20" t="n">
        <v>0.57763639</v>
      </c>
      <c r="I40" s="18" t="n">
        <v>66.99561128000001</v>
      </c>
      <c r="J40" s="20" t="n">
        <v>2.49389494</v>
      </c>
      <c r="K40" s="18" t="s">
        <v>431</v>
      </c>
      <c r="L40" s="20" t="s">
        <v>431</v>
      </c>
      <c r="M40" s="18" t="n">
        <v>0.0261611</v>
      </c>
      <c r="N40" s="20" t="n">
        <v>0.02639147</v>
      </c>
      <c r="O40" s="18" t="n">
        <v>0.55623058</v>
      </c>
      <c r="P40" s="20" t="n">
        <v>0.43852685</v>
      </c>
      <c r="Q40" s="18" t="n">
        <v>0</v>
      </c>
      <c r="R40" s="20" t="n">
        <v>0</v>
      </c>
      <c r="S40" s="18" t="n">
        <v>11.08256004</v>
      </c>
      <c r="T40" s="20" t="n">
        <v>1.64763455</v>
      </c>
    </row>
    <row r="41" spans="1:20">
      <c r="A41" s="15" t="s">
        <v>465</v>
      </c>
      <c r="B41" s="17" t="n">
        <v>2858</v>
      </c>
      <c r="C41" s="18">
        <f>(2512.0/B41*100)</f>
        <v/>
      </c>
      <c r="D41" s="19" t="n">
        <v>346</v>
      </c>
      <c r="E41" s="18" t="n">
        <v>25.23252865</v>
      </c>
      <c r="F41" s="20" t="n">
        <v>2.71489628</v>
      </c>
      <c r="G41" s="18" t="n">
        <v>6.70501765</v>
      </c>
      <c r="H41" s="20" t="n">
        <v>1.49767435</v>
      </c>
      <c r="I41" s="18" t="n">
        <v>62.76314316</v>
      </c>
      <c r="J41" s="20" t="n">
        <v>3.08930845</v>
      </c>
      <c r="K41" s="18" t="s">
        <v>431</v>
      </c>
      <c r="L41" s="20" t="s">
        <v>431</v>
      </c>
      <c r="M41" s="18" t="n">
        <v>0</v>
      </c>
      <c r="N41" s="20" t="n">
        <v>0</v>
      </c>
      <c r="O41" s="18" t="n">
        <v>0</v>
      </c>
      <c r="P41" s="20" t="n">
        <v>0</v>
      </c>
      <c r="Q41" s="18" t="n">
        <v>0</v>
      </c>
      <c r="R41" s="20" t="n">
        <v>0</v>
      </c>
      <c r="S41" s="18" t="n">
        <v>5.29931054</v>
      </c>
      <c r="T41" s="20" t="n">
        <v>1.25410002</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c r="S44" s="18" t="s">
        <v>431</v>
      </c>
      <c r="T44" s="20" t="s">
        <v>431</v>
      </c>
    </row>
    <row r="45" spans="1:20">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c r="S45" s="18" t="s">
        <v>431</v>
      </c>
      <c r="T45" s="20" t="s">
        <v>431</v>
      </c>
    </row>
    <row r="46" spans="1:20">
      <c r="A46" s="15" t="s">
        <v>470</v>
      </c>
      <c r="B46" s="17" t="n">
        <v>11068</v>
      </c>
      <c r="C46" s="18">
        <f>(9856.0/B46*100)</f>
        <v/>
      </c>
      <c r="D46" s="19" t="n">
        <v>1212</v>
      </c>
      <c r="E46" s="18" t="n">
        <v>52.75031762</v>
      </c>
      <c r="F46" s="20" t="n">
        <v>1.6351317</v>
      </c>
      <c r="G46" s="18" t="n">
        <v>1.97418782</v>
      </c>
      <c r="H46" s="20" t="n">
        <v>0.49534421</v>
      </c>
      <c r="I46" s="18" t="n">
        <v>24.28383112</v>
      </c>
      <c r="J46" s="20" t="n">
        <v>1.50439283</v>
      </c>
      <c r="K46" s="18" t="s">
        <v>431</v>
      </c>
      <c r="L46" s="20" t="s">
        <v>431</v>
      </c>
      <c r="M46" s="18" t="n">
        <v>0.94608205</v>
      </c>
      <c r="N46" s="20" t="n">
        <v>0.36364662</v>
      </c>
      <c r="O46" s="18" t="n">
        <v>0.66340422</v>
      </c>
      <c r="P46" s="20" t="n">
        <v>0.39096533</v>
      </c>
      <c r="Q46" s="18" t="n">
        <v>0</v>
      </c>
      <c r="R46" s="20" t="n">
        <v>0</v>
      </c>
      <c r="S46" s="18" t="n">
        <v>19.38217717</v>
      </c>
      <c r="T46" s="20" t="n">
        <v>1.49880183</v>
      </c>
    </row>
    <row r="47" spans="1:20">
      <c r="A47" s="15" t="s">
        <v>471</v>
      </c>
      <c r="B47" s="17" t="n">
        <v>3105</v>
      </c>
      <c r="C47" s="18">
        <f>(2695.0/B47*100)</f>
        <v/>
      </c>
      <c r="D47" s="19" t="n">
        <v>410</v>
      </c>
      <c r="E47" s="18" t="n">
        <v>34.18154464</v>
      </c>
      <c r="F47" s="20" t="n">
        <v>2.75218315</v>
      </c>
      <c r="G47" s="18" t="n">
        <v>1.32678209</v>
      </c>
      <c r="H47" s="20" t="n">
        <v>0.5863264</v>
      </c>
      <c r="I47" s="18" t="n">
        <v>40.28637649</v>
      </c>
      <c r="J47" s="20" t="n">
        <v>2.70443093</v>
      </c>
      <c r="K47" s="18" t="s">
        <v>431</v>
      </c>
      <c r="L47" s="20" t="s">
        <v>431</v>
      </c>
      <c r="M47" s="18" t="n">
        <v>0</v>
      </c>
      <c r="N47" s="20" t="n">
        <v>0</v>
      </c>
      <c r="O47" s="18" t="n">
        <v>0</v>
      </c>
      <c r="P47" s="20" t="n">
        <v>0</v>
      </c>
      <c r="Q47" s="18" t="n">
        <v>0</v>
      </c>
      <c r="R47" s="20" t="n">
        <v>0</v>
      </c>
      <c r="S47" s="18" t="n">
        <v>24.20529678</v>
      </c>
      <c r="T47" s="20" t="n">
        <v>2.42736993</v>
      </c>
    </row>
    <row r="48" spans="1:20">
      <c r="A48" s="15" t="s">
        <v>472</v>
      </c>
      <c r="B48" s="17" t="n">
        <v>5159</v>
      </c>
      <c r="C48" s="18">
        <f>(4531.0/B48*100)</f>
        <v/>
      </c>
      <c r="D48" s="19" t="n">
        <v>628</v>
      </c>
      <c r="E48" s="18" t="n">
        <v>27.4100454</v>
      </c>
      <c r="F48" s="20" t="n">
        <v>2.45625398</v>
      </c>
      <c r="G48" s="18" t="n">
        <v>1.94642004</v>
      </c>
      <c r="H48" s="20" t="n">
        <v>0.6745575700000001</v>
      </c>
      <c r="I48" s="18" t="n">
        <v>59.94232755</v>
      </c>
      <c r="J48" s="20" t="n">
        <v>2.85138132</v>
      </c>
      <c r="K48" s="18" t="s">
        <v>431</v>
      </c>
      <c r="L48" s="20" t="s">
        <v>431</v>
      </c>
      <c r="M48" s="18" t="n">
        <v>0.3633225</v>
      </c>
      <c r="N48" s="20" t="n">
        <v>0.36291522</v>
      </c>
      <c r="O48" s="18" t="n">
        <v>0</v>
      </c>
      <c r="P48" s="20" t="n">
        <v>0</v>
      </c>
      <c r="Q48" s="18" t="n">
        <v>0</v>
      </c>
      <c r="R48" s="20" t="n">
        <v>0</v>
      </c>
      <c r="S48" s="18" t="n">
        <v>10.33788451</v>
      </c>
      <c r="T48" s="20" t="n">
        <v>1.32175644</v>
      </c>
    </row>
    <row r="49" spans="1:20">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c r="S49" s="18" t="s">
        <v>431</v>
      </c>
      <c r="T49" s="20" t="s">
        <v>431</v>
      </c>
    </row>
    <row r="50" spans="1:20">
      <c r="A50" s="15" t="s">
        <v>474</v>
      </c>
      <c r="B50" s="17" t="n">
        <v>5637</v>
      </c>
      <c r="C50" s="18">
        <f>(4965.0/B50*100)</f>
        <v/>
      </c>
      <c r="D50" s="19" t="n">
        <v>672</v>
      </c>
      <c r="E50" s="18" t="n">
        <v>56.30951316</v>
      </c>
      <c r="F50" s="20" t="n">
        <v>2.98669505</v>
      </c>
      <c r="G50" s="18" t="n">
        <v>0.8898699799999999</v>
      </c>
      <c r="H50" s="20" t="n">
        <v>0.40406275</v>
      </c>
      <c r="I50" s="18" t="n">
        <v>33.95595163</v>
      </c>
      <c r="J50" s="20" t="n">
        <v>2.89069989</v>
      </c>
      <c r="K50" s="18" t="s">
        <v>431</v>
      </c>
      <c r="L50" s="20" t="s">
        <v>431</v>
      </c>
      <c r="M50" s="18" t="n">
        <v>0.83478968</v>
      </c>
      <c r="N50" s="20" t="n">
        <v>0.66608225</v>
      </c>
      <c r="O50" s="18" t="n">
        <v>0.00829206</v>
      </c>
      <c r="P50" s="20" t="n">
        <v>0.00834326</v>
      </c>
      <c r="Q50" s="18" t="n">
        <v>0</v>
      </c>
      <c r="R50" s="20" t="n">
        <v>0</v>
      </c>
      <c r="S50" s="18" t="n">
        <v>8.00158349</v>
      </c>
      <c r="T50" s="20" t="n">
        <v>1.2536147</v>
      </c>
    </row>
    <row r="51" spans="1:20">
      <c r="A51" s="15" t="s">
        <v>475</v>
      </c>
      <c r="B51" s="17" t="n">
        <v>3372</v>
      </c>
      <c r="C51" s="18">
        <f>(3007.0/B51*100)</f>
        <v/>
      </c>
      <c r="D51" s="19" t="n">
        <v>365</v>
      </c>
      <c r="E51" s="18" t="n">
        <v>60.97804506</v>
      </c>
      <c r="F51" s="20" t="n">
        <v>2.91245889</v>
      </c>
      <c r="G51" s="18" t="n">
        <v>1.2922553</v>
      </c>
      <c r="H51" s="20" t="n">
        <v>0.63353899</v>
      </c>
      <c r="I51" s="18" t="n">
        <v>23.95931307</v>
      </c>
      <c r="J51" s="20" t="n">
        <v>2.54908009</v>
      </c>
      <c r="K51" s="18" t="s">
        <v>431</v>
      </c>
      <c r="L51" s="20" t="s">
        <v>431</v>
      </c>
      <c r="M51" s="18" t="n">
        <v>0.98221317</v>
      </c>
      <c r="N51" s="20" t="n">
        <v>0.49693418</v>
      </c>
      <c r="O51" s="18" t="n">
        <v>0</v>
      </c>
      <c r="P51" s="20" t="n">
        <v>0</v>
      </c>
      <c r="Q51" s="18" t="n">
        <v>0</v>
      </c>
      <c r="R51" s="20" t="n">
        <v>0</v>
      </c>
      <c r="S51" s="18" t="n">
        <v>12.7881734</v>
      </c>
      <c r="T51" s="20" t="n">
        <v>1.61209625</v>
      </c>
    </row>
    <row r="52" spans="1:20">
      <c r="A52" s="15" t="s">
        <v>476</v>
      </c>
      <c r="B52" s="17" t="n">
        <v>2796</v>
      </c>
      <c r="C52" s="18">
        <f>(2429.0/B52*100)</f>
        <v/>
      </c>
      <c r="D52" s="19" t="n">
        <v>367</v>
      </c>
      <c r="E52" s="18" t="n">
        <v>28.28495959</v>
      </c>
      <c r="F52" s="20" t="n">
        <v>2.28123377</v>
      </c>
      <c r="G52" s="18" t="n">
        <v>1.4855436</v>
      </c>
      <c r="H52" s="20" t="n">
        <v>0.66022481</v>
      </c>
      <c r="I52" s="18" t="n">
        <v>56.61325161</v>
      </c>
      <c r="J52" s="20" t="n">
        <v>2.52850388</v>
      </c>
      <c r="K52" s="18" t="s">
        <v>431</v>
      </c>
      <c r="L52" s="20" t="s">
        <v>431</v>
      </c>
      <c r="M52" s="18" t="n">
        <v>0</v>
      </c>
      <c r="N52" s="20" t="n">
        <v>0</v>
      </c>
      <c r="O52" s="18" t="n">
        <v>0</v>
      </c>
      <c r="P52" s="20" t="n">
        <v>0</v>
      </c>
      <c r="Q52" s="18" t="n">
        <v>0</v>
      </c>
      <c r="R52" s="20" t="n">
        <v>0</v>
      </c>
      <c r="S52" s="18" t="n">
        <v>13.6162452</v>
      </c>
      <c r="T52" s="20" t="n">
        <v>1.4849656</v>
      </c>
    </row>
    <row r="53" spans="1:20">
      <c r="A53" s="15" t="s">
        <v>477</v>
      </c>
      <c r="B53" s="17" t="n">
        <v>2811</v>
      </c>
      <c r="C53" s="18">
        <f>(2480.0/B53*100)</f>
        <v/>
      </c>
      <c r="D53" s="19" t="n">
        <v>331</v>
      </c>
      <c r="E53" s="18" t="n">
        <v>38.51927102</v>
      </c>
      <c r="F53" s="20" t="n">
        <v>2.88830305</v>
      </c>
      <c r="G53" s="18" t="n">
        <v>3.2815512</v>
      </c>
      <c r="H53" s="20" t="n">
        <v>0.87241983</v>
      </c>
      <c r="I53" s="18" t="n">
        <v>41.95009351</v>
      </c>
      <c r="J53" s="20" t="n">
        <v>3.27103643</v>
      </c>
      <c r="K53" s="18" t="s">
        <v>431</v>
      </c>
      <c r="L53" s="20" t="s">
        <v>431</v>
      </c>
      <c r="M53" s="18" t="n">
        <v>0</v>
      </c>
      <c r="N53" s="20" t="n">
        <v>0</v>
      </c>
      <c r="O53" s="18" t="n">
        <v>0</v>
      </c>
      <c r="P53" s="20" t="n">
        <v>0</v>
      </c>
      <c r="Q53" s="18" t="n">
        <v>0</v>
      </c>
      <c r="R53" s="20" t="n">
        <v>0</v>
      </c>
      <c r="S53" s="18" t="n">
        <v>16.24908426</v>
      </c>
      <c r="T53" s="20" t="n">
        <v>1.99299164</v>
      </c>
    </row>
    <row r="54" spans="1:20">
      <c r="A54" s="15" t="s">
        <v>478</v>
      </c>
      <c r="B54" s="17" t="n">
        <v>2266</v>
      </c>
      <c r="C54" s="18">
        <f>(1880.0/B54*100)</f>
        <v/>
      </c>
      <c r="D54" s="19" t="n">
        <v>386</v>
      </c>
      <c r="E54" s="18" t="n">
        <v>55.28359094</v>
      </c>
      <c r="F54" s="20" t="n">
        <v>2.79214791</v>
      </c>
      <c r="G54" s="18" t="n">
        <v>8.981536820000001</v>
      </c>
      <c r="H54" s="20" t="n">
        <v>1.58502856</v>
      </c>
      <c r="I54" s="18" t="n">
        <v>5.91376252</v>
      </c>
      <c r="J54" s="20" t="n">
        <v>1.46846858</v>
      </c>
      <c r="K54" s="18" t="s">
        <v>431</v>
      </c>
      <c r="L54" s="20" t="s">
        <v>431</v>
      </c>
      <c r="M54" s="18" t="n">
        <v>7.83068622</v>
      </c>
      <c r="N54" s="20" t="n">
        <v>1.43454871</v>
      </c>
      <c r="O54" s="18" t="n">
        <v>0.74906846</v>
      </c>
      <c r="P54" s="20" t="n">
        <v>0.5493449500000001</v>
      </c>
      <c r="Q54" s="18" t="n">
        <v>0</v>
      </c>
      <c r="R54" s="20" t="n">
        <v>0</v>
      </c>
      <c r="S54" s="18" t="n">
        <v>21.24135505</v>
      </c>
      <c r="T54" s="20" t="n">
        <v>2.39217701</v>
      </c>
    </row>
    <row r="55" spans="1:20">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c r="S55" s="18" t="s">
        <v>431</v>
      </c>
      <c r="T55" s="20" t="s">
        <v>431</v>
      </c>
    </row>
    <row r="56" spans="1:20">
      <c r="A56" s="15" t="s">
        <v>480</v>
      </c>
      <c r="B56" s="17" t="n">
        <v>2684</v>
      </c>
      <c r="C56" s="18">
        <f>(2344.0/B56*100)</f>
        <v/>
      </c>
      <c r="D56" s="19" t="n">
        <v>340</v>
      </c>
      <c r="E56" s="18" t="n">
        <v>26.45542754</v>
      </c>
      <c r="F56" s="20" t="n">
        <v>2.50143381</v>
      </c>
      <c r="G56" s="18" t="n">
        <v>2.25383666</v>
      </c>
      <c r="H56" s="20" t="n">
        <v>1.08363427</v>
      </c>
      <c r="I56" s="18" t="n">
        <v>63.65263525</v>
      </c>
      <c r="J56" s="20" t="n">
        <v>2.69037751</v>
      </c>
      <c r="K56" s="18" t="s">
        <v>431</v>
      </c>
      <c r="L56" s="20" t="s">
        <v>431</v>
      </c>
      <c r="M56" s="18" t="n">
        <v>0.24409567</v>
      </c>
      <c r="N56" s="20" t="n">
        <v>0.24303137</v>
      </c>
      <c r="O56" s="18" t="n">
        <v>0.41311145</v>
      </c>
      <c r="P56" s="20" t="n">
        <v>0.42286612</v>
      </c>
      <c r="Q56" s="18" t="n">
        <v>0</v>
      </c>
      <c r="R56" s="20" t="n">
        <v>0</v>
      </c>
      <c r="S56" s="18" t="n">
        <v>6.98089344</v>
      </c>
      <c r="T56" s="20" t="n">
        <v>1.68404729</v>
      </c>
    </row>
    <row r="57" spans="1:20">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c r="S57" s="18" t="s">
        <v>431</v>
      </c>
      <c r="T57" s="20" t="s">
        <v>431</v>
      </c>
    </row>
    <row r="58" spans="1:20">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c r="S58" s="18" t="s">
        <v>431</v>
      </c>
      <c r="T58" s="20" t="s">
        <v>431</v>
      </c>
    </row>
    <row r="59" spans="1:20">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c r="S59" s="18" t="s">
        <v>431</v>
      </c>
      <c r="T59" s="20" t="s">
        <v>431</v>
      </c>
    </row>
    <row r="60" spans="1:20">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c r="S60" s="18" t="s">
        <v>431</v>
      </c>
      <c r="T60" s="20" t="s">
        <v>431</v>
      </c>
    </row>
    <row r="61" spans="1:20">
      <c r="A61" s="15" t="s">
        <v>485</v>
      </c>
      <c r="B61" s="17" t="n">
        <v>3324</v>
      </c>
      <c r="C61" s="18">
        <f>(2922.0/B61*100)</f>
        <v/>
      </c>
      <c r="D61" s="19" t="n">
        <v>402</v>
      </c>
      <c r="E61" s="18" t="n">
        <v>35.39725698</v>
      </c>
      <c r="F61" s="20" t="n">
        <v>3.01173928</v>
      </c>
      <c r="G61" s="18" t="n">
        <v>1.37075692</v>
      </c>
      <c r="H61" s="20" t="n">
        <v>0.65534204</v>
      </c>
      <c r="I61" s="18" t="n">
        <v>46.47509226</v>
      </c>
      <c r="J61" s="20" t="n">
        <v>2.9032441</v>
      </c>
      <c r="K61" s="18" t="s">
        <v>431</v>
      </c>
      <c r="L61" s="20" t="s">
        <v>431</v>
      </c>
      <c r="M61" s="18" t="n">
        <v>0</v>
      </c>
      <c r="N61" s="20" t="n">
        <v>0</v>
      </c>
      <c r="O61" s="18" t="n">
        <v>0</v>
      </c>
      <c r="P61" s="20" t="n">
        <v>0</v>
      </c>
      <c r="Q61" s="18" t="n">
        <v>0</v>
      </c>
      <c r="R61" s="20" t="n">
        <v>0</v>
      </c>
      <c r="S61" s="18" t="n">
        <v>16.75689384</v>
      </c>
      <c r="T61" s="20" t="n">
        <v>2.07091082</v>
      </c>
    </row>
    <row r="62" spans="1:20">
      <c r="A62" s="15" t="s">
        <v>486</v>
      </c>
      <c r="B62" s="17" t="n">
        <v>2246</v>
      </c>
      <c r="C62" s="18">
        <f>(1978.0/B62*100)</f>
        <v/>
      </c>
      <c r="D62" s="19" t="n">
        <v>268</v>
      </c>
      <c r="E62" s="18" t="n">
        <v>29.86260198</v>
      </c>
      <c r="F62" s="20" t="n">
        <v>2.9469689</v>
      </c>
      <c r="G62" s="18" t="n">
        <v>4.10881248</v>
      </c>
      <c r="H62" s="20" t="n">
        <v>1.07728868</v>
      </c>
      <c r="I62" s="18" t="n">
        <v>59.70001396</v>
      </c>
      <c r="J62" s="20" t="n">
        <v>3.05254943</v>
      </c>
      <c r="K62" s="18" t="s">
        <v>431</v>
      </c>
      <c r="L62" s="20" t="s">
        <v>431</v>
      </c>
      <c r="M62" s="18" t="n">
        <v>0</v>
      </c>
      <c r="N62" s="20" t="n">
        <v>0</v>
      </c>
      <c r="O62" s="18" t="n">
        <v>0</v>
      </c>
      <c r="P62" s="20" t="n">
        <v>0</v>
      </c>
      <c r="Q62" s="18" t="n">
        <v>0</v>
      </c>
      <c r="R62" s="20" t="n">
        <v>0</v>
      </c>
      <c r="S62" s="18" t="n">
        <v>6.32857157</v>
      </c>
      <c r="T62" s="20" t="n">
        <v>1.39544083</v>
      </c>
    </row>
    <row r="63" spans="1:20">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c r="S63" s="18" t="s">
        <v>431</v>
      </c>
      <c r="T63" s="20" t="s">
        <v>431</v>
      </c>
    </row>
    <row r="64" spans="1:20">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c r="S64" s="18" t="s">
        <v>431</v>
      </c>
      <c r="T64" s="20" t="s">
        <v>431</v>
      </c>
    </row>
    <row r="65" spans="1:20">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c r="S65" s="18" t="s">
        <v>431</v>
      </c>
      <c r="T65" s="20" t="s">
        <v>431</v>
      </c>
    </row>
    <row r="66" spans="1:20">
      <c r="A66" s="15" t="s">
        <v>490</v>
      </c>
      <c r="B66" s="17" t="n">
        <v>2894</v>
      </c>
      <c r="C66" s="18">
        <f>(2544.0/B66*100)</f>
        <v/>
      </c>
      <c r="D66" s="19" t="n">
        <v>350</v>
      </c>
      <c r="E66" s="18" t="n">
        <v>26.88105693</v>
      </c>
      <c r="F66" s="20" t="n">
        <v>2.83225713</v>
      </c>
      <c r="G66" s="18" t="n">
        <v>1.39588359</v>
      </c>
      <c r="H66" s="20" t="n">
        <v>0.5867130699999999</v>
      </c>
      <c r="I66" s="18" t="n">
        <v>46.7532967</v>
      </c>
      <c r="J66" s="20" t="n">
        <v>3.26142196</v>
      </c>
      <c r="K66" s="18" t="s">
        <v>431</v>
      </c>
      <c r="L66" s="20" t="s">
        <v>431</v>
      </c>
      <c r="M66" s="18" t="n">
        <v>0</v>
      </c>
      <c r="N66" s="20" t="n">
        <v>0</v>
      </c>
      <c r="O66" s="18" t="n">
        <v>0.24195184</v>
      </c>
      <c r="P66" s="20" t="n">
        <v>0.24351517</v>
      </c>
      <c r="Q66" s="18" t="n">
        <v>0</v>
      </c>
      <c r="R66" s="20" t="n">
        <v>0</v>
      </c>
      <c r="S66" s="18" t="n">
        <v>24.72781094</v>
      </c>
      <c r="T66" s="20" t="n">
        <v>2.38471188</v>
      </c>
    </row>
    <row r="67" spans="1:20">
      <c r="A67" s="15" t="s">
        <v>491</v>
      </c>
      <c r="B67" s="17" t="n">
        <v>3511</v>
      </c>
      <c r="C67" s="18">
        <f>(3091.0/B67*100)</f>
        <v/>
      </c>
      <c r="D67" s="19" t="n">
        <v>420</v>
      </c>
      <c r="E67" s="18" t="n">
        <v>49.56131448</v>
      </c>
      <c r="F67" s="20" t="n">
        <v>2.43735494</v>
      </c>
      <c r="G67" s="18" t="n">
        <v>1.37170762</v>
      </c>
      <c r="H67" s="20" t="n">
        <v>0.56347893</v>
      </c>
      <c r="I67" s="18" t="n">
        <v>31.08138398</v>
      </c>
      <c r="J67" s="20" t="n">
        <v>2.45540936</v>
      </c>
      <c r="K67" s="18" t="s">
        <v>431</v>
      </c>
      <c r="L67" s="20" t="s">
        <v>431</v>
      </c>
      <c r="M67" s="18" t="n">
        <v>0.16467772</v>
      </c>
      <c r="N67" s="20" t="n">
        <v>0.16300023</v>
      </c>
      <c r="O67" s="18" t="n">
        <v>0.26103416</v>
      </c>
      <c r="P67" s="20" t="n">
        <v>0.26023923</v>
      </c>
      <c r="Q67" s="18" t="n">
        <v>0</v>
      </c>
      <c r="R67" s="20" t="n">
        <v>0</v>
      </c>
      <c r="S67" s="18" t="n">
        <v>17.55988205</v>
      </c>
      <c r="T67" s="20" t="n">
        <v>2.06093927</v>
      </c>
    </row>
    <row r="68" spans="1:20">
      <c r="A68" s="15" t="s">
        <v>492</v>
      </c>
      <c r="B68" s="17" t="n">
        <v>6049</v>
      </c>
      <c r="C68" s="18">
        <f>(5043.0/B68*100)</f>
        <v/>
      </c>
      <c r="D68" s="19" t="n">
        <v>1006</v>
      </c>
      <c r="E68" s="18" t="n">
        <v>41.17724122</v>
      </c>
      <c r="F68" s="20" t="n">
        <v>1.53074643</v>
      </c>
      <c r="G68" s="18" t="n">
        <v>3.15816802</v>
      </c>
      <c r="H68" s="20" t="n">
        <v>0.5809564</v>
      </c>
      <c r="I68" s="18" t="n">
        <v>34.53154788</v>
      </c>
      <c r="J68" s="20" t="n">
        <v>1.32557333</v>
      </c>
      <c r="K68" s="18" t="s">
        <v>431</v>
      </c>
      <c r="L68" s="20" t="s">
        <v>431</v>
      </c>
      <c r="M68" s="18" t="n">
        <v>1.85549442</v>
      </c>
      <c r="N68" s="20" t="n">
        <v>0.48709239</v>
      </c>
      <c r="O68" s="18" t="n">
        <v>0</v>
      </c>
      <c r="P68" s="20" t="n">
        <v>0</v>
      </c>
      <c r="Q68" s="18" t="n">
        <v>0</v>
      </c>
      <c r="R68" s="20" t="n">
        <v>0</v>
      </c>
      <c r="S68" s="18" t="n">
        <v>19.27754845</v>
      </c>
      <c r="T68" s="20" t="n">
        <v>1.14641463</v>
      </c>
    </row>
    <row r="69" spans="1:20">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c r="S69" s="18" t="s">
        <v>431</v>
      </c>
      <c r="T69" s="20" t="s">
        <v>431</v>
      </c>
    </row>
    <row r="70" spans="1:20">
      <c r="A70" s="15" t="s">
        <v>494</v>
      </c>
      <c r="B70" s="17" t="n">
        <v>2929</v>
      </c>
      <c r="C70" s="18">
        <f>(2561.0/B70*100)</f>
        <v/>
      </c>
      <c r="D70" s="19" t="n">
        <v>368</v>
      </c>
      <c r="E70" s="18" t="n">
        <v>24.89253521</v>
      </c>
      <c r="F70" s="20" t="n">
        <v>2.07167673</v>
      </c>
      <c r="G70" s="18" t="n">
        <v>3.95735125</v>
      </c>
      <c r="H70" s="20" t="n">
        <v>1.33720759</v>
      </c>
      <c r="I70" s="18" t="n">
        <v>64.1522732</v>
      </c>
      <c r="J70" s="20" t="n">
        <v>2.51393713</v>
      </c>
      <c r="K70" s="18" t="s">
        <v>431</v>
      </c>
      <c r="L70" s="20" t="s">
        <v>431</v>
      </c>
      <c r="M70" s="18" t="n">
        <v>0</v>
      </c>
      <c r="N70" s="20" t="n">
        <v>0</v>
      </c>
      <c r="O70" s="18" t="n">
        <v>0.13409983</v>
      </c>
      <c r="P70" s="20" t="n">
        <v>0.13710059</v>
      </c>
      <c r="Q70" s="18" t="n">
        <v>0</v>
      </c>
      <c r="R70" s="20" t="n">
        <v>0</v>
      </c>
      <c r="S70" s="18" t="n">
        <v>6.86374051</v>
      </c>
      <c r="T70" s="20" t="n">
        <v>1.32464371</v>
      </c>
    </row>
    <row r="71" spans="1:20">
      <c r="A71" s="15" t="s">
        <v>495</v>
      </c>
      <c r="B71" s="17" t="n">
        <v>3142</v>
      </c>
      <c r="C71" s="18">
        <f>(2758.0/B71*100)</f>
        <v/>
      </c>
      <c r="D71" s="19" t="n">
        <v>384</v>
      </c>
      <c r="E71" s="18" t="n">
        <v>18.47705846</v>
      </c>
      <c r="F71" s="20" t="n">
        <v>1.8762916</v>
      </c>
      <c r="G71" s="18" t="n">
        <v>1.81439073</v>
      </c>
      <c r="H71" s="20" t="n">
        <v>0.66670518</v>
      </c>
      <c r="I71" s="18" t="n">
        <v>75.09149821</v>
      </c>
      <c r="J71" s="20" t="n">
        <v>2.1781639</v>
      </c>
      <c r="K71" s="18" t="s">
        <v>431</v>
      </c>
      <c r="L71" s="20" t="s">
        <v>431</v>
      </c>
      <c r="M71" s="18" t="n">
        <v>0</v>
      </c>
      <c r="N71" s="20" t="n">
        <v>0</v>
      </c>
      <c r="O71" s="18" t="n">
        <v>0.16044223</v>
      </c>
      <c r="P71" s="20" t="n">
        <v>0.15987814</v>
      </c>
      <c r="Q71" s="18" t="n">
        <v>0</v>
      </c>
      <c r="R71" s="20" t="n">
        <v>0</v>
      </c>
      <c r="S71" s="18" t="n">
        <v>4.45661038</v>
      </c>
      <c r="T71" s="20" t="n">
        <v>1.06566813</v>
      </c>
    </row>
    <row r="72" spans="1:20">
      <c r="A72" s="15" t="s">
        <v>496</v>
      </c>
      <c r="B72" s="17" t="n">
        <v>3889</v>
      </c>
      <c r="C72" s="18">
        <f>(3397.0/B72*100)</f>
        <v/>
      </c>
      <c r="D72" s="19" t="n">
        <v>492</v>
      </c>
      <c r="E72" s="18" t="n">
        <v>29.61340524</v>
      </c>
      <c r="F72" s="20" t="n">
        <v>2.17519541</v>
      </c>
      <c r="G72" s="18" t="n">
        <v>5.13757364</v>
      </c>
      <c r="H72" s="20" t="n">
        <v>1.15680508</v>
      </c>
      <c r="I72" s="18" t="n">
        <v>56.19112082</v>
      </c>
      <c r="J72" s="20" t="n">
        <v>2.25013011</v>
      </c>
      <c r="K72" s="18" t="s">
        <v>431</v>
      </c>
      <c r="L72" s="20" t="s">
        <v>431</v>
      </c>
      <c r="M72" s="18" t="n">
        <v>0.14090157</v>
      </c>
      <c r="N72" s="20" t="n">
        <v>0.14368853</v>
      </c>
      <c r="O72" s="18" t="n">
        <v>0</v>
      </c>
      <c r="P72" s="20" t="n">
        <v>0</v>
      </c>
      <c r="Q72" s="18" t="n">
        <v>0</v>
      </c>
      <c r="R72" s="20" t="n">
        <v>0</v>
      </c>
      <c r="S72" s="18" t="n">
        <v>8.91699872</v>
      </c>
      <c r="T72" s="20" t="n">
        <v>1.48650215</v>
      </c>
    </row>
    <row r="73" spans="1:20">
      <c r="A73" s="15" t="s">
        <v>497</v>
      </c>
      <c r="B73" s="17" t="n">
        <v>3597</v>
      </c>
      <c r="C73" s="18">
        <f>(3189.0/B73*100)</f>
        <v/>
      </c>
      <c r="D73" s="19" t="n">
        <v>408</v>
      </c>
      <c r="E73" s="18" t="n">
        <v>64.77018154</v>
      </c>
      <c r="F73" s="20" t="n">
        <v>2.77497774</v>
      </c>
      <c r="G73" s="18" t="n">
        <v>8.122821719999999</v>
      </c>
      <c r="H73" s="20" t="n">
        <v>1.71993815</v>
      </c>
      <c r="I73" s="18" t="n">
        <v>22.62549084</v>
      </c>
      <c r="J73" s="20" t="n">
        <v>2.65732926</v>
      </c>
      <c r="K73" s="18" t="s">
        <v>431</v>
      </c>
      <c r="L73" s="20" t="s">
        <v>431</v>
      </c>
      <c r="M73" s="18" t="n">
        <v>0</v>
      </c>
      <c r="N73" s="20" t="n">
        <v>0</v>
      </c>
      <c r="O73" s="18" t="n">
        <v>0</v>
      </c>
      <c r="P73" s="20" t="n">
        <v>0</v>
      </c>
      <c r="Q73" s="18" t="n">
        <v>0</v>
      </c>
      <c r="R73" s="20" t="n">
        <v>0</v>
      </c>
      <c r="S73" s="18" t="n">
        <v>4.4815059</v>
      </c>
      <c r="T73" s="20" t="n">
        <v>1.09040331</v>
      </c>
    </row>
    <row r="74" spans="1:20">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c r="S74" s="18" t="s">
        <v>431</v>
      </c>
      <c r="T74" s="20" t="s">
        <v>431</v>
      </c>
    </row>
    <row r="75" spans="1:20">
      <c r="A75" s="15" t="s">
        <v>499</v>
      </c>
      <c r="B75" s="17" t="n">
        <v>2406</v>
      </c>
      <c r="C75" s="18">
        <f>(2136.0/B75*100)</f>
        <v/>
      </c>
      <c r="D75" s="19" t="n">
        <v>270</v>
      </c>
      <c r="E75" s="18" t="n">
        <v>49.26705159</v>
      </c>
      <c r="F75" s="20" t="n">
        <v>2.9121276</v>
      </c>
      <c r="G75" s="18" t="n">
        <v>0</v>
      </c>
      <c r="H75" s="20" t="n">
        <v>0</v>
      </c>
      <c r="I75" s="18" t="n">
        <v>17.70768965</v>
      </c>
      <c r="J75" s="20" t="n">
        <v>2.39715098</v>
      </c>
      <c r="K75" s="18" t="s">
        <v>431</v>
      </c>
      <c r="L75" s="20" t="s">
        <v>431</v>
      </c>
      <c r="M75" s="18" t="n">
        <v>3.15324773</v>
      </c>
      <c r="N75" s="20" t="n">
        <v>1.00147594</v>
      </c>
      <c r="O75" s="18" t="n">
        <v>1.18144755</v>
      </c>
      <c r="P75" s="20" t="n">
        <v>0.8779625</v>
      </c>
      <c r="Q75" s="18" t="n">
        <v>0</v>
      </c>
      <c r="R75" s="20" t="n">
        <v>0</v>
      </c>
      <c r="S75" s="18" t="n">
        <v>28.69056348</v>
      </c>
      <c r="T75" s="20" t="n">
        <v>2.71782308</v>
      </c>
    </row>
    <row r="76" spans="1:20">
      <c r="A76" s="15" t="s">
        <v>500</v>
      </c>
      <c r="B76" s="17" t="n">
        <v>7052</v>
      </c>
      <c r="C76" s="18">
        <f>(6200.0/B76*100)</f>
        <v/>
      </c>
      <c r="D76" s="19" t="n">
        <v>852</v>
      </c>
      <c r="E76" s="18" t="n">
        <v>45.29078181</v>
      </c>
      <c r="F76" s="20" t="n">
        <v>2.41352447</v>
      </c>
      <c r="G76" s="18" t="n">
        <v>3.96844803</v>
      </c>
      <c r="H76" s="20" t="n">
        <v>0.76891769</v>
      </c>
      <c r="I76" s="18" t="n">
        <v>38.92418412</v>
      </c>
      <c r="J76" s="20" t="n">
        <v>2.26071071</v>
      </c>
      <c r="K76" s="18" t="s">
        <v>431</v>
      </c>
      <c r="L76" s="20" t="s">
        <v>431</v>
      </c>
      <c r="M76" s="18" t="n">
        <v>0.67271521</v>
      </c>
      <c r="N76" s="20" t="n">
        <v>0.33056952</v>
      </c>
      <c r="O76" s="18" t="n">
        <v>0.42509041</v>
      </c>
      <c r="P76" s="20" t="n">
        <v>0.36471448</v>
      </c>
      <c r="Q76" s="18" t="n">
        <v>0</v>
      </c>
      <c r="R76" s="20" t="n">
        <v>0</v>
      </c>
      <c r="S76" s="18" t="n">
        <v>10.71878041</v>
      </c>
      <c r="T76" s="20" t="n">
        <v>1.29742723</v>
      </c>
    </row>
    <row r="77" spans="1:20">
      <c r="A77" s="15" t="s">
        <v>501</v>
      </c>
      <c r="B77" s="17" t="n">
        <v>2908</v>
      </c>
      <c r="C77" s="18">
        <f>(2555.0/B77*100)</f>
        <v/>
      </c>
      <c r="D77" s="19" t="n">
        <v>353</v>
      </c>
      <c r="E77" s="18" t="n">
        <v>35.16512716</v>
      </c>
      <c r="F77" s="20" t="n">
        <v>2.43205404</v>
      </c>
      <c r="G77" s="18" t="n">
        <v>4.03304201</v>
      </c>
      <c r="H77" s="20" t="n">
        <v>1.19495122</v>
      </c>
      <c r="I77" s="18" t="n">
        <v>34.90744026</v>
      </c>
      <c r="J77" s="20" t="n">
        <v>2.57294195</v>
      </c>
      <c r="K77" s="18" t="s">
        <v>431</v>
      </c>
      <c r="L77" s="20" t="s">
        <v>431</v>
      </c>
      <c r="M77" s="18" t="n">
        <v>0.54510224</v>
      </c>
      <c r="N77" s="20" t="n">
        <v>0.38507593</v>
      </c>
      <c r="O77" s="18" t="n">
        <v>0</v>
      </c>
      <c r="P77" s="20" t="n">
        <v>0</v>
      </c>
      <c r="Q77" s="18" t="n">
        <v>0</v>
      </c>
      <c r="R77" s="20" t="n">
        <v>0</v>
      </c>
      <c r="S77" s="18" t="n">
        <v>25.34928834</v>
      </c>
      <c r="T77" s="20" t="n">
        <v>2.54533486</v>
      </c>
    </row>
    <row r="78" spans="1:20">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c r="S78" s="18" t="s">
        <v>431</v>
      </c>
      <c r="T78" s="20" t="s">
        <v>431</v>
      </c>
    </row>
    <row customHeight="1" ht="25" r="79" spans="1:20">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c r="S79" s="18" t="s">
        <v>431</v>
      </c>
      <c r="T79" s="20" t="s">
        <v>431</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(3627.0/B81*100)</f>
        <v/>
      </c>
      <c r="D81" s="19" t="n">
        <v>536</v>
      </c>
      <c r="E81" s="18" t="n">
        <v>55.39054291</v>
      </c>
      <c r="F81" s="20" t="n">
        <v>2.81245898</v>
      </c>
      <c r="G81" s="18" t="n">
        <v>2.00615319</v>
      </c>
      <c r="H81" s="20" t="n">
        <v>0.72799384</v>
      </c>
      <c r="I81" s="18" t="n">
        <v>38.86044765</v>
      </c>
      <c r="J81" s="20" t="n">
        <v>2.99838294</v>
      </c>
      <c r="K81" s="18" t="s">
        <v>431</v>
      </c>
      <c r="L81" s="20" t="s">
        <v>431</v>
      </c>
      <c r="M81" s="18" t="n">
        <v>0</v>
      </c>
      <c r="N81" s="20" t="n">
        <v>0</v>
      </c>
      <c r="O81" s="18" t="n">
        <v>0</v>
      </c>
      <c r="P81" s="20" t="n">
        <v>0</v>
      </c>
      <c r="Q81" s="18" t="n">
        <v>0</v>
      </c>
      <c r="R81" s="20" t="n">
        <v>0</v>
      </c>
      <c r="S81" s="18" t="n">
        <v>3.74285625</v>
      </c>
      <c r="T81" s="20" t="n">
        <v>0.90480299</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(6456.0/B7*100)</f>
        <v/>
      </c>
      <c r="D7" s="19" t="n">
        <v>911</v>
      </c>
      <c r="E7" s="18" t="n">
        <v>57.44990287</v>
      </c>
      <c r="F7" s="20" t="n">
        <v>2.15669304</v>
      </c>
      <c r="G7" s="18" t="n">
        <v>40.14191873</v>
      </c>
      <c r="H7" s="20" t="n">
        <v>2.04404723</v>
      </c>
      <c r="I7" s="18" t="s">
        <v>431</v>
      </c>
      <c r="J7" s="20" t="s">
        <v>431</v>
      </c>
      <c r="K7" s="18" t="n">
        <v>0.18742983</v>
      </c>
      <c r="L7" s="20" t="n">
        <v>0.20032754</v>
      </c>
      <c r="M7" s="18" t="n">
        <v>0.05205626</v>
      </c>
      <c r="N7" s="20" t="n">
        <v>0.04049464</v>
      </c>
      <c r="O7" s="18" t="n">
        <v>0</v>
      </c>
      <c r="P7" s="20" t="n">
        <v>0</v>
      </c>
      <c r="Q7" s="18" t="n">
        <v>2.16869231</v>
      </c>
      <c r="R7" s="20" t="n">
        <v>0.52028663</v>
      </c>
    </row>
    <row r="8" spans="1:18">
      <c r="A8" s="15" t="s">
        <v>432</v>
      </c>
      <c r="B8" s="17" t="n">
        <v>3564</v>
      </c>
      <c r="C8" s="18">
        <f>(3138.0/B8*100)</f>
        <v/>
      </c>
      <c r="D8" s="19" t="n">
        <v>426</v>
      </c>
      <c r="E8" s="18" t="n">
        <v>59.54685228</v>
      </c>
      <c r="F8" s="20" t="n">
        <v>2.41796469</v>
      </c>
      <c r="G8" s="18" t="n">
        <v>37.28623777</v>
      </c>
      <c r="H8" s="20" t="n">
        <v>2.36882623</v>
      </c>
      <c r="I8" s="18" t="s">
        <v>431</v>
      </c>
      <c r="J8" s="20" t="s">
        <v>431</v>
      </c>
      <c r="K8" s="18" t="n">
        <v>0</v>
      </c>
      <c r="L8" s="20" t="n">
        <v>0</v>
      </c>
      <c r="M8" s="18" t="n">
        <v>0</v>
      </c>
      <c r="N8" s="20" t="n">
        <v>0</v>
      </c>
      <c r="O8" s="18" t="n">
        <v>0</v>
      </c>
      <c r="P8" s="20" t="n">
        <v>0</v>
      </c>
      <c r="Q8" s="18" t="n">
        <v>3.16690996</v>
      </c>
      <c r="R8" s="20" t="n">
        <v>0.92034797</v>
      </c>
    </row>
    <row r="9" spans="1:18">
      <c r="A9" s="15" t="s">
        <v>433</v>
      </c>
      <c r="B9" s="17" t="n">
        <v>4899</v>
      </c>
      <c r="C9" s="18">
        <f>(4321.0/B9*100)</f>
        <v/>
      </c>
      <c r="D9" s="19" t="n">
        <v>578</v>
      </c>
      <c r="E9" s="18" t="n">
        <v>53.29387045</v>
      </c>
      <c r="F9" s="20" t="n">
        <v>2.11985249</v>
      </c>
      <c r="G9" s="18" t="n">
        <v>44.09261547</v>
      </c>
      <c r="H9" s="20" t="n">
        <v>2.27377584</v>
      </c>
      <c r="I9" s="18" t="s">
        <v>431</v>
      </c>
      <c r="J9" s="20" t="s">
        <v>431</v>
      </c>
      <c r="K9" s="18" t="n">
        <v>0</v>
      </c>
      <c r="L9" s="20" t="n">
        <v>0</v>
      </c>
      <c r="M9" s="18" t="n">
        <v>0.12668154</v>
      </c>
      <c r="N9" s="20" t="n">
        <v>0.12898087</v>
      </c>
      <c r="O9" s="18" t="n">
        <v>0</v>
      </c>
      <c r="P9" s="20" t="n">
        <v>0</v>
      </c>
      <c r="Q9" s="18" t="n">
        <v>2.48683254</v>
      </c>
      <c r="R9" s="20" t="n">
        <v>0.61769913</v>
      </c>
    </row>
    <row r="10" spans="1:18">
      <c r="A10" s="15" t="s">
        <v>434</v>
      </c>
      <c r="B10" s="17" t="n">
        <v>10036</v>
      </c>
      <c r="C10" s="18">
        <f>(8781.0/B10*100)</f>
        <v/>
      </c>
      <c r="D10" s="19" t="n">
        <v>1255</v>
      </c>
      <c r="E10" s="18" t="n">
        <v>49.47397184</v>
      </c>
      <c r="F10" s="20" t="n">
        <v>1.80720556</v>
      </c>
      <c r="G10" s="18" t="n">
        <v>49.47997982</v>
      </c>
      <c r="H10" s="20" t="n">
        <v>1.83582215</v>
      </c>
      <c r="I10" s="18" t="s">
        <v>431</v>
      </c>
      <c r="J10" s="20" t="s">
        <v>431</v>
      </c>
      <c r="K10" s="18" t="n">
        <v>0.19118515</v>
      </c>
      <c r="L10" s="20" t="n">
        <v>0.17590071</v>
      </c>
      <c r="M10" s="18" t="n">
        <v>0</v>
      </c>
      <c r="N10" s="20" t="n">
        <v>0</v>
      </c>
      <c r="O10" s="18" t="n">
        <v>0</v>
      </c>
      <c r="P10" s="20" t="n">
        <v>0</v>
      </c>
      <c r="Q10" s="18" t="n">
        <v>0.8548631799999999</v>
      </c>
      <c r="R10" s="20" t="n">
        <v>0.34376383</v>
      </c>
    </row>
    <row r="11" spans="1:18">
      <c r="A11" s="15" t="s">
        <v>435</v>
      </c>
      <c r="B11" s="17" t="n">
        <v>3553</v>
      </c>
      <c r="C11" s="18">
        <f>(3124.0/B11*100)</f>
        <v/>
      </c>
      <c r="D11" s="19" t="n">
        <v>429</v>
      </c>
      <c r="E11" s="18" t="n">
        <v>42.30504951</v>
      </c>
      <c r="F11" s="20" t="n">
        <v>2.51111907</v>
      </c>
      <c r="G11" s="18" t="n">
        <v>34.44488209</v>
      </c>
      <c r="H11" s="20" t="n">
        <v>2.75302466</v>
      </c>
      <c r="I11" s="18" t="s">
        <v>431</v>
      </c>
      <c r="J11" s="20" t="s">
        <v>431</v>
      </c>
      <c r="K11" s="18" t="n">
        <v>0.29941266</v>
      </c>
      <c r="L11" s="20" t="n">
        <v>0.29984249</v>
      </c>
      <c r="M11" s="18" t="n">
        <v>0</v>
      </c>
      <c r="N11" s="20" t="n">
        <v>0</v>
      </c>
      <c r="O11" s="18" t="n">
        <v>0</v>
      </c>
      <c r="P11" s="20" t="n">
        <v>0</v>
      </c>
      <c r="Q11" s="18" t="n">
        <v>22.95065574</v>
      </c>
      <c r="R11" s="20" t="n">
        <v>2.49151904</v>
      </c>
    </row>
    <row r="12" spans="1:18">
      <c r="A12" s="15" t="s">
        <v>436</v>
      </c>
      <c r="B12" s="17" t="n">
        <v>3472</v>
      </c>
      <c r="C12" s="18">
        <f>(3060.0/B12*100)</f>
        <v/>
      </c>
      <c r="D12" s="19" t="n">
        <v>412</v>
      </c>
      <c r="E12" s="18" t="n">
        <v>75.86930254000001</v>
      </c>
      <c r="F12" s="20" t="n">
        <v>2.37555554</v>
      </c>
      <c r="G12" s="18" t="n">
        <v>22.82771754</v>
      </c>
      <c r="H12" s="20" t="n">
        <v>2.43206695</v>
      </c>
      <c r="I12" s="18" t="s">
        <v>431</v>
      </c>
      <c r="J12" s="20" t="s">
        <v>431</v>
      </c>
      <c r="K12" s="18" t="n">
        <v>0</v>
      </c>
      <c r="L12" s="20" t="n">
        <v>0</v>
      </c>
      <c r="M12" s="18" t="n">
        <v>0</v>
      </c>
      <c r="N12" s="20" t="n">
        <v>0</v>
      </c>
      <c r="O12" s="18" t="n">
        <v>0</v>
      </c>
      <c r="P12" s="20" t="n">
        <v>0</v>
      </c>
      <c r="Q12" s="18" t="n">
        <v>1.30297992</v>
      </c>
      <c r="R12" s="20" t="n">
        <v>0.56925252</v>
      </c>
    </row>
    <row r="13" spans="1:18">
      <c r="A13" s="15" t="s">
        <v>437</v>
      </c>
      <c r="B13" s="17" t="n">
        <v>3559</v>
      </c>
      <c r="C13" s="18">
        <f>(3153.0/B13*100)</f>
        <v/>
      </c>
      <c r="D13" s="19" t="n">
        <v>406</v>
      </c>
      <c r="E13" s="18" t="n">
        <v>42.50121602</v>
      </c>
      <c r="F13" s="20" t="n">
        <v>2.68902828</v>
      </c>
      <c r="G13" s="18" t="n">
        <v>56.94283351</v>
      </c>
      <c r="H13" s="20" t="n">
        <v>2.6832975</v>
      </c>
      <c r="I13" s="18" t="s">
        <v>431</v>
      </c>
      <c r="J13" s="20" t="s">
        <v>431</v>
      </c>
      <c r="K13" s="18" t="n">
        <v>0</v>
      </c>
      <c r="L13" s="20" t="n">
        <v>0</v>
      </c>
      <c r="M13" s="18" t="n">
        <v>0</v>
      </c>
      <c r="N13" s="20" t="n">
        <v>0</v>
      </c>
      <c r="O13" s="18" t="n">
        <v>0</v>
      </c>
      <c r="P13" s="20" t="n">
        <v>0</v>
      </c>
      <c r="Q13" s="18" t="n">
        <v>0.55595047</v>
      </c>
      <c r="R13" s="20" t="n">
        <v>0.25328978</v>
      </c>
    </row>
    <row r="14" spans="1:18">
      <c r="A14" s="15" t="s">
        <v>438</v>
      </c>
      <c r="B14" s="17" t="n">
        <v>2799</v>
      </c>
      <c r="C14" s="18">
        <f>(2449.0/B14*100)</f>
        <v/>
      </c>
      <c r="D14" s="19" t="n">
        <v>350</v>
      </c>
      <c r="E14" s="18" t="n">
        <v>39.79117932</v>
      </c>
      <c r="F14" s="20" t="n">
        <v>2.76566918</v>
      </c>
      <c r="G14" s="18" t="n">
        <v>51.21132633</v>
      </c>
      <c r="H14" s="20" t="n">
        <v>2.69336063</v>
      </c>
      <c r="I14" s="18" t="s">
        <v>431</v>
      </c>
      <c r="J14" s="20" t="s">
        <v>431</v>
      </c>
      <c r="K14" s="18" t="n">
        <v>0</v>
      </c>
      <c r="L14" s="20" t="n">
        <v>0</v>
      </c>
      <c r="M14" s="18" t="n">
        <v>0</v>
      </c>
      <c r="N14" s="20" t="n">
        <v>0</v>
      </c>
      <c r="O14" s="18" t="n">
        <v>0</v>
      </c>
      <c r="P14" s="20" t="n">
        <v>0</v>
      </c>
      <c r="Q14" s="18" t="n">
        <v>8.997494339999999</v>
      </c>
      <c r="R14" s="20" t="n">
        <v>1.90030043</v>
      </c>
    </row>
    <row r="15" spans="1:18">
      <c r="A15" s="15" t="s">
        <v>439</v>
      </c>
      <c r="B15" s="17" t="n">
        <v>3019</v>
      </c>
      <c r="C15" s="18">
        <f>(2648.0/B15*100)</f>
        <v/>
      </c>
      <c r="D15" s="19" t="n">
        <v>371</v>
      </c>
      <c r="E15" s="18" t="n">
        <v>43.71187099</v>
      </c>
      <c r="F15" s="20" t="n">
        <v>2.69872688</v>
      </c>
      <c r="G15" s="18" t="n">
        <v>54.20954191</v>
      </c>
      <c r="H15" s="20" t="n">
        <v>2.87377437</v>
      </c>
      <c r="I15" s="18" t="s">
        <v>431</v>
      </c>
      <c r="J15" s="20" t="s">
        <v>431</v>
      </c>
      <c r="K15" s="18" t="n">
        <v>0</v>
      </c>
      <c r="L15" s="20" t="n">
        <v>0</v>
      </c>
      <c r="M15" s="18" t="n">
        <v>0</v>
      </c>
      <c r="N15" s="20" t="n">
        <v>0</v>
      </c>
      <c r="O15" s="18" t="n">
        <v>0</v>
      </c>
      <c r="P15" s="20" t="n">
        <v>0</v>
      </c>
      <c r="Q15" s="18" t="n">
        <v>2.0785871</v>
      </c>
      <c r="R15" s="20" t="n">
        <v>0.7579716</v>
      </c>
    </row>
    <row r="16" spans="1:18">
      <c r="A16" s="15" t="s">
        <v>440</v>
      </c>
      <c r="B16" s="17" t="n">
        <v>2997</v>
      </c>
      <c r="C16" s="18">
        <f>(2638.0/B16*100)</f>
        <v/>
      </c>
      <c r="D16" s="19" t="n">
        <v>359</v>
      </c>
      <c r="E16" s="18" t="n">
        <v>60.04872724</v>
      </c>
      <c r="F16" s="20" t="n">
        <v>2.89576173</v>
      </c>
      <c r="G16" s="18" t="n">
        <v>37.16174125</v>
      </c>
      <c r="H16" s="20" t="n">
        <v>2.78237279</v>
      </c>
      <c r="I16" s="18" t="s">
        <v>431</v>
      </c>
      <c r="J16" s="20" t="s">
        <v>431</v>
      </c>
      <c r="K16" s="18" t="n">
        <v>0.24678469</v>
      </c>
      <c r="L16" s="20" t="n">
        <v>0.24692813</v>
      </c>
      <c r="M16" s="18" t="n">
        <v>0</v>
      </c>
      <c r="N16" s="20" t="n">
        <v>0</v>
      </c>
      <c r="O16" s="18" t="n">
        <v>0</v>
      </c>
      <c r="P16" s="20" t="n">
        <v>0</v>
      </c>
      <c r="Q16" s="18" t="n">
        <v>2.54274682</v>
      </c>
      <c r="R16" s="20" t="n">
        <v>1.00787414</v>
      </c>
    </row>
    <row r="17" spans="1:18">
      <c r="A17" s="15" t="s">
        <v>441</v>
      </c>
      <c r="B17" s="17" t="n">
        <v>3307</v>
      </c>
      <c r="C17" s="18">
        <f>(2904.0/B17*100)</f>
        <v/>
      </c>
      <c r="D17" s="19" t="n">
        <v>403</v>
      </c>
      <c r="E17" s="18" t="n">
        <v>46.9449377</v>
      </c>
      <c r="F17" s="20" t="n">
        <v>2.82374015</v>
      </c>
      <c r="G17" s="18" t="n">
        <v>51.10189458</v>
      </c>
      <c r="H17" s="20" t="n">
        <v>2.87423327</v>
      </c>
      <c r="I17" s="18" t="s">
        <v>431</v>
      </c>
      <c r="J17" s="20" t="s">
        <v>431</v>
      </c>
      <c r="K17" s="18" t="n">
        <v>0.4809244</v>
      </c>
      <c r="L17" s="20" t="n">
        <v>0.34393884</v>
      </c>
      <c r="M17" s="18" t="n">
        <v>0</v>
      </c>
      <c r="N17" s="20" t="n">
        <v>0</v>
      </c>
      <c r="O17" s="18" t="n">
        <v>0</v>
      </c>
      <c r="P17" s="20" t="n">
        <v>0</v>
      </c>
      <c r="Q17" s="18" t="n">
        <v>1.47224332</v>
      </c>
      <c r="R17" s="20" t="n">
        <v>0.59161309</v>
      </c>
    </row>
    <row r="18" spans="1:18">
      <c r="A18" s="15" t="s">
        <v>442</v>
      </c>
      <c r="B18" s="17" t="n">
        <v>2826</v>
      </c>
      <c r="C18" s="18">
        <f>(2483.0/B18*100)</f>
        <v/>
      </c>
      <c r="D18" s="19" t="n">
        <v>343</v>
      </c>
      <c r="E18" s="18" t="n">
        <v>51.8389456</v>
      </c>
      <c r="F18" s="20" t="n">
        <v>3.33615018</v>
      </c>
      <c r="G18" s="18" t="n">
        <v>46.94277049</v>
      </c>
      <c r="H18" s="20" t="n">
        <v>3.14977431</v>
      </c>
      <c r="I18" s="18" t="s">
        <v>431</v>
      </c>
      <c r="J18" s="20" t="s">
        <v>431</v>
      </c>
      <c r="K18" s="18" t="n">
        <v>0.2816448</v>
      </c>
      <c r="L18" s="20" t="n">
        <v>0.26989157</v>
      </c>
      <c r="M18" s="18" t="n">
        <v>0</v>
      </c>
      <c r="N18" s="20" t="n">
        <v>0</v>
      </c>
      <c r="O18" s="18" t="n">
        <v>0</v>
      </c>
      <c r="P18" s="20" t="n">
        <v>0</v>
      </c>
      <c r="Q18" s="18" t="n">
        <v>0.93663912</v>
      </c>
      <c r="R18" s="20" t="n">
        <v>0.50903896</v>
      </c>
    </row>
    <row r="19" spans="1:18">
      <c r="A19" s="15" t="s">
        <v>443</v>
      </c>
      <c r="B19" s="17" t="n">
        <v>2808</v>
      </c>
      <c r="C19" s="18">
        <f>(2473.0/B19*100)</f>
        <v/>
      </c>
      <c r="D19" s="19" t="n">
        <v>335</v>
      </c>
      <c r="E19" s="18" t="n">
        <v>69.77406557</v>
      </c>
      <c r="F19" s="20" t="n">
        <v>2.49608665</v>
      </c>
      <c r="G19" s="18" t="n">
        <v>28.12520227</v>
      </c>
      <c r="H19" s="20" t="n">
        <v>2.48792913</v>
      </c>
      <c r="I19" s="18" t="s">
        <v>431</v>
      </c>
      <c r="J19" s="20" t="s">
        <v>431</v>
      </c>
      <c r="K19" s="18" t="n">
        <v>0</v>
      </c>
      <c r="L19" s="20" t="n">
        <v>0</v>
      </c>
      <c r="M19" s="18" t="n">
        <v>0</v>
      </c>
      <c r="N19" s="20" t="n">
        <v>0</v>
      </c>
      <c r="O19" s="18" t="n">
        <v>0</v>
      </c>
      <c r="P19" s="20" t="n">
        <v>0</v>
      </c>
      <c r="Q19" s="18" t="n">
        <v>2.10073216</v>
      </c>
      <c r="R19" s="20" t="n">
        <v>0.8958251699999999</v>
      </c>
    </row>
    <row r="20" spans="1:18">
      <c r="A20" s="15" t="s">
        <v>444</v>
      </c>
      <c r="B20" s="17" t="n">
        <v>1630</v>
      </c>
      <c r="C20" s="18">
        <f>(1438.0/B20*100)</f>
        <v/>
      </c>
      <c r="D20" s="19" t="n">
        <v>192</v>
      </c>
      <c r="E20" s="18" t="n">
        <v>58.6405602</v>
      </c>
      <c r="F20" s="20" t="n">
        <v>3.80505262</v>
      </c>
      <c r="G20" s="18" t="n">
        <v>39.32697752</v>
      </c>
      <c r="H20" s="20" t="n">
        <v>3.73805987</v>
      </c>
      <c r="I20" s="18" t="s">
        <v>431</v>
      </c>
      <c r="J20" s="20" t="s">
        <v>431</v>
      </c>
      <c r="K20" s="18" t="n">
        <v>0.5123400299999999</v>
      </c>
      <c r="L20" s="20" t="n">
        <v>0.50918025</v>
      </c>
      <c r="M20" s="18" t="n">
        <v>0</v>
      </c>
      <c r="N20" s="20" t="n">
        <v>0</v>
      </c>
      <c r="O20" s="18" t="n">
        <v>0</v>
      </c>
      <c r="P20" s="20" t="n">
        <v>0</v>
      </c>
      <c r="Q20" s="18" t="n">
        <v>1.52012225</v>
      </c>
      <c r="R20" s="20" t="n">
        <v>0.85890226</v>
      </c>
    </row>
    <row r="21" spans="1:18">
      <c r="A21" s="15" t="s">
        <v>445</v>
      </c>
      <c r="B21" s="17" t="n">
        <v>2908</v>
      </c>
      <c r="C21" s="18">
        <f>(2429.0/B21*100)</f>
        <v/>
      </c>
      <c r="D21" s="19" t="n">
        <v>479</v>
      </c>
      <c r="E21" s="18" t="n">
        <v>49.32745736</v>
      </c>
      <c r="F21" s="20" t="n">
        <v>1.94721774</v>
      </c>
      <c r="G21" s="18" t="n">
        <v>48.99807364</v>
      </c>
      <c r="H21" s="20" t="n">
        <v>1.88602774</v>
      </c>
      <c r="I21" s="18" t="s">
        <v>431</v>
      </c>
      <c r="J21" s="20" t="s">
        <v>431</v>
      </c>
      <c r="K21" s="18" t="n">
        <v>0.17378083</v>
      </c>
      <c r="L21" s="20" t="n">
        <v>0.12307943</v>
      </c>
      <c r="M21" s="18" t="n">
        <v>0</v>
      </c>
      <c r="N21" s="20" t="n">
        <v>0</v>
      </c>
      <c r="O21" s="18" t="n">
        <v>0</v>
      </c>
      <c r="P21" s="20" t="n">
        <v>0</v>
      </c>
      <c r="Q21" s="18" t="n">
        <v>1.50068817</v>
      </c>
      <c r="R21" s="20" t="n">
        <v>0.58581854</v>
      </c>
    </row>
    <row r="22" spans="1:18">
      <c r="A22" s="15" t="s">
        <v>446</v>
      </c>
      <c r="B22" s="17" t="n">
        <v>2931</v>
      </c>
      <c r="C22" s="18">
        <f>(2588.0/B22*100)</f>
        <v/>
      </c>
      <c r="D22" s="19" t="n">
        <v>343</v>
      </c>
      <c r="E22" s="18" t="n">
        <v>61.73310843</v>
      </c>
      <c r="F22" s="20" t="n">
        <v>2.69718185</v>
      </c>
      <c r="G22" s="18" t="n">
        <v>34.67033761</v>
      </c>
      <c r="H22" s="20" t="n">
        <v>2.51238607</v>
      </c>
      <c r="I22" s="18" t="s">
        <v>431</v>
      </c>
      <c r="J22" s="20" t="s">
        <v>431</v>
      </c>
      <c r="K22" s="18" t="n">
        <v>0.45577146</v>
      </c>
      <c r="L22" s="20" t="n">
        <v>0.32283519</v>
      </c>
      <c r="M22" s="18" t="n">
        <v>0</v>
      </c>
      <c r="N22" s="20" t="n">
        <v>0</v>
      </c>
      <c r="O22" s="18" t="n">
        <v>0</v>
      </c>
      <c r="P22" s="20" t="n">
        <v>0</v>
      </c>
      <c r="Q22" s="18" t="n">
        <v>3.14078251</v>
      </c>
      <c r="R22" s="20" t="n">
        <v>0.96813487</v>
      </c>
    </row>
    <row r="23" spans="1:18">
      <c r="A23" s="15" t="s">
        <v>447</v>
      </c>
      <c r="B23" s="17" t="n">
        <v>5791</v>
      </c>
      <c r="C23" s="18">
        <f>(5048.0/B23*100)</f>
        <v/>
      </c>
      <c r="D23" s="19" t="n">
        <v>743</v>
      </c>
      <c r="E23" s="18" t="n">
        <v>59.06218836</v>
      </c>
      <c r="F23" s="20" t="n">
        <v>2.80691185</v>
      </c>
      <c r="G23" s="18" t="n">
        <v>36.80641324</v>
      </c>
      <c r="H23" s="20" t="n">
        <v>2.57000229</v>
      </c>
      <c r="I23" s="18" t="s">
        <v>431</v>
      </c>
      <c r="J23" s="20" t="s">
        <v>431</v>
      </c>
      <c r="K23" s="18" t="n">
        <v>0</v>
      </c>
      <c r="L23" s="20" t="n">
        <v>0</v>
      </c>
      <c r="M23" s="18" t="n">
        <v>0.2020759</v>
      </c>
      <c r="N23" s="20" t="n">
        <v>0.23314663</v>
      </c>
      <c r="O23" s="18" t="n">
        <v>0</v>
      </c>
      <c r="P23" s="20" t="n">
        <v>0</v>
      </c>
      <c r="Q23" s="18" t="n">
        <v>3.9293225</v>
      </c>
      <c r="R23" s="20" t="n">
        <v>1.01745076</v>
      </c>
    </row>
    <row r="24" spans="1:18">
      <c r="A24" s="15" t="s">
        <v>448</v>
      </c>
      <c r="B24" s="17" t="n">
        <v>3338</v>
      </c>
      <c r="C24" s="18">
        <f>(2935.0/B24*100)</f>
        <v/>
      </c>
      <c r="D24" s="19" t="n">
        <v>403</v>
      </c>
      <c r="E24" s="18" t="n">
        <v>27.52854946</v>
      </c>
      <c r="F24" s="20" t="n">
        <v>2.36802841</v>
      </c>
      <c r="G24" s="18" t="n">
        <v>71.03432234</v>
      </c>
      <c r="H24" s="20" t="n">
        <v>2.47375901</v>
      </c>
      <c r="I24" s="18" t="s">
        <v>431</v>
      </c>
      <c r="J24" s="20" t="s">
        <v>431</v>
      </c>
      <c r="K24" s="18" t="n">
        <v>0.21774534</v>
      </c>
      <c r="L24" s="20" t="n">
        <v>0.21644392</v>
      </c>
      <c r="M24" s="18" t="n">
        <v>0</v>
      </c>
      <c r="N24" s="20" t="n">
        <v>0</v>
      </c>
      <c r="O24" s="18" t="n">
        <v>0</v>
      </c>
      <c r="P24" s="20" t="n">
        <v>0</v>
      </c>
      <c r="Q24" s="18" t="n">
        <v>1.21938286</v>
      </c>
      <c r="R24" s="20" t="n">
        <v>0.55107442</v>
      </c>
    </row>
    <row r="25" spans="1:18">
      <c r="A25" s="15" t="s">
        <v>449</v>
      </c>
      <c r="B25" s="17" t="n">
        <v>2912</v>
      </c>
      <c r="C25" s="18">
        <f>(2568.0/B25*100)</f>
        <v/>
      </c>
      <c r="D25" s="19" t="n">
        <v>344</v>
      </c>
      <c r="E25" s="18" t="n">
        <v>18.32997697</v>
      </c>
      <c r="F25" s="20" t="n">
        <v>2.24625854</v>
      </c>
      <c r="G25" s="18" t="n">
        <v>69.16082917</v>
      </c>
      <c r="H25" s="20" t="n">
        <v>2.89253632</v>
      </c>
      <c r="I25" s="18" t="s">
        <v>431</v>
      </c>
      <c r="J25" s="20" t="s">
        <v>431</v>
      </c>
      <c r="K25" s="18" t="n">
        <v>0</v>
      </c>
      <c r="L25" s="20" t="n">
        <v>0</v>
      </c>
      <c r="M25" s="18" t="n">
        <v>0</v>
      </c>
      <c r="N25" s="20" t="n">
        <v>0</v>
      </c>
      <c r="O25" s="18" t="n">
        <v>0</v>
      </c>
      <c r="P25" s="20" t="n">
        <v>0</v>
      </c>
      <c r="Q25" s="18" t="n">
        <v>12.50919385</v>
      </c>
      <c r="R25" s="20" t="n">
        <v>1.89800516</v>
      </c>
    </row>
    <row r="26" spans="1:18">
      <c r="A26" s="15" t="s">
        <v>450</v>
      </c>
      <c r="B26" s="17" t="n">
        <v>2450</v>
      </c>
      <c r="C26" s="18">
        <f>(2136.0/B26*100)</f>
        <v/>
      </c>
      <c r="D26" s="19" t="n">
        <v>314</v>
      </c>
      <c r="E26" s="18" t="n">
        <v>50.78449823</v>
      </c>
      <c r="F26" s="20" t="n">
        <v>3.59728108</v>
      </c>
      <c r="G26" s="18" t="n">
        <v>45.55560232</v>
      </c>
      <c r="H26" s="20" t="n">
        <v>3.41094656</v>
      </c>
      <c r="I26" s="18" t="s">
        <v>431</v>
      </c>
      <c r="J26" s="20" t="s">
        <v>431</v>
      </c>
      <c r="K26" s="18" t="n">
        <v>0</v>
      </c>
      <c r="L26" s="20" t="n">
        <v>0</v>
      </c>
      <c r="M26" s="18" t="n">
        <v>0.6345721600000001</v>
      </c>
      <c r="N26" s="20" t="n">
        <v>0.64216124</v>
      </c>
      <c r="O26" s="18" t="n">
        <v>0</v>
      </c>
      <c r="P26" s="20" t="n">
        <v>0</v>
      </c>
      <c r="Q26" s="18" t="n">
        <v>3.02532729</v>
      </c>
      <c r="R26" s="20" t="n">
        <v>0.88293621</v>
      </c>
    </row>
    <row r="27" spans="1:18">
      <c r="A27" s="15" t="s">
        <v>451</v>
      </c>
      <c r="B27" s="17" t="n">
        <v>2616</v>
      </c>
      <c r="C27" s="18">
        <f>(2294.0/B27*100)</f>
        <v/>
      </c>
      <c r="D27" s="19" t="n">
        <v>322</v>
      </c>
      <c r="E27" s="18" t="n">
        <v>54.10618863</v>
      </c>
      <c r="F27" s="20" t="n">
        <v>3.00074075</v>
      </c>
      <c r="G27" s="18" t="n">
        <v>43.7154647</v>
      </c>
      <c r="H27" s="20" t="n">
        <v>3.02549177</v>
      </c>
      <c r="I27" s="18" t="s">
        <v>431</v>
      </c>
      <c r="J27" s="20" t="s">
        <v>431</v>
      </c>
      <c r="K27" s="18" t="n">
        <v>0</v>
      </c>
      <c r="L27" s="20" t="n">
        <v>0</v>
      </c>
      <c r="M27" s="18" t="n">
        <v>0</v>
      </c>
      <c r="N27" s="20" t="n">
        <v>0</v>
      </c>
      <c r="O27" s="18" t="n">
        <v>0</v>
      </c>
      <c r="P27" s="20" t="n">
        <v>0</v>
      </c>
      <c r="Q27" s="18" t="n">
        <v>2.17834667</v>
      </c>
      <c r="R27" s="20" t="n">
        <v>0.78241236</v>
      </c>
    </row>
    <row r="28" spans="1:18">
      <c r="A28" s="15" t="s">
        <v>452</v>
      </c>
      <c r="B28" s="17" t="n">
        <v>3765</v>
      </c>
      <c r="C28" s="18">
        <f>(3293.0/B28*100)</f>
        <v/>
      </c>
      <c r="D28" s="19" t="n">
        <v>472</v>
      </c>
      <c r="E28" s="18" t="n">
        <v>66.83685156999999</v>
      </c>
      <c r="F28" s="20" t="n">
        <v>2.17266491</v>
      </c>
      <c r="G28" s="18" t="n">
        <v>31.37245172</v>
      </c>
      <c r="H28" s="20" t="n">
        <v>2.17982792</v>
      </c>
      <c r="I28" s="18" t="s">
        <v>431</v>
      </c>
      <c r="J28" s="20" t="s">
        <v>431</v>
      </c>
      <c r="K28" s="18" t="n">
        <v>0.75179354</v>
      </c>
      <c r="L28" s="20" t="n">
        <v>0.5289017</v>
      </c>
      <c r="M28" s="18" t="n">
        <v>0</v>
      </c>
      <c r="N28" s="20" t="n">
        <v>0</v>
      </c>
      <c r="O28" s="18" t="n">
        <v>0</v>
      </c>
      <c r="P28" s="20" t="n">
        <v>0</v>
      </c>
      <c r="Q28" s="18" t="n">
        <v>1.03890317</v>
      </c>
      <c r="R28" s="20" t="n">
        <v>0.53777695</v>
      </c>
    </row>
    <row r="29" spans="1:18">
      <c r="A29" s="15" t="s">
        <v>453</v>
      </c>
      <c r="B29" s="17" t="n">
        <v>2685</v>
      </c>
      <c r="C29" s="18">
        <f>(2346.0/B29*100)</f>
        <v/>
      </c>
      <c r="D29" s="19" t="n">
        <v>339</v>
      </c>
      <c r="E29" s="18" t="n">
        <v>48.69866351</v>
      </c>
      <c r="F29" s="20" t="n">
        <v>2.79732814</v>
      </c>
      <c r="G29" s="18" t="n">
        <v>50.21700236</v>
      </c>
      <c r="H29" s="20" t="n">
        <v>2.84815046</v>
      </c>
      <c r="I29" s="18" t="s">
        <v>431</v>
      </c>
      <c r="J29" s="20" t="s">
        <v>431</v>
      </c>
      <c r="K29" s="18" t="n">
        <v>0.17456224</v>
      </c>
      <c r="L29" s="20" t="n">
        <v>0.17548825</v>
      </c>
      <c r="M29" s="18" t="n">
        <v>0</v>
      </c>
      <c r="N29" s="20" t="n">
        <v>0</v>
      </c>
      <c r="O29" s="18" t="n">
        <v>0</v>
      </c>
      <c r="P29" s="20" t="n">
        <v>0</v>
      </c>
      <c r="Q29" s="18" t="n">
        <v>0.90977189</v>
      </c>
      <c r="R29" s="20" t="n">
        <v>0.55826717</v>
      </c>
    </row>
    <row r="30" spans="1:18">
      <c r="A30" s="15" t="s">
        <v>454</v>
      </c>
      <c r="B30" s="17" t="n">
        <v>2263</v>
      </c>
      <c r="C30" s="18">
        <f>(1969.0/B30*100)</f>
        <v/>
      </c>
      <c r="D30" s="19" t="n">
        <v>294</v>
      </c>
      <c r="E30" s="18" t="n">
        <v>43.30327507</v>
      </c>
      <c r="F30" s="20" t="n">
        <v>3.02284665</v>
      </c>
      <c r="G30" s="18" t="n">
        <v>36.9216889</v>
      </c>
      <c r="H30" s="20" t="n">
        <v>2.57492997</v>
      </c>
      <c r="I30" s="18" t="s">
        <v>431</v>
      </c>
      <c r="J30" s="20" t="s">
        <v>431</v>
      </c>
      <c r="K30" s="18" t="n">
        <v>0.26973102</v>
      </c>
      <c r="L30" s="20" t="n">
        <v>0.27148974</v>
      </c>
      <c r="M30" s="18" t="n">
        <v>0.76315746</v>
      </c>
      <c r="N30" s="20" t="n">
        <v>0.54929471</v>
      </c>
      <c r="O30" s="18" t="n">
        <v>0</v>
      </c>
      <c r="P30" s="20" t="n">
        <v>0</v>
      </c>
      <c r="Q30" s="18" t="n">
        <v>18.74214756</v>
      </c>
      <c r="R30" s="20" t="n">
        <v>2.2776473</v>
      </c>
    </row>
    <row r="31" spans="1:18">
      <c r="A31" s="15" t="s">
        <v>455</v>
      </c>
      <c r="B31" s="17" t="n">
        <v>2750</v>
      </c>
      <c r="C31" s="18">
        <f>(2415.0/B31*100)</f>
        <v/>
      </c>
      <c r="D31" s="19" t="n">
        <v>335</v>
      </c>
      <c r="E31" s="18" t="n">
        <v>44.73119249</v>
      </c>
      <c r="F31" s="20" t="n">
        <v>2.56930183</v>
      </c>
      <c r="G31" s="18" t="n">
        <v>51.35288662</v>
      </c>
      <c r="H31" s="20" t="n">
        <v>2.56435397</v>
      </c>
      <c r="I31" s="18" t="s">
        <v>431</v>
      </c>
      <c r="J31" s="20" t="s">
        <v>431</v>
      </c>
      <c r="K31" s="18" t="n">
        <v>0.29836286</v>
      </c>
      <c r="L31" s="20" t="n">
        <v>0.28835479</v>
      </c>
      <c r="M31" s="18" t="n">
        <v>0</v>
      </c>
      <c r="N31" s="20" t="n">
        <v>0</v>
      </c>
      <c r="O31" s="18" t="n">
        <v>0</v>
      </c>
      <c r="P31" s="20" t="n">
        <v>0</v>
      </c>
      <c r="Q31" s="18" t="n">
        <v>3.61755803</v>
      </c>
      <c r="R31" s="20" t="n">
        <v>1.12768796</v>
      </c>
    </row>
    <row r="32" spans="1:18">
      <c r="A32" s="15" t="s">
        <v>456</v>
      </c>
      <c r="B32" s="17" t="n">
        <v>2269</v>
      </c>
      <c r="C32" s="18">
        <f>(1916.0/B32*100)</f>
        <v/>
      </c>
      <c r="D32" s="19" t="n">
        <v>353</v>
      </c>
      <c r="E32" s="18" t="n">
        <v>62.29704831</v>
      </c>
      <c r="F32" s="20" t="n">
        <v>2.46158721</v>
      </c>
      <c r="G32" s="18" t="n">
        <v>36.17272326</v>
      </c>
      <c r="H32" s="20" t="n">
        <v>2.41511149</v>
      </c>
      <c r="I32" s="18" t="s">
        <v>431</v>
      </c>
      <c r="J32" s="20" t="s">
        <v>431</v>
      </c>
      <c r="K32" s="18" t="n">
        <v>0</v>
      </c>
      <c r="L32" s="20" t="n">
        <v>0</v>
      </c>
      <c r="M32" s="18" t="n">
        <v>0</v>
      </c>
      <c r="N32" s="20" t="n">
        <v>0</v>
      </c>
      <c r="O32" s="18" t="n">
        <v>0</v>
      </c>
      <c r="P32" s="20" t="n">
        <v>0</v>
      </c>
      <c r="Q32" s="18" t="n">
        <v>1.53022843</v>
      </c>
      <c r="R32" s="20" t="n">
        <v>0.60884035</v>
      </c>
    </row>
    <row r="33" spans="1:18">
      <c r="A33" s="15" t="s">
        <v>457</v>
      </c>
      <c r="B33" s="17" t="n">
        <v>3674</v>
      </c>
      <c r="C33" s="18">
        <f>(3219.0/B33*100)</f>
        <v/>
      </c>
      <c r="D33" s="19" t="n">
        <v>455</v>
      </c>
      <c r="E33" s="18" t="n">
        <v>44.25532679</v>
      </c>
      <c r="F33" s="20" t="n">
        <v>2.72477822</v>
      </c>
      <c r="G33" s="18" t="n">
        <v>52.66446846</v>
      </c>
      <c r="H33" s="20" t="n">
        <v>2.6075493</v>
      </c>
      <c r="I33" s="18" t="s">
        <v>431</v>
      </c>
      <c r="J33" s="20" t="s">
        <v>431</v>
      </c>
      <c r="K33" s="18" t="n">
        <v>0.08310761</v>
      </c>
      <c r="L33" s="20" t="n">
        <v>0.10236791</v>
      </c>
      <c r="M33" s="18" t="n">
        <v>0.23877493</v>
      </c>
      <c r="N33" s="20" t="n">
        <v>0.16643115</v>
      </c>
      <c r="O33" s="18" t="n">
        <v>0</v>
      </c>
      <c r="P33" s="20" t="n">
        <v>0</v>
      </c>
      <c r="Q33" s="18" t="n">
        <v>2.75832221</v>
      </c>
      <c r="R33" s="20" t="n">
        <v>0.75122001</v>
      </c>
    </row>
    <row r="34" spans="1:18">
      <c r="A34" s="15" t="s">
        <v>458</v>
      </c>
      <c r="B34" s="17" t="n">
        <v>3315</v>
      </c>
      <c r="C34" s="18">
        <f>(2928.0/B34*100)</f>
        <v/>
      </c>
      <c r="D34" s="19" t="n">
        <v>387</v>
      </c>
      <c r="E34" s="18" t="n">
        <v>79.65591203</v>
      </c>
      <c r="F34" s="20" t="n">
        <v>2.06132211</v>
      </c>
      <c r="G34" s="18" t="n">
        <v>18.5588932</v>
      </c>
      <c r="H34" s="20" t="n">
        <v>2.1519511</v>
      </c>
      <c r="I34" s="18" t="s">
        <v>431</v>
      </c>
      <c r="J34" s="20" t="s">
        <v>431</v>
      </c>
      <c r="K34" s="18" t="n">
        <v>0.41521134</v>
      </c>
      <c r="L34" s="20" t="n">
        <v>0.41308552</v>
      </c>
      <c r="M34" s="18" t="n">
        <v>0</v>
      </c>
      <c r="N34" s="20" t="n">
        <v>0</v>
      </c>
      <c r="O34" s="18" t="n">
        <v>0</v>
      </c>
      <c r="P34" s="20" t="n">
        <v>0</v>
      </c>
      <c r="Q34" s="18" t="n">
        <v>1.36998343</v>
      </c>
      <c r="R34" s="20" t="n">
        <v>0.6292312</v>
      </c>
    </row>
    <row r="35" spans="1:18">
      <c r="A35" s="15" t="s">
        <v>459</v>
      </c>
      <c r="B35" s="17" t="n">
        <v>3505</v>
      </c>
      <c r="C35" s="18">
        <f>(3098.0/B35*100)</f>
        <v/>
      </c>
      <c r="D35" s="19" t="n">
        <v>407</v>
      </c>
      <c r="E35" s="18" t="n">
        <v>56.31945532</v>
      </c>
      <c r="F35" s="20" t="n">
        <v>3.4629219</v>
      </c>
      <c r="G35" s="18" t="n">
        <v>42.67988483</v>
      </c>
      <c r="H35" s="20" t="n">
        <v>3.4534898</v>
      </c>
      <c r="I35" s="18" t="s">
        <v>431</v>
      </c>
      <c r="J35" s="20" t="s">
        <v>431</v>
      </c>
      <c r="K35" s="18" t="n">
        <v>0</v>
      </c>
      <c r="L35" s="20" t="n">
        <v>0</v>
      </c>
      <c r="M35" s="18" t="n">
        <v>0.44098594</v>
      </c>
      <c r="N35" s="20" t="n">
        <v>0.44137925</v>
      </c>
      <c r="O35" s="18" t="n">
        <v>0</v>
      </c>
      <c r="P35" s="20" t="n">
        <v>0</v>
      </c>
      <c r="Q35" s="18" t="n">
        <v>0.55967391</v>
      </c>
      <c r="R35" s="20" t="n">
        <v>0.36211455</v>
      </c>
    </row>
    <row r="36" spans="1:18">
      <c r="A36" s="15" t="s">
        <v>460</v>
      </c>
      <c r="B36" s="17" t="n">
        <v>3332</v>
      </c>
      <c r="C36" s="18">
        <f>(2929.0/B36*100)</f>
        <v/>
      </c>
      <c r="D36" s="19" t="n">
        <v>403</v>
      </c>
      <c r="E36" s="18" t="n">
        <v>44.41221293</v>
      </c>
      <c r="F36" s="20" t="n">
        <v>2.57826943</v>
      </c>
      <c r="G36" s="18" t="n">
        <v>51.685013</v>
      </c>
      <c r="H36" s="20" t="n">
        <v>2.63711567</v>
      </c>
      <c r="I36" s="18" t="s">
        <v>431</v>
      </c>
      <c r="J36" s="20" t="s">
        <v>431</v>
      </c>
      <c r="K36" s="18" t="n">
        <v>0.27177589</v>
      </c>
      <c r="L36" s="20" t="n">
        <v>0.40043477</v>
      </c>
      <c r="M36" s="18" t="n">
        <v>0.23365996</v>
      </c>
      <c r="N36" s="20" t="n">
        <v>0.23232296</v>
      </c>
      <c r="O36" s="18" t="n">
        <v>0</v>
      </c>
      <c r="P36" s="20" t="n">
        <v>0</v>
      </c>
      <c r="Q36" s="18" t="n">
        <v>3.39733821</v>
      </c>
      <c r="R36" s="20" t="n">
        <v>1.1459505</v>
      </c>
    </row>
    <row r="37" spans="1:18">
      <c r="A37" s="15" t="s">
        <v>461</v>
      </c>
      <c r="B37" s="17" t="n">
        <v>2727</v>
      </c>
      <c r="C37" s="18">
        <f>(2379.0/B37*100)</f>
        <v/>
      </c>
      <c r="D37" s="19" t="n">
        <v>348</v>
      </c>
      <c r="E37" s="18" t="n">
        <v>43.4475951</v>
      </c>
      <c r="F37" s="20" t="n">
        <v>3.1013583</v>
      </c>
      <c r="G37" s="18" t="n">
        <v>50.93218162</v>
      </c>
      <c r="H37" s="20" t="n">
        <v>3.14510741</v>
      </c>
      <c r="I37" s="18" t="s">
        <v>431</v>
      </c>
      <c r="J37" s="20" t="s">
        <v>431</v>
      </c>
      <c r="K37" s="18" t="n">
        <v>0</v>
      </c>
      <c r="L37" s="20" t="n">
        <v>0</v>
      </c>
      <c r="M37" s="18" t="n">
        <v>0</v>
      </c>
      <c r="N37" s="20" t="n">
        <v>0</v>
      </c>
      <c r="O37" s="18" t="n">
        <v>0</v>
      </c>
      <c r="P37" s="20" t="n">
        <v>0</v>
      </c>
      <c r="Q37" s="18" t="n">
        <v>5.62022328</v>
      </c>
      <c r="R37" s="20" t="n">
        <v>1.15059491</v>
      </c>
    </row>
    <row r="38" spans="1:18">
      <c r="A38" s="15" t="s">
        <v>462</v>
      </c>
      <c r="B38" s="17" t="n">
        <v>3053</v>
      </c>
      <c r="C38" s="18">
        <f>(2570.0/B38*100)</f>
        <v/>
      </c>
      <c r="D38" s="19" t="n">
        <v>483</v>
      </c>
      <c r="E38" s="18" t="n">
        <v>40.32151439</v>
      </c>
      <c r="F38" s="20" t="n">
        <v>2.19325414</v>
      </c>
      <c r="G38" s="18" t="n">
        <v>39.67093788</v>
      </c>
      <c r="H38" s="20" t="n">
        <v>2.2014411</v>
      </c>
      <c r="I38" s="18" t="s">
        <v>431</v>
      </c>
      <c r="J38" s="20" t="s">
        <v>431</v>
      </c>
      <c r="K38" s="18" t="n">
        <v>0.59420458</v>
      </c>
      <c r="L38" s="20" t="n">
        <v>0.57486517</v>
      </c>
      <c r="M38" s="18" t="n">
        <v>0.43550767</v>
      </c>
      <c r="N38" s="20" t="n">
        <v>0.31370067</v>
      </c>
      <c r="O38" s="18" t="n">
        <v>0</v>
      </c>
      <c r="P38" s="20" t="n">
        <v>0</v>
      </c>
      <c r="Q38" s="18" t="n">
        <v>18.97783548</v>
      </c>
      <c r="R38" s="20" t="n">
        <v>2.1361607</v>
      </c>
    </row>
    <row r="39" spans="1:18">
      <c r="A39" s="15" t="s">
        <v>463</v>
      </c>
      <c r="B39" s="17" t="n">
        <v>2957</v>
      </c>
      <c r="C39" s="18">
        <f>(2588.0/B39*100)</f>
        <v/>
      </c>
      <c r="D39" s="19" t="n">
        <v>369</v>
      </c>
      <c r="E39" s="18" t="n">
        <v>34.9332203</v>
      </c>
      <c r="F39" s="20" t="n">
        <v>2.77898621</v>
      </c>
      <c r="G39" s="18" t="n">
        <v>32.5082971</v>
      </c>
      <c r="H39" s="20" t="n">
        <v>2.88128113</v>
      </c>
      <c r="I39" s="18" t="s">
        <v>431</v>
      </c>
      <c r="J39" s="20" t="s">
        <v>431</v>
      </c>
      <c r="K39" s="18" t="n">
        <v>0.38124661</v>
      </c>
      <c r="L39" s="20" t="n">
        <v>0.37966924</v>
      </c>
      <c r="M39" s="18" t="n">
        <v>0</v>
      </c>
      <c r="N39" s="20" t="n">
        <v>0</v>
      </c>
      <c r="O39" s="18" t="n">
        <v>0</v>
      </c>
      <c r="P39" s="20" t="n">
        <v>0</v>
      </c>
      <c r="Q39" s="18" t="n">
        <v>32.17723599</v>
      </c>
      <c r="R39" s="20" t="n">
        <v>3.07370054</v>
      </c>
    </row>
    <row r="40" spans="1:18">
      <c r="A40" s="15" t="s">
        <v>464</v>
      </c>
      <c r="B40" s="17" t="n">
        <v>7235</v>
      </c>
      <c r="C40" s="18">
        <f>(6350.0/B40*100)</f>
        <v/>
      </c>
      <c r="D40" s="19" t="n">
        <v>885</v>
      </c>
      <c r="E40" s="18" t="n">
        <v>52.67310185</v>
      </c>
      <c r="F40" s="20" t="n">
        <v>2.68034772</v>
      </c>
      <c r="G40" s="18" t="n">
        <v>42.42852564</v>
      </c>
      <c r="H40" s="20" t="n">
        <v>2.72068163</v>
      </c>
      <c r="I40" s="18" t="s">
        <v>431</v>
      </c>
      <c r="J40" s="20" t="s">
        <v>431</v>
      </c>
      <c r="K40" s="18" t="n">
        <v>0.0261611</v>
      </c>
      <c r="L40" s="20" t="n">
        <v>0.02639147</v>
      </c>
      <c r="M40" s="18" t="n">
        <v>0.55623058</v>
      </c>
      <c r="N40" s="20" t="n">
        <v>0.43852685</v>
      </c>
      <c r="O40" s="18" t="n">
        <v>0</v>
      </c>
      <c r="P40" s="20" t="n">
        <v>0</v>
      </c>
      <c r="Q40" s="18" t="n">
        <v>4.31598082</v>
      </c>
      <c r="R40" s="20" t="n">
        <v>1.13708907</v>
      </c>
    </row>
    <row r="41" spans="1:18">
      <c r="A41" s="15" t="s">
        <v>465</v>
      </c>
      <c r="B41" s="17" t="n">
        <v>2858</v>
      </c>
      <c r="C41" s="18">
        <f>(2512.0/B41*100)</f>
        <v/>
      </c>
      <c r="D41" s="19" t="n">
        <v>346</v>
      </c>
      <c r="E41" s="18" t="n">
        <v>63.86521917</v>
      </c>
      <c r="F41" s="20" t="n">
        <v>2.86709024</v>
      </c>
      <c r="G41" s="18" t="n">
        <v>35.10720953</v>
      </c>
      <c r="H41" s="20" t="n">
        <v>2.83434449</v>
      </c>
      <c r="I41" s="18" t="s">
        <v>431</v>
      </c>
      <c r="J41" s="20" t="s">
        <v>431</v>
      </c>
      <c r="K41" s="18" t="n">
        <v>0</v>
      </c>
      <c r="L41" s="20" t="n">
        <v>0</v>
      </c>
      <c r="M41" s="18" t="n">
        <v>0</v>
      </c>
      <c r="N41" s="20" t="n">
        <v>0</v>
      </c>
      <c r="O41" s="18" t="n">
        <v>0</v>
      </c>
      <c r="P41" s="20" t="n">
        <v>0</v>
      </c>
      <c r="Q41" s="18" t="n">
        <v>1.02757131</v>
      </c>
      <c r="R41" s="20" t="n">
        <v>0.52870463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(9856.0/B46*100)</f>
        <v/>
      </c>
      <c r="D46" s="19" t="n">
        <v>1212</v>
      </c>
      <c r="E46" s="18" t="n">
        <v>46.94843334</v>
      </c>
      <c r="F46" s="20" t="n">
        <v>1.63972324</v>
      </c>
      <c r="G46" s="18" t="n">
        <v>25.84734995</v>
      </c>
      <c r="H46" s="20" t="n">
        <v>1.85092539</v>
      </c>
      <c r="I46" s="18" t="s">
        <v>431</v>
      </c>
      <c r="J46" s="20" t="s">
        <v>431</v>
      </c>
      <c r="K46" s="18" t="n">
        <v>0.94608205</v>
      </c>
      <c r="L46" s="20" t="n">
        <v>0.36364662</v>
      </c>
      <c r="M46" s="18" t="n">
        <v>0.66340422</v>
      </c>
      <c r="N46" s="20" t="n">
        <v>0.39096533</v>
      </c>
      <c r="O46" s="18" t="n">
        <v>0</v>
      </c>
      <c r="P46" s="20" t="n">
        <v>0</v>
      </c>
      <c r="Q46" s="18" t="n">
        <v>25.59473045</v>
      </c>
      <c r="R46" s="20" t="n">
        <v>1.53536927</v>
      </c>
    </row>
    <row r="47" spans="1:18">
      <c r="A47" s="15" t="s">
        <v>471</v>
      </c>
      <c r="B47" s="17" t="n">
        <v>3105</v>
      </c>
      <c r="C47" s="18">
        <f>(2695.0/B47*100)</f>
        <v/>
      </c>
      <c r="D47" s="19" t="n">
        <v>410</v>
      </c>
      <c r="E47" s="18" t="n">
        <v>53.54035618</v>
      </c>
      <c r="F47" s="20" t="n">
        <v>2.61496533</v>
      </c>
      <c r="G47" s="18" t="n">
        <v>30.66026074</v>
      </c>
      <c r="H47" s="20" t="n">
        <v>2.56252607</v>
      </c>
      <c r="I47" s="18" t="s">
        <v>431</v>
      </c>
      <c r="J47" s="20" t="s">
        <v>431</v>
      </c>
      <c r="K47" s="18" t="n">
        <v>0</v>
      </c>
      <c r="L47" s="20" t="n">
        <v>0</v>
      </c>
      <c r="M47" s="18" t="n">
        <v>0</v>
      </c>
      <c r="N47" s="20" t="n">
        <v>0</v>
      </c>
      <c r="O47" s="18" t="n">
        <v>0</v>
      </c>
      <c r="P47" s="20" t="n">
        <v>0</v>
      </c>
      <c r="Q47" s="18" t="n">
        <v>15.79938309</v>
      </c>
      <c r="R47" s="20" t="n">
        <v>1.52084604</v>
      </c>
    </row>
    <row r="48" spans="1:18">
      <c r="A48" s="15" t="s">
        <v>472</v>
      </c>
      <c r="B48" s="17" t="n">
        <v>5159</v>
      </c>
      <c r="C48" s="18">
        <f>(4531.0/B48*100)</f>
        <v/>
      </c>
      <c r="D48" s="19" t="n">
        <v>628</v>
      </c>
      <c r="E48" s="18" t="n">
        <v>50.59019552</v>
      </c>
      <c r="F48" s="20" t="n">
        <v>2.70912907</v>
      </c>
      <c r="G48" s="18" t="n">
        <v>47.57745351</v>
      </c>
      <c r="H48" s="20" t="n">
        <v>2.7675166</v>
      </c>
      <c r="I48" s="18" t="s">
        <v>431</v>
      </c>
      <c r="J48" s="20" t="s">
        <v>431</v>
      </c>
      <c r="K48" s="18" t="n">
        <v>0.3633225</v>
      </c>
      <c r="L48" s="20" t="n">
        <v>0.36291522</v>
      </c>
      <c r="M48" s="18" t="n">
        <v>0</v>
      </c>
      <c r="N48" s="20" t="n">
        <v>0</v>
      </c>
      <c r="O48" s="18" t="n">
        <v>0</v>
      </c>
      <c r="P48" s="20" t="n">
        <v>0</v>
      </c>
      <c r="Q48" s="18" t="n">
        <v>1.46902847</v>
      </c>
      <c r="R48" s="20" t="n">
        <v>0.74635503</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(4965.0/B50*100)</f>
        <v/>
      </c>
      <c r="D50" s="19" t="n">
        <v>672</v>
      </c>
      <c r="E50" s="18" t="n">
        <v>57.2655596</v>
      </c>
      <c r="F50" s="20" t="n">
        <v>2.45211928</v>
      </c>
      <c r="G50" s="18" t="n">
        <v>27.10521537</v>
      </c>
      <c r="H50" s="20" t="n">
        <v>2.34781096</v>
      </c>
      <c r="I50" s="18" t="s">
        <v>431</v>
      </c>
      <c r="J50" s="20" t="s">
        <v>431</v>
      </c>
      <c r="K50" s="18" t="n">
        <v>1.20933531</v>
      </c>
      <c r="L50" s="20" t="n">
        <v>0.76525811</v>
      </c>
      <c r="M50" s="18" t="n">
        <v>0.00829206</v>
      </c>
      <c r="N50" s="20" t="n">
        <v>0.00834326</v>
      </c>
      <c r="O50" s="18" t="n">
        <v>0</v>
      </c>
      <c r="P50" s="20" t="n">
        <v>0</v>
      </c>
      <c r="Q50" s="18" t="n">
        <v>14.41159765</v>
      </c>
      <c r="R50" s="20" t="n">
        <v>1.76265334</v>
      </c>
    </row>
    <row r="51" spans="1:18">
      <c r="A51" s="15" t="s">
        <v>475</v>
      </c>
      <c r="B51" s="17" t="n">
        <v>3372</v>
      </c>
      <c r="C51" s="18">
        <f>(3007.0/B51*100)</f>
        <v/>
      </c>
      <c r="D51" s="19" t="n">
        <v>365</v>
      </c>
      <c r="E51" s="18" t="n">
        <v>52.75912056</v>
      </c>
      <c r="F51" s="20" t="n">
        <v>2.81435094</v>
      </c>
      <c r="G51" s="18" t="n">
        <v>20.82476511</v>
      </c>
      <c r="H51" s="20" t="n">
        <v>2.16411576</v>
      </c>
      <c r="I51" s="18" t="s">
        <v>431</v>
      </c>
      <c r="J51" s="20" t="s">
        <v>431</v>
      </c>
      <c r="K51" s="18" t="n">
        <v>0.98221317</v>
      </c>
      <c r="L51" s="20" t="n">
        <v>0.49693418</v>
      </c>
      <c r="M51" s="18" t="n">
        <v>0</v>
      </c>
      <c r="N51" s="20" t="n">
        <v>0</v>
      </c>
      <c r="O51" s="18" t="n">
        <v>0</v>
      </c>
      <c r="P51" s="20" t="n">
        <v>0</v>
      </c>
      <c r="Q51" s="18" t="n">
        <v>25.43390116</v>
      </c>
      <c r="R51" s="20" t="n">
        <v>2.34183121</v>
      </c>
    </row>
    <row r="52" spans="1:18">
      <c r="A52" s="15" t="s">
        <v>476</v>
      </c>
      <c r="B52" s="17" t="n">
        <v>2796</v>
      </c>
      <c r="C52" s="18">
        <f>(2429.0/B52*100)</f>
        <v/>
      </c>
      <c r="D52" s="19" t="n">
        <v>367</v>
      </c>
      <c r="E52" s="18" t="n">
        <v>62.76524244</v>
      </c>
      <c r="F52" s="20" t="n">
        <v>2.71579192</v>
      </c>
      <c r="G52" s="18" t="n">
        <v>35.44067053</v>
      </c>
      <c r="H52" s="20" t="n">
        <v>2.76241143</v>
      </c>
      <c r="I52" s="18" t="s">
        <v>431</v>
      </c>
      <c r="J52" s="20" t="s">
        <v>431</v>
      </c>
      <c r="K52" s="18" t="n">
        <v>0</v>
      </c>
      <c r="L52" s="20" t="n">
        <v>0</v>
      </c>
      <c r="M52" s="18" t="n">
        <v>0</v>
      </c>
      <c r="N52" s="20" t="n">
        <v>0</v>
      </c>
      <c r="O52" s="18" t="n">
        <v>0</v>
      </c>
      <c r="P52" s="20" t="n">
        <v>0</v>
      </c>
      <c r="Q52" s="18" t="n">
        <v>1.79408704</v>
      </c>
      <c r="R52" s="20" t="n">
        <v>0.71132211</v>
      </c>
    </row>
    <row r="53" spans="1:18">
      <c r="A53" s="15" t="s">
        <v>477</v>
      </c>
      <c r="B53" s="17" t="n">
        <v>2811</v>
      </c>
      <c r="C53" s="18">
        <f>(2480.0/B53*100)</f>
        <v/>
      </c>
      <c r="D53" s="19" t="n">
        <v>331</v>
      </c>
      <c r="E53" s="18" t="n">
        <v>59.32109391</v>
      </c>
      <c r="F53" s="20" t="n">
        <v>2.55743863</v>
      </c>
      <c r="G53" s="18" t="n">
        <v>36.55763806</v>
      </c>
      <c r="H53" s="20" t="n">
        <v>2.62220968</v>
      </c>
      <c r="I53" s="18" t="s">
        <v>431</v>
      </c>
      <c r="J53" s="20" t="s">
        <v>431</v>
      </c>
      <c r="K53" s="18" t="n">
        <v>0</v>
      </c>
      <c r="L53" s="20" t="n">
        <v>0</v>
      </c>
      <c r="M53" s="18" t="n">
        <v>0</v>
      </c>
      <c r="N53" s="20" t="n">
        <v>0</v>
      </c>
      <c r="O53" s="18" t="n">
        <v>0</v>
      </c>
      <c r="P53" s="20" t="n">
        <v>0</v>
      </c>
      <c r="Q53" s="18" t="n">
        <v>4.12126803</v>
      </c>
      <c r="R53" s="20" t="n">
        <v>1.13400858</v>
      </c>
    </row>
    <row r="54" spans="1:18">
      <c r="A54" s="15" t="s">
        <v>478</v>
      </c>
      <c r="B54" s="17" t="n">
        <v>2266</v>
      </c>
      <c r="C54" s="18">
        <f>(1880.0/B54*100)</f>
        <v/>
      </c>
      <c r="D54" s="19" t="n">
        <v>386</v>
      </c>
      <c r="E54" s="18" t="n">
        <v>62.27312567</v>
      </c>
      <c r="F54" s="20" t="n">
        <v>2.67476141</v>
      </c>
      <c r="G54" s="18" t="n">
        <v>23.80433148</v>
      </c>
      <c r="H54" s="20" t="n">
        <v>2.45646357</v>
      </c>
      <c r="I54" s="18" t="s">
        <v>431</v>
      </c>
      <c r="J54" s="20" t="s">
        <v>431</v>
      </c>
      <c r="K54" s="18" t="n">
        <v>9.15087383</v>
      </c>
      <c r="L54" s="20" t="n">
        <v>1.57223386</v>
      </c>
      <c r="M54" s="18" t="n">
        <v>0.74906846</v>
      </c>
      <c r="N54" s="20" t="n">
        <v>0.5493449500000001</v>
      </c>
      <c r="O54" s="18" t="n">
        <v>0</v>
      </c>
      <c r="P54" s="20" t="n">
        <v>0</v>
      </c>
      <c r="Q54" s="18" t="n">
        <v>4.02260056</v>
      </c>
      <c r="R54" s="20" t="n">
        <v>1.07850725</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(2344.0/B56*100)</f>
        <v/>
      </c>
      <c r="D56" s="19" t="n">
        <v>340</v>
      </c>
      <c r="E56" s="18" t="n">
        <v>44.94779275</v>
      </c>
      <c r="F56" s="20" t="n">
        <v>3.16719152</v>
      </c>
      <c r="G56" s="18" t="n">
        <v>53.11207625</v>
      </c>
      <c r="H56" s="20" t="n">
        <v>3.02194454</v>
      </c>
      <c r="I56" s="18" t="s">
        <v>431</v>
      </c>
      <c r="J56" s="20" t="s">
        <v>431</v>
      </c>
      <c r="K56" s="18" t="n">
        <v>0.24409567</v>
      </c>
      <c r="L56" s="20" t="n">
        <v>0.24303137</v>
      </c>
      <c r="M56" s="18" t="n">
        <v>0.61337391</v>
      </c>
      <c r="N56" s="20" t="n">
        <v>0.46689023</v>
      </c>
      <c r="O56" s="18" t="n">
        <v>0</v>
      </c>
      <c r="P56" s="20" t="n">
        <v>0</v>
      </c>
      <c r="Q56" s="18" t="n">
        <v>1.08266142</v>
      </c>
      <c r="R56" s="20" t="n">
        <v>0.69033735</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(2922.0/B61*100)</f>
        <v/>
      </c>
      <c r="D61" s="19" t="n">
        <v>402</v>
      </c>
      <c r="E61" s="18" t="n">
        <v>63.73966258</v>
      </c>
      <c r="F61" s="20" t="n">
        <v>2.97631708</v>
      </c>
      <c r="G61" s="18" t="n">
        <v>35.30947936</v>
      </c>
      <c r="H61" s="20" t="n">
        <v>2.90717344</v>
      </c>
      <c r="I61" s="18" t="s">
        <v>431</v>
      </c>
      <c r="J61" s="20" t="s">
        <v>431</v>
      </c>
      <c r="K61" s="18" t="n">
        <v>0</v>
      </c>
      <c r="L61" s="20" t="n">
        <v>0</v>
      </c>
      <c r="M61" s="18" t="n">
        <v>0</v>
      </c>
      <c r="N61" s="20" t="n">
        <v>0</v>
      </c>
      <c r="O61" s="18" t="n">
        <v>0</v>
      </c>
      <c r="P61" s="20" t="n">
        <v>0</v>
      </c>
      <c r="Q61" s="18" t="n">
        <v>0.9508580599999999</v>
      </c>
      <c r="R61" s="20" t="n">
        <v>0.48698423</v>
      </c>
    </row>
    <row r="62" spans="1:18">
      <c r="A62" s="15" t="s">
        <v>486</v>
      </c>
      <c r="B62" s="17" t="n">
        <v>2246</v>
      </c>
      <c r="C62" s="18">
        <f>(1978.0/B62*100)</f>
        <v/>
      </c>
      <c r="D62" s="19" t="n">
        <v>268</v>
      </c>
      <c r="E62" s="18" t="n">
        <v>42.13024057</v>
      </c>
      <c r="F62" s="20" t="n">
        <v>3.19639833</v>
      </c>
      <c r="G62" s="18" t="n">
        <v>57.12931279</v>
      </c>
      <c r="H62" s="20" t="n">
        <v>3.19215919</v>
      </c>
      <c r="I62" s="18" t="s">
        <v>431</v>
      </c>
      <c r="J62" s="20" t="s">
        <v>431</v>
      </c>
      <c r="K62" s="18" t="n">
        <v>0</v>
      </c>
      <c r="L62" s="20" t="n">
        <v>0</v>
      </c>
      <c r="M62" s="18" t="n">
        <v>0</v>
      </c>
      <c r="N62" s="20" t="n">
        <v>0</v>
      </c>
      <c r="O62" s="18" t="n">
        <v>0</v>
      </c>
      <c r="P62" s="20" t="n">
        <v>0</v>
      </c>
      <c r="Q62" s="18" t="n">
        <v>0.74044665</v>
      </c>
      <c r="R62" s="20" t="n">
        <v>0.52674328</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(2544.0/B66*100)</f>
        <v/>
      </c>
      <c r="D66" s="19" t="n">
        <v>350</v>
      </c>
      <c r="E66" s="18" t="n">
        <v>19.06946834</v>
      </c>
      <c r="F66" s="20" t="n">
        <v>2.50534785</v>
      </c>
      <c r="G66" s="18" t="n">
        <v>25.89106021</v>
      </c>
      <c r="H66" s="20" t="n">
        <v>2.56222117</v>
      </c>
      <c r="I66" s="18" t="s">
        <v>431</v>
      </c>
      <c r="J66" s="20" t="s">
        <v>431</v>
      </c>
      <c r="K66" s="18" t="n">
        <v>0</v>
      </c>
      <c r="L66" s="20" t="n">
        <v>0</v>
      </c>
      <c r="M66" s="18" t="n">
        <v>0.24195184</v>
      </c>
      <c r="N66" s="20" t="n">
        <v>0.24351517</v>
      </c>
      <c r="O66" s="18" t="n">
        <v>0</v>
      </c>
      <c r="P66" s="20" t="n">
        <v>0</v>
      </c>
      <c r="Q66" s="18" t="n">
        <v>54.79751962</v>
      </c>
      <c r="R66" s="20" t="n">
        <v>3.07296165</v>
      </c>
    </row>
    <row r="67" spans="1:18">
      <c r="A67" s="15" t="s">
        <v>491</v>
      </c>
      <c r="B67" s="17" t="n">
        <v>3511</v>
      </c>
      <c r="C67" s="18">
        <f>(3091.0/B67*100)</f>
        <v/>
      </c>
      <c r="D67" s="19" t="n">
        <v>420</v>
      </c>
      <c r="E67" s="18" t="n">
        <v>80.14141085999999</v>
      </c>
      <c r="F67" s="20" t="n">
        <v>2.01940292</v>
      </c>
      <c r="G67" s="18" t="n">
        <v>18.20511441</v>
      </c>
      <c r="H67" s="20" t="n">
        <v>2.02882688</v>
      </c>
      <c r="I67" s="18" t="s">
        <v>431</v>
      </c>
      <c r="J67" s="20" t="s">
        <v>431</v>
      </c>
      <c r="K67" s="18" t="n">
        <v>0.16467772</v>
      </c>
      <c r="L67" s="20" t="n">
        <v>0.16300023</v>
      </c>
      <c r="M67" s="18" t="n">
        <v>0.26103416</v>
      </c>
      <c r="N67" s="20" t="n">
        <v>0.26023923</v>
      </c>
      <c r="O67" s="18" t="n">
        <v>0</v>
      </c>
      <c r="P67" s="20" t="n">
        <v>0</v>
      </c>
      <c r="Q67" s="18" t="n">
        <v>1.22776286</v>
      </c>
      <c r="R67" s="20" t="n">
        <v>0.63752941</v>
      </c>
    </row>
    <row r="68" spans="1:18">
      <c r="A68" s="15" t="s">
        <v>492</v>
      </c>
      <c r="B68" s="17" t="n">
        <v>6049</v>
      </c>
      <c r="C68" s="18">
        <f>(5043.0/B68*100)</f>
        <v/>
      </c>
      <c r="D68" s="19" t="n">
        <v>1006</v>
      </c>
      <c r="E68" s="18" t="n">
        <v>67.80146615</v>
      </c>
      <c r="F68" s="20" t="n">
        <v>1.26395794</v>
      </c>
      <c r="G68" s="18" t="n">
        <v>24.00902408</v>
      </c>
      <c r="H68" s="20" t="n">
        <v>1.10494174</v>
      </c>
      <c r="I68" s="18" t="s">
        <v>431</v>
      </c>
      <c r="J68" s="20" t="s">
        <v>431</v>
      </c>
      <c r="K68" s="18" t="n">
        <v>1.85549442</v>
      </c>
      <c r="L68" s="20" t="n">
        <v>0.48709239</v>
      </c>
      <c r="M68" s="18" t="n">
        <v>0</v>
      </c>
      <c r="N68" s="20" t="n">
        <v>0</v>
      </c>
      <c r="O68" s="18" t="n">
        <v>0</v>
      </c>
      <c r="P68" s="20" t="n">
        <v>0</v>
      </c>
      <c r="Q68" s="18" t="n">
        <v>6.33401535</v>
      </c>
      <c r="R68" s="20" t="n">
        <v>0.7119848600000001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(2561.0/B70*100)</f>
        <v/>
      </c>
      <c r="D70" s="19" t="n">
        <v>368</v>
      </c>
      <c r="E70" s="18" t="n">
        <v>75.96022913</v>
      </c>
      <c r="F70" s="20" t="n">
        <v>2.63321937</v>
      </c>
      <c r="G70" s="18" t="n">
        <v>22.88794438</v>
      </c>
      <c r="H70" s="20" t="n">
        <v>2.61998704</v>
      </c>
      <c r="I70" s="18" t="s">
        <v>431</v>
      </c>
      <c r="J70" s="20" t="s">
        <v>431</v>
      </c>
      <c r="K70" s="18" t="n">
        <v>0</v>
      </c>
      <c r="L70" s="20" t="n">
        <v>0</v>
      </c>
      <c r="M70" s="18" t="n">
        <v>0.13409983</v>
      </c>
      <c r="N70" s="20" t="n">
        <v>0.13710059</v>
      </c>
      <c r="O70" s="18" t="n">
        <v>0</v>
      </c>
      <c r="P70" s="20" t="n">
        <v>0</v>
      </c>
      <c r="Q70" s="18" t="n">
        <v>1.01772666</v>
      </c>
      <c r="R70" s="20" t="n">
        <v>0.43565402</v>
      </c>
    </row>
    <row r="71" spans="1:18">
      <c r="A71" s="15" t="s">
        <v>495</v>
      </c>
      <c r="B71" s="17" t="n">
        <v>3142</v>
      </c>
      <c r="C71" s="18">
        <f>(2758.0/B71*100)</f>
        <v/>
      </c>
      <c r="D71" s="19" t="n">
        <v>384</v>
      </c>
      <c r="E71" s="18" t="n">
        <v>52.1044194</v>
      </c>
      <c r="F71" s="20" t="n">
        <v>2.52903147</v>
      </c>
      <c r="G71" s="18" t="n">
        <v>45.81918138</v>
      </c>
      <c r="H71" s="20" t="n">
        <v>2.67103048</v>
      </c>
      <c r="I71" s="18" t="s">
        <v>431</v>
      </c>
      <c r="J71" s="20" t="s">
        <v>431</v>
      </c>
      <c r="K71" s="18" t="n">
        <v>0</v>
      </c>
      <c r="L71" s="20" t="n">
        <v>0</v>
      </c>
      <c r="M71" s="18" t="n">
        <v>0.16044223</v>
      </c>
      <c r="N71" s="20" t="n">
        <v>0.15987814</v>
      </c>
      <c r="O71" s="18" t="n">
        <v>0</v>
      </c>
      <c r="P71" s="20" t="n">
        <v>0</v>
      </c>
      <c r="Q71" s="18" t="n">
        <v>1.915957</v>
      </c>
      <c r="R71" s="20" t="n">
        <v>0.85966267</v>
      </c>
    </row>
    <row r="72" spans="1:18">
      <c r="A72" s="15" t="s">
        <v>496</v>
      </c>
      <c r="B72" s="17" t="n">
        <v>3889</v>
      </c>
      <c r="C72" s="18">
        <f>(3397.0/B72*100)</f>
        <v/>
      </c>
      <c r="D72" s="19" t="n">
        <v>492</v>
      </c>
      <c r="E72" s="18" t="n">
        <v>52.73605467</v>
      </c>
      <c r="F72" s="20" t="n">
        <v>2.35857419</v>
      </c>
      <c r="G72" s="18" t="n">
        <v>45.17470797</v>
      </c>
      <c r="H72" s="20" t="n">
        <v>2.41435464</v>
      </c>
      <c r="I72" s="18" t="s">
        <v>431</v>
      </c>
      <c r="J72" s="20" t="s">
        <v>431</v>
      </c>
      <c r="K72" s="18" t="n">
        <v>0.14090157</v>
      </c>
      <c r="L72" s="20" t="n">
        <v>0.14368853</v>
      </c>
      <c r="M72" s="18" t="n">
        <v>0</v>
      </c>
      <c r="N72" s="20" t="n">
        <v>0</v>
      </c>
      <c r="O72" s="18" t="n">
        <v>0</v>
      </c>
      <c r="P72" s="20" t="n">
        <v>0</v>
      </c>
      <c r="Q72" s="18" t="n">
        <v>1.94833578</v>
      </c>
      <c r="R72" s="20" t="n">
        <v>0.61496116</v>
      </c>
    </row>
    <row r="73" spans="1:18">
      <c r="A73" s="15" t="s">
        <v>497</v>
      </c>
      <c r="B73" s="17" t="n">
        <v>3597</v>
      </c>
      <c r="C73" s="18">
        <f>(3188.0/B73*100)</f>
        <v/>
      </c>
      <c r="D73" s="19" t="n">
        <v>409</v>
      </c>
      <c r="E73" s="18" t="n">
        <v>80.12718258</v>
      </c>
      <c r="F73" s="20" t="n">
        <v>2.35067156</v>
      </c>
      <c r="G73" s="18" t="n">
        <v>19.12822112</v>
      </c>
      <c r="H73" s="20" t="n">
        <v>2.33584752</v>
      </c>
      <c r="I73" s="18" t="s">
        <v>431</v>
      </c>
      <c r="J73" s="20" t="s">
        <v>431</v>
      </c>
      <c r="K73" s="18" t="n">
        <v>0</v>
      </c>
      <c r="L73" s="20" t="n">
        <v>0</v>
      </c>
      <c r="M73" s="18" t="n">
        <v>0</v>
      </c>
      <c r="N73" s="20" t="n">
        <v>0</v>
      </c>
      <c r="O73" s="18" t="n">
        <v>0</v>
      </c>
      <c r="P73" s="20" t="n">
        <v>0</v>
      </c>
      <c r="Q73" s="18" t="n">
        <v>0.7445963</v>
      </c>
      <c r="R73" s="20" t="n">
        <v>0.5165302899999999</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(2136.0/B75*100)</f>
        <v/>
      </c>
      <c r="D75" s="19" t="n">
        <v>270</v>
      </c>
      <c r="E75" s="18" t="n">
        <v>76.15460298000001</v>
      </c>
      <c r="F75" s="20" t="n">
        <v>2.99152306</v>
      </c>
      <c r="G75" s="18" t="n">
        <v>14.43193127</v>
      </c>
      <c r="H75" s="20" t="n">
        <v>2.39337207</v>
      </c>
      <c r="I75" s="18" t="s">
        <v>431</v>
      </c>
      <c r="J75" s="20" t="s">
        <v>431</v>
      </c>
      <c r="K75" s="18" t="n">
        <v>3.15324773</v>
      </c>
      <c r="L75" s="20" t="n">
        <v>1.00147594</v>
      </c>
      <c r="M75" s="18" t="n">
        <v>1.18144755</v>
      </c>
      <c r="N75" s="20" t="n">
        <v>0.8779625</v>
      </c>
      <c r="O75" s="18" t="n">
        <v>0</v>
      </c>
      <c r="P75" s="20" t="n">
        <v>0</v>
      </c>
      <c r="Q75" s="18" t="n">
        <v>5.07877046</v>
      </c>
      <c r="R75" s="20" t="n">
        <v>1.45527965</v>
      </c>
    </row>
    <row r="76" spans="1:18">
      <c r="A76" s="15" t="s">
        <v>500</v>
      </c>
      <c r="B76" s="17" t="n">
        <v>7052</v>
      </c>
      <c r="C76" s="18">
        <f>(6201.0/B76*100)</f>
        <v/>
      </c>
      <c r="D76" s="19" t="n">
        <v>851</v>
      </c>
      <c r="E76" s="18" t="n">
        <v>67.28705736000001</v>
      </c>
      <c r="F76" s="20" t="n">
        <v>1.67516861</v>
      </c>
      <c r="G76" s="18" t="n">
        <v>27.92201093</v>
      </c>
      <c r="H76" s="20" t="n">
        <v>1.65937151</v>
      </c>
      <c r="I76" s="18" t="s">
        <v>431</v>
      </c>
      <c r="J76" s="20" t="s">
        <v>431</v>
      </c>
      <c r="K76" s="18" t="n">
        <v>0.67444489</v>
      </c>
      <c r="L76" s="20" t="n">
        <v>0.33141906</v>
      </c>
      <c r="M76" s="18" t="n">
        <v>0.4261834</v>
      </c>
      <c r="N76" s="20" t="n">
        <v>0.36557498</v>
      </c>
      <c r="O76" s="18" t="n">
        <v>0</v>
      </c>
      <c r="P76" s="20" t="n">
        <v>0</v>
      </c>
      <c r="Q76" s="18" t="n">
        <v>3.69030342</v>
      </c>
      <c r="R76" s="20" t="n">
        <v>0.84368565</v>
      </c>
    </row>
    <row r="77" spans="1:18">
      <c r="A77" s="15" t="s">
        <v>501</v>
      </c>
      <c r="B77" s="17" t="n">
        <v>2908</v>
      </c>
      <c r="C77" s="18">
        <f>(2555.0/B77*100)</f>
        <v/>
      </c>
      <c r="D77" s="19" t="n">
        <v>353</v>
      </c>
      <c r="E77" s="18" t="n">
        <v>68.99858473</v>
      </c>
      <c r="F77" s="20" t="n">
        <v>2.45818498</v>
      </c>
      <c r="G77" s="18" t="n">
        <v>25.34321106</v>
      </c>
      <c r="H77" s="20" t="n">
        <v>2.65359804</v>
      </c>
      <c r="I77" s="18" t="s">
        <v>431</v>
      </c>
      <c r="J77" s="20" t="s">
        <v>431</v>
      </c>
      <c r="K77" s="18" t="n">
        <v>0.54510224</v>
      </c>
      <c r="L77" s="20" t="n">
        <v>0.38507593</v>
      </c>
      <c r="M77" s="18" t="n">
        <v>0</v>
      </c>
      <c r="N77" s="20" t="n">
        <v>0</v>
      </c>
      <c r="O77" s="18" t="n">
        <v>0</v>
      </c>
      <c r="P77" s="20" t="n">
        <v>0</v>
      </c>
      <c r="Q77" s="18" t="n">
        <v>5.11310197</v>
      </c>
      <c r="R77" s="20" t="n">
        <v>1.40887715</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(3627.0/B81*100)</f>
        <v/>
      </c>
      <c r="D81" s="19" t="n">
        <v>536</v>
      </c>
      <c r="E81" s="18" t="n">
        <v>59.99054203</v>
      </c>
      <c r="F81" s="20" t="n">
        <v>2.35945757</v>
      </c>
      <c r="G81" s="18" t="n">
        <v>36.2112369</v>
      </c>
      <c r="H81" s="20" t="n">
        <v>2.3886267</v>
      </c>
      <c r="I81" s="18" t="s">
        <v>431</v>
      </c>
      <c r="J81" s="20" t="s">
        <v>431</v>
      </c>
      <c r="K81" s="18" t="n">
        <v>0</v>
      </c>
      <c r="L81" s="20" t="n">
        <v>0</v>
      </c>
      <c r="M81" s="18" t="n">
        <v>0</v>
      </c>
      <c r="N81" s="20" t="n">
        <v>0</v>
      </c>
      <c r="O81" s="18" t="n">
        <v>0</v>
      </c>
      <c r="P81" s="20" t="n">
        <v>0</v>
      </c>
      <c r="Q81" s="18" t="n">
        <v>3.79822107</v>
      </c>
      <c r="R81" s="20" t="n">
        <v>0.91134675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(6456.0/B7*100)</f>
        <v/>
      </c>
      <c r="D7" s="19" t="n">
        <v>911</v>
      </c>
      <c r="E7" s="18" t="n">
        <v>24.09378989</v>
      </c>
      <c r="F7" s="20" t="n">
        <v>1.74259796</v>
      </c>
      <c r="G7" s="18" t="n">
        <v>73.55203516</v>
      </c>
      <c r="H7" s="20" t="n">
        <v>1.8401106</v>
      </c>
      <c r="I7" s="18" t="s">
        <v>431</v>
      </c>
      <c r="J7" s="20" t="s">
        <v>431</v>
      </c>
      <c r="K7" s="18" t="n">
        <v>0.34426093</v>
      </c>
      <c r="L7" s="20" t="n">
        <v>0.25374178</v>
      </c>
      <c r="M7" s="18" t="n">
        <v>0.05205626</v>
      </c>
      <c r="N7" s="20" t="n">
        <v>0.04049464</v>
      </c>
      <c r="O7" s="18" t="n">
        <v>0</v>
      </c>
      <c r="P7" s="20" t="n">
        <v>0</v>
      </c>
      <c r="Q7" s="18" t="n">
        <v>1.95785776</v>
      </c>
      <c r="R7" s="20" t="n">
        <v>0.40967235</v>
      </c>
    </row>
    <row r="8" spans="1:18">
      <c r="A8" s="15" t="s">
        <v>432</v>
      </c>
      <c r="B8" s="17" t="n">
        <v>3564</v>
      </c>
      <c r="C8" s="18">
        <f>(3138.0/B8*100)</f>
        <v/>
      </c>
      <c r="D8" s="19" t="n">
        <v>426</v>
      </c>
      <c r="E8" s="18" t="n">
        <v>29.23646888</v>
      </c>
      <c r="F8" s="20" t="n">
        <v>2.18826554</v>
      </c>
      <c r="G8" s="18" t="n">
        <v>68.48659096</v>
      </c>
      <c r="H8" s="20" t="n">
        <v>2.32261805</v>
      </c>
      <c r="I8" s="18" t="s">
        <v>431</v>
      </c>
      <c r="J8" s="20" t="s">
        <v>431</v>
      </c>
      <c r="K8" s="18" t="n">
        <v>0</v>
      </c>
      <c r="L8" s="20" t="n">
        <v>0</v>
      </c>
      <c r="M8" s="18" t="n">
        <v>0</v>
      </c>
      <c r="N8" s="20" t="n">
        <v>0</v>
      </c>
      <c r="O8" s="18" t="n">
        <v>0</v>
      </c>
      <c r="P8" s="20" t="n">
        <v>0</v>
      </c>
      <c r="Q8" s="18" t="n">
        <v>2.27694016</v>
      </c>
      <c r="R8" s="20" t="n">
        <v>0.96274854</v>
      </c>
    </row>
    <row r="9" spans="1:18">
      <c r="A9" s="15" t="s">
        <v>433</v>
      </c>
      <c r="B9" s="17" t="n">
        <v>4899</v>
      </c>
      <c r="C9" s="18">
        <f>(4321.0/B9*100)</f>
        <v/>
      </c>
      <c r="D9" s="19" t="n">
        <v>578</v>
      </c>
      <c r="E9" s="18" t="n">
        <v>21.53485121</v>
      </c>
      <c r="F9" s="20" t="n">
        <v>1.6119682</v>
      </c>
      <c r="G9" s="18" t="n">
        <v>74.68233669</v>
      </c>
      <c r="H9" s="20" t="n">
        <v>1.57492658</v>
      </c>
      <c r="I9" s="18" t="s">
        <v>431</v>
      </c>
      <c r="J9" s="20" t="s">
        <v>431</v>
      </c>
      <c r="K9" s="18" t="n">
        <v>0</v>
      </c>
      <c r="L9" s="20" t="n">
        <v>0</v>
      </c>
      <c r="M9" s="18" t="n">
        <v>0.12668154</v>
      </c>
      <c r="N9" s="20" t="n">
        <v>0.12898087</v>
      </c>
      <c r="O9" s="18" t="n">
        <v>0</v>
      </c>
      <c r="P9" s="20" t="n">
        <v>0</v>
      </c>
      <c r="Q9" s="18" t="n">
        <v>3.65613057</v>
      </c>
      <c r="R9" s="20" t="n">
        <v>0.8690890100000001</v>
      </c>
    </row>
    <row r="10" spans="1:18">
      <c r="A10" s="15" t="s">
        <v>434</v>
      </c>
      <c r="B10" s="17" t="n">
        <v>10036</v>
      </c>
      <c r="C10" s="18">
        <f>(8782.0/B10*100)</f>
        <v/>
      </c>
      <c r="D10" s="19" t="n">
        <v>1254</v>
      </c>
      <c r="E10" s="18" t="n">
        <v>24.43020345</v>
      </c>
      <c r="F10" s="20" t="n">
        <v>1.43763641</v>
      </c>
      <c r="G10" s="18" t="n">
        <v>74.33307241</v>
      </c>
      <c r="H10" s="20" t="n">
        <v>1.39582948</v>
      </c>
      <c r="I10" s="18" t="s">
        <v>431</v>
      </c>
      <c r="J10" s="20" t="s">
        <v>431</v>
      </c>
      <c r="K10" s="18" t="n">
        <v>0.41491306</v>
      </c>
      <c r="L10" s="20" t="n">
        <v>0.27435348</v>
      </c>
      <c r="M10" s="18" t="n">
        <v>0</v>
      </c>
      <c r="N10" s="20" t="n">
        <v>0</v>
      </c>
      <c r="O10" s="18" t="n">
        <v>0</v>
      </c>
      <c r="P10" s="20" t="n">
        <v>0</v>
      </c>
      <c r="Q10" s="18" t="n">
        <v>0.82181109</v>
      </c>
      <c r="R10" s="20" t="n">
        <v>0.36695328</v>
      </c>
    </row>
    <row r="11" spans="1:18">
      <c r="A11" s="15" t="s">
        <v>435</v>
      </c>
      <c r="B11" s="17" t="n">
        <v>3553</v>
      </c>
      <c r="C11" s="18">
        <f>(3124.0/B11*100)</f>
        <v/>
      </c>
      <c r="D11" s="19" t="n">
        <v>429</v>
      </c>
      <c r="E11" s="18" t="n">
        <v>26.06579624</v>
      </c>
      <c r="F11" s="20" t="n">
        <v>2.5693638</v>
      </c>
      <c r="G11" s="18" t="n">
        <v>67.87490342</v>
      </c>
      <c r="H11" s="20" t="n">
        <v>2.95987809</v>
      </c>
      <c r="I11" s="18" t="s">
        <v>431</v>
      </c>
      <c r="J11" s="20" t="s">
        <v>431</v>
      </c>
      <c r="K11" s="18" t="n">
        <v>0.29941266</v>
      </c>
      <c r="L11" s="20" t="n">
        <v>0.29984249</v>
      </c>
      <c r="M11" s="18" t="n">
        <v>0</v>
      </c>
      <c r="N11" s="20" t="n">
        <v>0</v>
      </c>
      <c r="O11" s="18" t="n">
        <v>0</v>
      </c>
      <c r="P11" s="20" t="n">
        <v>0</v>
      </c>
      <c r="Q11" s="18" t="n">
        <v>5.75988768</v>
      </c>
      <c r="R11" s="20" t="n">
        <v>1.37480186</v>
      </c>
    </row>
    <row r="12" spans="1:18">
      <c r="A12" s="15" t="s">
        <v>436</v>
      </c>
      <c r="B12" s="17" t="n">
        <v>3472</v>
      </c>
      <c r="C12" s="18">
        <f>(3060.0/B12*100)</f>
        <v/>
      </c>
      <c r="D12" s="19" t="n">
        <v>412</v>
      </c>
      <c r="E12" s="18" t="n">
        <v>25.6707368</v>
      </c>
      <c r="F12" s="20" t="n">
        <v>2.62768562</v>
      </c>
      <c r="G12" s="18" t="n">
        <v>70.48642707</v>
      </c>
      <c r="H12" s="20" t="n">
        <v>2.51461703</v>
      </c>
      <c r="I12" s="18" t="s">
        <v>431</v>
      </c>
      <c r="J12" s="20" t="s">
        <v>431</v>
      </c>
      <c r="K12" s="18" t="n">
        <v>0</v>
      </c>
      <c r="L12" s="20" t="n">
        <v>0</v>
      </c>
      <c r="M12" s="18" t="n">
        <v>0</v>
      </c>
      <c r="N12" s="20" t="n">
        <v>0</v>
      </c>
      <c r="O12" s="18" t="n">
        <v>0</v>
      </c>
      <c r="P12" s="20" t="n">
        <v>0</v>
      </c>
      <c r="Q12" s="18" t="n">
        <v>3.84283613</v>
      </c>
      <c r="R12" s="20" t="n">
        <v>1.1426162</v>
      </c>
    </row>
    <row r="13" spans="1:18">
      <c r="A13" s="15" t="s">
        <v>437</v>
      </c>
      <c r="B13" s="17" t="n">
        <v>3559</v>
      </c>
      <c r="C13" s="18">
        <f>(3153.0/B13*100)</f>
        <v/>
      </c>
      <c r="D13" s="19" t="n">
        <v>406</v>
      </c>
      <c r="E13" s="18" t="n">
        <v>30.01792958</v>
      </c>
      <c r="F13" s="20" t="n">
        <v>2.68819078</v>
      </c>
      <c r="G13" s="18" t="n">
        <v>68.5643</v>
      </c>
      <c r="H13" s="20" t="n">
        <v>2.8520618</v>
      </c>
      <c r="I13" s="18" t="s">
        <v>431</v>
      </c>
      <c r="J13" s="20" t="s">
        <v>431</v>
      </c>
      <c r="K13" s="18" t="n">
        <v>0</v>
      </c>
      <c r="L13" s="20" t="n">
        <v>0</v>
      </c>
      <c r="M13" s="18" t="n">
        <v>0</v>
      </c>
      <c r="N13" s="20" t="n">
        <v>0</v>
      </c>
      <c r="O13" s="18" t="n">
        <v>0</v>
      </c>
      <c r="P13" s="20" t="n">
        <v>0</v>
      </c>
      <c r="Q13" s="18" t="n">
        <v>1.41777042</v>
      </c>
      <c r="R13" s="20" t="n">
        <v>0.68828981</v>
      </c>
    </row>
    <row r="14" spans="1:18">
      <c r="A14" s="15" t="s">
        <v>438</v>
      </c>
      <c r="B14" s="17" t="n">
        <v>2799</v>
      </c>
      <c r="C14" s="18">
        <f>(2449.0/B14*100)</f>
        <v/>
      </c>
      <c r="D14" s="19" t="n">
        <v>350</v>
      </c>
      <c r="E14" s="18" t="n">
        <v>28.24073995</v>
      </c>
      <c r="F14" s="20" t="n">
        <v>2.66641228</v>
      </c>
      <c r="G14" s="18" t="n">
        <v>71.3678192</v>
      </c>
      <c r="H14" s="20" t="n">
        <v>2.71815534</v>
      </c>
      <c r="I14" s="18" t="s">
        <v>431</v>
      </c>
      <c r="J14" s="20" t="s">
        <v>431</v>
      </c>
      <c r="K14" s="18" t="n">
        <v>0</v>
      </c>
      <c r="L14" s="20" t="n">
        <v>0</v>
      </c>
      <c r="M14" s="18" t="n">
        <v>0</v>
      </c>
      <c r="N14" s="20" t="n">
        <v>0</v>
      </c>
      <c r="O14" s="18" t="n">
        <v>0</v>
      </c>
      <c r="P14" s="20" t="n">
        <v>0</v>
      </c>
      <c r="Q14" s="18" t="n">
        <v>0.39144084</v>
      </c>
      <c r="R14" s="20" t="n">
        <v>0.39697405</v>
      </c>
    </row>
    <row r="15" spans="1:18">
      <c r="A15" s="15" t="s">
        <v>439</v>
      </c>
      <c r="B15" s="17" t="n">
        <v>3019</v>
      </c>
      <c r="C15" s="18">
        <f>(2648.0/B15*100)</f>
        <v/>
      </c>
      <c r="D15" s="19" t="n">
        <v>371</v>
      </c>
      <c r="E15" s="18" t="n">
        <v>28.21358308</v>
      </c>
      <c r="F15" s="20" t="n">
        <v>2.39646458</v>
      </c>
      <c r="G15" s="18" t="n">
        <v>69.15952228</v>
      </c>
      <c r="H15" s="20" t="n">
        <v>2.3749054</v>
      </c>
      <c r="I15" s="18" t="s">
        <v>431</v>
      </c>
      <c r="J15" s="20" t="s">
        <v>431</v>
      </c>
      <c r="K15" s="18" t="n">
        <v>0</v>
      </c>
      <c r="L15" s="20" t="n">
        <v>0</v>
      </c>
      <c r="M15" s="18" t="n">
        <v>0</v>
      </c>
      <c r="N15" s="20" t="n">
        <v>0</v>
      </c>
      <c r="O15" s="18" t="n">
        <v>0</v>
      </c>
      <c r="P15" s="20" t="n">
        <v>0</v>
      </c>
      <c r="Q15" s="18" t="n">
        <v>2.62689465</v>
      </c>
      <c r="R15" s="20" t="n">
        <v>0.8451816599999999</v>
      </c>
    </row>
    <row r="16" spans="1:18">
      <c r="A16" s="15" t="s">
        <v>440</v>
      </c>
      <c r="B16" s="17" t="n">
        <v>2997</v>
      </c>
      <c r="C16" s="18">
        <f>(2638.0/B16*100)</f>
        <v/>
      </c>
      <c r="D16" s="19" t="n">
        <v>359</v>
      </c>
      <c r="E16" s="18" t="n">
        <v>23.63781066</v>
      </c>
      <c r="F16" s="20" t="n">
        <v>2.15594393</v>
      </c>
      <c r="G16" s="18" t="n">
        <v>73.49687814000001</v>
      </c>
      <c r="H16" s="20" t="n">
        <v>2.26923148</v>
      </c>
      <c r="I16" s="18" t="s">
        <v>431</v>
      </c>
      <c r="J16" s="20" t="s">
        <v>431</v>
      </c>
      <c r="K16" s="18" t="n">
        <v>0.24678469</v>
      </c>
      <c r="L16" s="20" t="n">
        <v>0.24692813</v>
      </c>
      <c r="M16" s="18" t="n">
        <v>0</v>
      </c>
      <c r="N16" s="20" t="n">
        <v>0</v>
      </c>
      <c r="O16" s="18" t="n">
        <v>0</v>
      </c>
      <c r="P16" s="20" t="n">
        <v>0</v>
      </c>
      <c r="Q16" s="18" t="n">
        <v>2.61852651</v>
      </c>
      <c r="R16" s="20" t="n">
        <v>0.77904494</v>
      </c>
    </row>
    <row r="17" spans="1:18">
      <c r="A17" s="15" t="s">
        <v>441</v>
      </c>
      <c r="B17" s="17" t="n">
        <v>3307</v>
      </c>
      <c r="C17" s="18">
        <f>(2904.0/B17*100)</f>
        <v/>
      </c>
      <c r="D17" s="19" t="n">
        <v>403</v>
      </c>
      <c r="E17" s="18" t="n">
        <v>26.77090103</v>
      </c>
      <c r="F17" s="20" t="n">
        <v>2.51103985</v>
      </c>
      <c r="G17" s="18" t="n">
        <v>71.39602192</v>
      </c>
      <c r="H17" s="20" t="n">
        <v>2.52483696</v>
      </c>
      <c r="I17" s="18" t="s">
        <v>431</v>
      </c>
      <c r="J17" s="20" t="s">
        <v>431</v>
      </c>
      <c r="K17" s="18" t="n">
        <v>0.4809244</v>
      </c>
      <c r="L17" s="20" t="n">
        <v>0.34393884</v>
      </c>
      <c r="M17" s="18" t="n">
        <v>0</v>
      </c>
      <c r="N17" s="20" t="n">
        <v>0</v>
      </c>
      <c r="O17" s="18" t="n">
        <v>0</v>
      </c>
      <c r="P17" s="20" t="n">
        <v>0</v>
      </c>
      <c r="Q17" s="18" t="n">
        <v>1.35215265</v>
      </c>
      <c r="R17" s="20" t="n">
        <v>0.58468046</v>
      </c>
    </row>
    <row r="18" spans="1:18">
      <c r="A18" s="15" t="s">
        <v>442</v>
      </c>
      <c r="B18" s="17" t="n">
        <v>2826</v>
      </c>
      <c r="C18" s="18">
        <f>(2483.0/B18*100)</f>
        <v/>
      </c>
      <c r="D18" s="19" t="n">
        <v>343</v>
      </c>
      <c r="E18" s="18" t="n">
        <v>27.47781482</v>
      </c>
      <c r="F18" s="20" t="n">
        <v>2.57044387</v>
      </c>
      <c r="G18" s="18" t="n">
        <v>68.90663472999999</v>
      </c>
      <c r="H18" s="20" t="n">
        <v>2.67719572</v>
      </c>
      <c r="I18" s="18" t="s">
        <v>431</v>
      </c>
      <c r="J18" s="20" t="s">
        <v>431</v>
      </c>
      <c r="K18" s="18" t="n">
        <v>0.2816448</v>
      </c>
      <c r="L18" s="20" t="n">
        <v>0.26989157</v>
      </c>
      <c r="M18" s="18" t="n">
        <v>0</v>
      </c>
      <c r="N18" s="20" t="n">
        <v>0</v>
      </c>
      <c r="O18" s="18" t="n">
        <v>0</v>
      </c>
      <c r="P18" s="20" t="n">
        <v>0</v>
      </c>
      <c r="Q18" s="18" t="n">
        <v>3.33390565</v>
      </c>
      <c r="R18" s="20" t="n">
        <v>1.04847842</v>
      </c>
    </row>
    <row r="19" spans="1:18">
      <c r="A19" s="15" t="s">
        <v>443</v>
      </c>
      <c r="B19" s="17" t="n">
        <v>2808</v>
      </c>
      <c r="C19" s="18">
        <f>(2473.0/B19*100)</f>
        <v/>
      </c>
      <c r="D19" s="19" t="n">
        <v>335</v>
      </c>
      <c r="E19" s="18" t="n">
        <v>22.14154868</v>
      </c>
      <c r="F19" s="20" t="n">
        <v>2.2844526</v>
      </c>
      <c r="G19" s="18" t="n">
        <v>74.97933032</v>
      </c>
      <c r="H19" s="20" t="n">
        <v>2.27521953</v>
      </c>
      <c r="I19" s="18" t="s">
        <v>431</v>
      </c>
      <c r="J19" s="20" t="s">
        <v>431</v>
      </c>
      <c r="K19" s="18" t="n">
        <v>0</v>
      </c>
      <c r="L19" s="20" t="n">
        <v>0</v>
      </c>
      <c r="M19" s="18" t="n">
        <v>0</v>
      </c>
      <c r="N19" s="20" t="n">
        <v>0</v>
      </c>
      <c r="O19" s="18" t="n">
        <v>0</v>
      </c>
      <c r="P19" s="20" t="n">
        <v>0</v>
      </c>
      <c r="Q19" s="18" t="n">
        <v>2.87912099</v>
      </c>
      <c r="R19" s="20" t="n">
        <v>1.01486188</v>
      </c>
    </row>
    <row r="20" spans="1:18">
      <c r="A20" s="15" t="s">
        <v>444</v>
      </c>
      <c r="B20" s="17" t="n">
        <v>1630</v>
      </c>
      <c r="C20" s="18">
        <f>(1438.0/B20*100)</f>
        <v/>
      </c>
      <c r="D20" s="19" t="n">
        <v>192</v>
      </c>
      <c r="E20" s="18" t="n">
        <v>29.56306366</v>
      </c>
      <c r="F20" s="20" t="n">
        <v>3.47509836</v>
      </c>
      <c r="G20" s="18" t="n">
        <v>68.40447406</v>
      </c>
      <c r="H20" s="20" t="n">
        <v>3.66131288</v>
      </c>
      <c r="I20" s="18" t="s">
        <v>431</v>
      </c>
      <c r="J20" s="20" t="s">
        <v>431</v>
      </c>
      <c r="K20" s="18" t="n">
        <v>0.5123400299999999</v>
      </c>
      <c r="L20" s="20" t="n">
        <v>0.50918025</v>
      </c>
      <c r="M20" s="18" t="n">
        <v>0</v>
      </c>
      <c r="N20" s="20" t="n">
        <v>0</v>
      </c>
      <c r="O20" s="18" t="n">
        <v>0</v>
      </c>
      <c r="P20" s="20" t="n">
        <v>0</v>
      </c>
      <c r="Q20" s="18" t="n">
        <v>1.52012225</v>
      </c>
      <c r="R20" s="20" t="n">
        <v>0.85890226</v>
      </c>
    </row>
    <row r="21" spans="1:18">
      <c r="A21" s="15" t="s">
        <v>445</v>
      </c>
      <c r="B21" s="17" t="n">
        <v>2908</v>
      </c>
      <c r="C21" s="18">
        <f>(2429.0/B21*100)</f>
        <v/>
      </c>
      <c r="D21" s="19" t="n">
        <v>479</v>
      </c>
      <c r="E21" s="18" t="n">
        <v>23.36949121</v>
      </c>
      <c r="F21" s="20" t="n">
        <v>2.38815177</v>
      </c>
      <c r="G21" s="18" t="n">
        <v>74.51649322</v>
      </c>
      <c r="H21" s="20" t="n">
        <v>2.4212811</v>
      </c>
      <c r="I21" s="18" t="s">
        <v>431</v>
      </c>
      <c r="J21" s="20" t="s">
        <v>431</v>
      </c>
      <c r="K21" s="18" t="n">
        <v>0.17378083</v>
      </c>
      <c r="L21" s="20" t="n">
        <v>0.12307943</v>
      </c>
      <c r="M21" s="18" t="n">
        <v>0</v>
      </c>
      <c r="N21" s="20" t="n">
        <v>0</v>
      </c>
      <c r="O21" s="18" t="n">
        <v>0</v>
      </c>
      <c r="P21" s="20" t="n">
        <v>0</v>
      </c>
      <c r="Q21" s="18" t="n">
        <v>1.94023474</v>
      </c>
      <c r="R21" s="20" t="n">
        <v>0.65392406</v>
      </c>
    </row>
    <row r="22" spans="1:18">
      <c r="A22" s="15" t="s">
        <v>446</v>
      </c>
      <c r="B22" s="17" t="n">
        <v>2931</v>
      </c>
      <c r="C22" s="18">
        <f>(2588.0/B22*100)</f>
        <v/>
      </c>
      <c r="D22" s="19" t="n">
        <v>343</v>
      </c>
      <c r="E22" s="18" t="n">
        <v>28.02684966</v>
      </c>
      <c r="F22" s="20" t="n">
        <v>2.70186931</v>
      </c>
      <c r="G22" s="18" t="n">
        <v>67.8858415</v>
      </c>
      <c r="H22" s="20" t="n">
        <v>2.68994206</v>
      </c>
      <c r="I22" s="18" t="s">
        <v>431</v>
      </c>
      <c r="J22" s="20" t="s">
        <v>431</v>
      </c>
      <c r="K22" s="18" t="n">
        <v>0.45577146</v>
      </c>
      <c r="L22" s="20" t="n">
        <v>0.32283519</v>
      </c>
      <c r="M22" s="18" t="n">
        <v>0</v>
      </c>
      <c r="N22" s="20" t="n">
        <v>0</v>
      </c>
      <c r="O22" s="18" t="n">
        <v>0</v>
      </c>
      <c r="P22" s="20" t="n">
        <v>0</v>
      </c>
      <c r="Q22" s="18" t="n">
        <v>3.63153738</v>
      </c>
      <c r="R22" s="20" t="n">
        <v>0.96812639</v>
      </c>
    </row>
    <row r="23" spans="1:18">
      <c r="A23" s="15" t="s">
        <v>447</v>
      </c>
      <c r="B23" s="17" t="n">
        <v>5791</v>
      </c>
      <c r="C23" s="18">
        <f>(5048.0/B23*100)</f>
        <v/>
      </c>
      <c r="D23" s="19" t="n">
        <v>743</v>
      </c>
      <c r="E23" s="18" t="n">
        <v>28.47834439</v>
      </c>
      <c r="F23" s="20" t="n">
        <v>2.06082465</v>
      </c>
      <c r="G23" s="18" t="n">
        <v>67.65477205000001</v>
      </c>
      <c r="H23" s="20" t="n">
        <v>2.39762609</v>
      </c>
      <c r="I23" s="18" t="s">
        <v>431</v>
      </c>
      <c r="J23" s="20" t="s">
        <v>431</v>
      </c>
      <c r="K23" s="18" t="n">
        <v>0</v>
      </c>
      <c r="L23" s="20" t="n">
        <v>0</v>
      </c>
      <c r="M23" s="18" t="n">
        <v>0.2020759</v>
      </c>
      <c r="N23" s="20" t="n">
        <v>0.23314663</v>
      </c>
      <c r="O23" s="18" t="n">
        <v>0</v>
      </c>
      <c r="P23" s="20" t="n">
        <v>0</v>
      </c>
      <c r="Q23" s="18" t="n">
        <v>3.66480766</v>
      </c>
      <c r="R23" s="20" t="n">
        <v>1.33434999</v>
      </c>
    </row>
    <row r="24" spans="1:18">
      <c r="A24" s="15" t="s">
        <v>448</v>
      </c>
      <c r="B24" s="17" t="n">
        <v>3338</v>
      </c>
      <c r="C24" s="18">
        <f>(2935.0/B24*100)</f>
        <v/>
      </c>
      <c r="D24" s="19" t="n">
        <v>403</v>
      </c>
      <c r="E24" s="18" t="n">
        <v>16.66588131</v>
      </c>
      <c r="F24" s="20" t="n">
        <v>1.71351802</v>
      </c>
      <c r="G24" s="18" t="n">
        <v>81.47761031</v>
      </c>
      <c r="H24" s="20" t="n">
        <v>1.84860423</v>
      </c>
      <c r="I24" s="18" t="s">
        <v>431</v>
      </c>
      <c r="J24" s="20" t="s">
        <v>431</v>
      </c>
      <c r="K24" s="18" t="n">
        <v>0.21774534</v>
      </c>
      <c r="L24" s="20" t="n">
        <v>0.21644392</v>
      </c>
      <c r="M24" s="18" t="n">
        <v>0</v>
      </c>
      <c r="N24" s="20" t="n">
        <v>0</v>
      </c>
      <c r="O24" s="18" t="n">
        <v>0</v>
      </c>
      <c r="P24" s="20" t="n">
        <v>0</v>
      </c>
      <c r="Q24" s="18" t="n">
        <v>1.63876304</v>
      </c>
      <c r="R24" s="20" t="n">
        <v>0.61993102</v>
      </c>
    </row>
    <row r="25" spans="1:18">
      <c r="A25" s="15" t="s">
        <v>449</v>
      </c>
      <c r="B25" s="17" t="n">
        <v>2912</v>
      </c>
      <c r="C25" s="18">
        <f>(2568.0/B25*100)</f>
        <v/>
      </c>
      <c r="D25" s="19" t="n">
        <v>344</v>
      </c>
      <c r="E25" s="18" t="n">
        <v>24.57929965</v>
      </c>
      <c r="F25" s="20" t="n">
        <v>2.45353259</v>
      </c>
      <c r="G25" s="18" t="n">
        <v>73.38475126</v>
      </c>
      <c r="H25" s="20" t="n">
        <v>2.65703301</v>
      </c>
      <c r="I25" s="18" t="s">
        <v>431</v>
      </c>
      <c r="J25" s="20" t="s">
        <v>431</v>
      </c>
      <c r="K25" s="18" t="n">
        <v>0</v>
      </c>
      <c r="L25" s="20" t="n">
        <v>0</v>
      </c>
      <c r="M25" s="18" t="n">
        <v>0</v>
      </c>
      <c r="N25" s="20" t="n">
        <v>0</v>
      </c>
      <c r="O25" s="18" t="n">
        <v>0</v>
      </c>
      <c r="P25" s="20" t="n">
        <v>0</v>
      </c>
      <c r="Q25" s="18" t="n">
        <v>2.03594909</v>
      </c>
      <c r="R25" s="20" t="n">
        <v>0.78963679</v>
      </c>
    </row>
    <row r="26" spans="1:18">
      <c r="A26" s="15" t="s">
        <v>450</v>
      </c>
      <c r="B26" s="17" t="n">
        <v>2450</v>
      </c>
      <c r="C26" s="18">
        <f>(2136.0/B26*100)</f>
        <v/>
      </c>
      <c r="D26" s="19" t="n">
        <v>314</v>
      </c>
      <c r="E26" s="18" t="n">
        <v>30.84460892</v>
      </c>
      <c r="F26" s="20" t="n">
        <v>2.61593172</v>
      </c>
      <c r="G26" s="18" t="n">
        <v>68.27475189</v>
      </c>
      <c r="H26" s="20" t="n">
        <v>2.6360463</v>
      </c>
      <c r="I26" s="18" t="s">
        <v>431</v>
      </c>
      <c r="J26" s="20" t="s">
        <v>431</v>
      </c>
      <c r="K26" s="18" t="n">
        <v>0</v>
      </c>
      <c r="L26" s="20" t="n">
        <v>0</v>
      </c>
      <c r="M26" s="18" t="n">
        <v>0.6345721600000001</v>
      </c>
      <c r="N26" s="20" t="n">
        <v>0.64216124</v>
      </c>
      <c r="O26" s="18" t="n">
        <v>0</v>
      </c>
      <c r="P26" s="20" t="n">
        <v>0</v>
      </c>
      <c r="Q26" s="18" t="n">
        <v>0.24606704</v>
      </c>
      <c r="R26" s="20" t="n">
        <v>0.23780518</v>
      </c>
    </row>
    <row r="27" spans="1:18">
      <c r="A27" s="15" t="s">
        <v>451</v>
      </c>
      <c r="B27" s="17" t="n">
        <v>2616</v>
      </c>
      <c r="C27" s="18">
        <f>(2294.0/B27*100)</f>
        <v/>
      </c>
      <c r="D27" s="19" t="n">
        <v>322</v>
      </c>
      <c r="E27" s="18" t="n">
        <v>28.52927245</v>
      </c>
      <c r="F27" s="20" t="n">
        <v>2.46913953</v>
      </c>
      <c r="G27" s="18" t="n">
        <v>68.04900786</v>
      </c>
      <c r="H27" s="20" t="n">
        <v>2.61681062</v>
      </c>
      <c r="I27" s="18" t="s">
        <v>431</v>
      </c>
      <c r="J27" s="20" t="s">
        <v>431</v>
      </c>
      <c r="K27" s="18" t="n">
        <v>0</v>
      </c>
      <c r="L27" s="20" t="n">
        <v>0</v>
      </c>
      <c r="M27" s="18" t="n">
        <v>0</v>
      </c>
      <c r="N27" s="20" t="n">
        <v>0</v>
      </c>
      <c r="O27" s="18" t="n">
        <v>0</v>
      </c>
      <c r="P27" s="20" t="n">
        <v>0</v>
      </c>
      <c r="Q27" s="18" t="n">
        <v>3.42171969</v>
      </c>
      <c r="R27" s="20" t="n">
        <v>0.98308942</v>
      </c>
    </row>
    <row r="28" spans="1:18">
      <c r="A28" s="15" t="s">
        <v>452</v>
      </c>
      <c r="B28" s="17" t="n">
        <v>3765</v>
      </c>
      <c r="C28" s="18">
        <f>(3293.0/B28*100)</f>
        <v/>
      </c>
      <c r="D28" s="19" t="n">
        <v>472</v>
      </c>
      <c r="E28" s="18" t="n">
        <v>37.17834424</v>
      </c>
      <c r="F28" s="20" t="n">
        <v>2.46844042</v>
      </c>
      <c r="G28" s="18" t="n">
        <v>61.03095904</v>
      </c>
      <c r="H28" s="20" t="n">
        <v>2.45728112</v>
      </c>
      <c r="I28" s="18" t="s">
        <v>431</v>
      </c>
      <c r="J28" s="20" t="s">
        <v>431</v>
      </c>
      <c r="K28" s="18" t="n">
        <v>0.75179354</v>
      </c>
      <c r="L28" s="20" t="n">
        <v>0.5289017</v>
      </c>
      <c r="M28" s="18" t="n">
        <v>0</v>
      </c>
      <c r="N28" s="20" t="n">
        <v>0</v>
      </c>
      <c r="O28" s="18" t="n">
        <v>0</v>
      </c>
      <c r="P28" s="20" t="n">
        <v>0</v>
      </c>
      <c r="Q28" s="18" t="n">
        <v>1.03890317</v>
      </c>
      <c r="R28" s="20" t="n">
        <v>0.53777695</v>
      </c>
    </row>
    <row r="29" spans="1:18">
      <c r="A29" s="15" t="s">
        <v>453</v>
      </c>
      <c r="B29" s="17" t="n">
        <v>2685</v>
      </c>
      <c r="C29" s="18">
        <f>(2346.0/B29*100)</f>
        <v/>
      </c>
      <c r="D29" s="19" t="n">
        <v>339</v>
      </c>
      <c r="E29" s="18" t="n">
        <v>22.46135719</v>
      </c>
      <c r="F29" s="20" t="n">
        <v>2.28974049</v>
      </c>
      <c r="G29" s="18" t="n">
        <v>76.39884825</v>
      </c>
      <c r="H29" s="20" t="n">
        <v>2.38450329</v>
      </c>
      <c r="I29" s="18" t="s">
        <v>431</v>
      </c>
      <c r="J29" s="20" t="s">
        <v>431</v>
      </c>
      <c r="K29" s="18" t="n">
        <v>0.17456224</v>
      </c>
      <c r="L29" s="20" t="n">
        <v>0.17548825</v>
      </c>
      <c r="M29" s="18" t="n">
        <v>0</v>
      </c>
      <c r="N29" s="20" t="n">
        <v>0</v>
      </c>
      <c r="O29" s="18" t="n">
        <v>0</v>
      </c>
      <c r="P29" s="20" t="n">
        <v>0</v>
      </c>
      <c r="Q29" s="18" t="n">
        <v>0.96523232</v>
      </c>
      <c r="R29" s="20" t="n">
        <v>0.59840198</v>
      </c>
    </row>
    <row r="30" spans="1:18">
      <c r="A30" s="15" t="s">
        <v>454</v>
      </c>
      <c r="B30" s="17" t="n">
        <v>2263</v>
      </c>
      <c r="C30" s="18">
        <f>(1969.0/B30*100)</f>
        <v/>
      </c>
      <c r="D30" s="19" t="n">
        <v>294</v>
      </c>
      <c r="E30" s="18" t="n">
        <v>26.04186512</v>
      </c>
      <c r="F30" s="20" t="n">
        <v>2.63702728</v>
      </c>
      <c r="G30" s="18" t="n">
        <v>69.52095215</v>
      </c>
      <c r="H30" s="20" t="n">
        <v>2.49054183</v>
      </c>
      <c r="I30" s="18" t="s">
        <v>431</v>
      </c>
      <c r="J30" s="20" t="s">
        <v>431</v>
      </c>
      <c r="K30" s="18" t="n">
        <v>0.26973102</v>
      </c>
      <c r="L30" s="20" t="n">
        <v>0.27148974</v>
      </c>
      <c r="M30" s="18" t="n">
        <v>0.76315746</v>
      </c>
      <c r="N30" s="20" t="n">
        <v>0.54929471</v>
      </c>
      <c r="O30" s="18" t="n">
        <v>0</v>
      </c>
      <c r="P30" s="20" t="n">
        <v>0</v>
      </c>
      <c r="Q30" s="18" t="n">
        <v>3.40429425</v>
      </c>
      <c r="R30" s="20" t="n">
        <v>1.06190737</v>
      </c>
    </row>
    <row r="31" spans="1:18">
      <c r="A31" s="15" t="s">
        <v>455</v>
      </c>
      <c r="B31" s="17" t="n">
        <v>2750</v>
      </c>
      <c r="C31" s="18">
        <f>(2415.0/B31*100)</f>
        <v/>
      </c>
      <c r="D31" s="19" t="n">
        <v>335</v>
      </c>
      <c r="E31" s="18" t="n">
        <v>28.97521536</v>
      </c>
      <c r="F31" s="20" t="n">
        <v>2.41971708</v>
      </c>
      <c r="G31" s="18" t="n">
        <v>66.56271583</v>
      </c>
      <c r="H31" s="20" t="n">
        <v>2.69501873</v>
      </c>
      <c r="I31" s="18" t="s">
        <v>431</v>
      </c>
      <c r="J31" s="20" t="s">
        <v>431</v>
      </c>
      <c r="K31" s="18" t="n">
        <v>0.29836286</v>
      </c>
      <c r="L31" s="20" t="n">
        <v>0.28835479</v>
      </c>
      <c r="M31" s="18" t="n">
        <v>0</v>
      </c>
      <c r="N31" s="20" t="n">
        <v>0</v>
      </c>
      <c r="O31" s="18" t="n">
        <v>0</v>
      </c>
      <c r="P31" s="20" t="n">
        <v>0</v>
      </c>
      <c r="Q31" s="18" t="n">
        <v>4.16370595</v>
      </c>
      <c r="R31" s="20" t="n">
        <v>1.24814466</v>
      </c>
    </row>
    <row r="32" spans="1:18">
      <c r="A32" s="15" t="s">
        <v>456</v>
      </c>
      <c r="B32" s="17" t="n">
        <v>2269</v>
      </c>
      <c r="C32" s="18">
        <f>(1916.0/B32*100)</f>
        <v/>
      </c>
      <c r="D32" s="19" t="n">
        <v>353</v>
      </c>
      <c r="E32" s="18" t="n">
        <v>22.50206455</v>
      </c>
      <c r="F32" s="20" t="n">
        <v>2.18924831</v>
      </c>
      <c r="G32" s="18" t="n">
        <v>75.81831476000001</v>
      </c>
      <c r="H32" s="20" t="n">
        <v>2.3012527</v>
      </c>
      <c r="I32" s="18" t="s">
        <v>431</v>
      </c>
      <c r="J32" s="20" t="s">
        <v>431</v>
      </c>
      <c r="K32" s="18" t="n">
        <v>0</v>
      </c>
      <c r="L32" s="20" t="n">
        <v>0</v>
      </c>
      <c r="M32" s="18" t="n">
        <v>0</v>
      </c>
      <c r="N32" s="20" t="n">
        <v>0</v>
      </c>
      <c r="O32" s="18" t="n">
        <v>0</v>
      </c>
      <c r="P32" s="20" t="n">
        <v>0</v>
      </c>
      <c r="Q32" s="18" t="n">
        <v>1.6796207</v>
      </c>
      <c r="R32" s="20" t="n">
        <v>0.65609505</v>
      </c>
    </row>
    <row r="33" spans="1:18">
      <c r="A33" s="15" t="s">
        <v>457</v>
      </c>
      <c r="B33" s="17" t="n">
        <v>3674</v>
      </c>
      <c r="C33" s="18">
        <f>(3219.0/B33*100)</f>
        <v/>
      </c>
      <c r="D33" s="19" t="n">
        <v>455</v>
      </c>
      <c r="E33" s="18" t="n">
        <v>30.54130945</v>
      </c>
      <c r="F33" s="20" t="n">
        <v>2.37700676</v>
      </c>
      <c r="G33" s="18" t="n">
        <v>67.92137849</v>
      </c>
      <c r="H33" s="20" t="n">
        <v>2.24451054</v>
      </c>
      <c r="I33" s="18" t="s">
        <v>431</v>
      </c>
      <c r="J33" s="20" t="s">
        <v>431</v>
      </c>
      <c r="K33" s="18" t="n">
        <v>0.08310761</v>
      </c>
      <c r="L33" s="20" t="n">
        <v>0.10236791</v>
      </c>
      <c r="M33" s="18" t="n">
        <v>0.23877493</v>
      </c>
      <c r="N33" s="20" t="n">
        <v>0.16643115</v>
      </c>
      <c r="O33" s="18" t="n">
        <v>0</v>
      </c>
      <c r="P33" s="20" t="n">
        <v>0</v>
      </c>
      <c r="Q33" s="18" t="n">
        <v>1.21542952</v>
      </c>
      <c r="R33" s="20" t="n">
        <v>0.59890097</v>
      </c>
    </row>
    <row r="34" spans="1:18">
      <c r="A34" s="15" t="s">
        <v>458</v>
      </c>
      <c r="B34" s="17" t="n">
        <v>3315</v>
      </c>
      <c r="C34" s="18">
        <f>(2928.0/B34*100)</f>
        <v/>
      </c>
      <c r="D34" s="19" t="n">
        <v>387</v>
      </c>
      <c r="E34" s="18" t="n">
        <v>34.73612125</v>
      </c>
      <c r="F34" s="20" t="n">
        <v>2.26617167</v>
      </c>
      <c r="G34" s="18" t="n">
        <v>62.47254527</v>
      </c>
      <c r="H34" s="20" t="n">
        <v>2.56868918</v>
      </c>
      <c r="I34" s="18" t="s">
        <v>431</v>
      </c>
      <c r="J34" s="20" t="s">
        <v>431</v>
      </c>
      <c r="K34" s="18" t="n">
        <v>0.41521134</v>
      </c>
      <c r="L34" s="20" t="n">
        <v>0.41308552</v>
      </c>
      <c r="M34" s="18" t="n">
        <v>0</v>
      </c>
      <c r="N34" s="20" t="n">
        <v>0</v>
      </c>
      <c r="O34" s="18" t="n">
        <v>0</v>
      </c>
      <c r="P34" s="20" t="n">
        <v>0</v>
      </c>
      <c r="Q34" s="18" t="n">
        <v>2.37612214</v>
      </c>
      <c r="R34" s="20" t="n">
        <v>0.93490191</v>
      </c>
    </row>
    <row r="35" spans="1:18">
      <c r="A35" s="15" t="s">
        <v>459</v>
      </c>
      <c r="B35" s="17" t="n">
        <v>3505</v>
      </c>
      <c r="C35" s="18">
        <f>(3098.0/B35*100)</f>
        <v/>
      </c>
      <c r="D35" s="19" t="n">
        <v>407</v>
      </c>
      <c r="E35" s="18" t="n">
        <v>23.95190335</v>
      </c>
      <c r="F35" s="20" t="n">
        <v>2.78720598</v>
      </c>
      <c r="G35" s="18" t="n">
        <v>73.86834368</v>
      </c>
      <c r="H35" s="20" t="n">
        <v>2.78446727</v>
      </c>
      <c r="I35" s="18" t="s">
        <v>431</v>
      </c>
      <c r="J35" s="20" t="s">
        <v>431</v>
      </c>
      <c r="K35" s="18" t="n">
        <v>0</v>
      </c>
      <c r="L35" s="20" t="n">
        <v>0</v>
      </c>
      <c r="M35" s="18" t="n">
        <v>0.44098594</v>
      </c>
      <c r="N35" s="20" t="n">
        <v>0.44137925</v>
      </c>
      <c r="O35" s="18" t="n">
        <v>0</v>
      </c>
      <c r="P35" s="20" t="n">
        <v>0</v>
      </c>
      <c r="Q35" s="18" t="n">
        <v>1.73876703</v>
      </c>
      <c r="R35" s="20" t="n">
        <v>0.66572752</v>
      </c>
    </row>
    <row r="36" spans="1:18">
      <c r="A36" s="15" t="s">
        <v>460</v>
      </c>
      <c r="B36" s="17" t="n">
        <v>3332</v>
      </c>
      <c r="C36" s="18">
        <f>(2929.0/B36*100)</f>
        <v/>
      </c>
      <c r="D36" s="19" t="n">
        <v>403</v>
      </c>
      <c r="E36" s="18" t="n">
        <v>24.66149326</v>
      </c>
      <c r="F36" s="20" t="n">
        <v>2.45964913</v>
      </c>
      <c r="G36" s="18" t="n">
        <v>71.6938608</v>
      </c>
      <c r="H36" s="20" t="n">
        <v>2.27827042</v>
      </c>
      <c r="I36" s="18" t="s">
        <v>431</v>
      </c>
      <c r="J36" s="20" t="s">
        <v>431</v>
      </c>
      <c r="K36" s="18" t="n">
        <v>0.27177589</v>
      </c>
      <c r="L36" s="20" t="n">
        <v>0.40043477</v>
      </c>
      <c r="M36" s="18" t="n">
        <v>0</v>
      </c>
      <c r="N36" s="20" t="n">
        <v>0</v>
      </c>
      <c r="O36" s="18" t="n">
        <v>0</v>
      </c>
      <c r="P36" s="20" t="n">
        <v>0</v>
      </c>
      <c r="Q36" s="18" t="n">
        <v>3.37287005</v>
      </c>
      <c r="R36" s="20" t="n">
        <v>0.99445721</v>
      </c>
    </row>
    <row r="37" spans="1:18">
      <c r="A37" s="15" t="s">
        <v>461</v>
      </c>
      <c r="B37" s="17" t="n">
        <v>2727</v>
      </c>
      <c r="C37" s="18">
        <f>(2379.0/B37*100)</f>
        <v/>
      </c>
      <c r="D37" s="19" t="n">
        <v>348</v>
      </c>
      <c r="E37" s="18" t="n">
        <v>27.5576306</v>
      </c>
      <c r="F37" s="20" t="n">
        <v>2.57669383</v>
      </c>
      <c r="G37" s="18" t="n">
        <v>66.45045100999999</v>
      </c>
      <c r="H37" s="20" t="n">
        <v>2.59011479</v>
      </c>
      <c r="I37" s="18" t="s">
        <v>431</v>
      </c>
      <c r="J37" s="20" t="s">
        <v>431</v>
      </c>
      <c r="K37" s="18" t="n">
        <v>0</v>
      </c>
      <c r="L37" s="20" t="n">
        <v>0</v>
      </c>
      <c r="M37" s="18" t="n">
        <v>0</v>
      </c>
      <c r="N37" s="20" t="n">
        <v>0</v>
      </c>
      <c r="O37" s="18" t="n">
        <v>0</v>
      </c>
      <c r="P37" s="20" t="n">
        <v>0</v>
      </c>
      <c r="Q37" s="18" t="n">
        <v>5.99191838</v>
      </c>
      <c r="R37" s="20" t="n">
        <v>1.22634209</v>
      </c>
    </row>
    <row r="38" spans="1:18">
      <c r="A38" s="15" t="s">
        <v>462</v>
      </c>
      <c r="B38" s="17" t="n">
        <v>3053</v>
      </c>
      <c r="C38" s="18">
        <f>(2570.0/B38*100)</f>
        <v/>
      </c>
      <c r="D38" s="19" t="n">
        <v>483</v>
      </c>
      <c r="E38" s="18" t="n">
        <v>26.99113605</v>
      </c>
      <c r="F38" s="20" t="n">
        <v>2.01731614</v>
      </c>
      <c r="G38" s="18" t="n">
        <v>69.68366571999999</v>
      </c>
      <c r="H38" s="20" t="n">
        <v>2.23514476</v>
      </c>
      <c r="I38" s="18" t="s">
        <v>431</v>
      </c>
      <c r="J38" s="20" t="s">
        <v>431</v>
      </c>
      <c r="K38" s="18" t="n">
        <v>0.59420458</v>
      </c>
      <c r="L38" s="20" t="n">
        <v>0.57486517</v>
      </c>
      <c r="M38" s="18" t="n">
        <v>0.43550767</v>
      </c>
      <c r="N38" s="20" t="n">
        <v>0.31370067</v>
      </c>
      <c r="O38" s="18" t="n">
        <v>0</v>
      </c>
      <c r="P38" s="20" t="n">
        <v>0</v>
      </c>
      <c r="Q38" s="18" t="n">
        <v>2.29548599</v>
      </c>
      <c r="R38" s="20" t="n">
        <v>0.87947422</v>
      </c>
    </row>
    <row r="39" spans="1:18">
      <c r="A39" s="15" t="s">
        <v>463</v>
      </c>
      <c r="B39" s="17" t="n">
        <v>2957</v>
      </c>
      <c r="C39" s="18">
        <f>(2588.0/B39*100)</f>
        <v/>
      </c>
      <c r="D39" s="19" t="n">
        <v>369</v>
      </c>
      <c r="E39" s="18" t="n">
        <v>27.07589391</v>
      </c>
      <c r="F39" s="20" t="n">
        <v>2.39424561</v>
      </c>
      <c r="G39" s="18" t="n">
        <v>70.38620775</v>
      </c>
      <c r="H39" s="20" t="n">
        <v>2.56788268</v>
      </c>
      <c r="I39" s="18" t="s">
        <v>431</v>
      </c>
      <c r="J39" s="20" t="s">
        <v>431</v>
      </c>
      <c r="K39" s="18" t="n">
        <v>0.38124661</v>
      </c>
      <c r="L39" s="20" t="n">
        <v>0.37966924</v>
      </c>
      <c r="M39" s="18" t="n">
        <v>0</v>
      </c>
      <c r="N39" s="20" t="n">
        <v>0</v>
      </c>
      <c r="O39" s="18" t="n">
        <v>0</v>
      </c>
      <c r="P39" s="20" t="n">
        <v>0</v>
      </c>
      <c r="Q39" s="18" t="n">
        <v>2.15665173</v>
      </c>
      <c r="R39" s="20" t="n">
        <v>0.86992931</v>
      </c>
    </row>
    <row r="40" spans="1:18">
      <c r="A40" s="15" t="s">
        <v>464</v>
      </c>
      <c r="B40" s="17" t="n">
        <v>7235</v>
      </c>
      <c r="C40" s="18">
        <f>(6350.0/B40*100)</f>
        <v/>
      </c>
      <c r="D40" s="19" t="n">
        <v>885</v>
      </c>
      <c r="E40" s="18" t="n">
        <v>22.44393966</v>
      </c>
      <c r="F40" s="20" t="n">
        <v>2.16002465</v>
      </c>
      <c r="G40" s="18" t="n">
        <v>74.45594628000001</v>
      </c>
      <c r="H40" s="20" t="n">
        <v>2.30899517</v>
      </c>
      <c r="I40" s="18" t="s">
        <v>431</v>
      </c>
      <c r="J40" s="20" t="s">
        <v>431</v>
      </c>
      <c r="K40" s="18" t="n">
        <v>0.0261611</v>
      </c>
      <c r="L40" s="20" t="n">
        <v>0.02639147</v>
      </c>
      <c r="M40" s="18" t="n">
        <v>0.55623058</v>
      </c>
      <c r="N40" s="20" t="n">
        <v>0.43852685</v>
      </c>
      <c r="O40" s="18" t="n">
        <v>0</v>
      </c>
      <c r="P40" s="20" t="n">
        <v>0</v>
      </c>
      <c r="Q40" s="18" t="n">
        <v>2.51772238</v>
      </c>
      <c r="R40" s="20" t="n">
        <v>0.7802283800000001</v>
      </c>
    </row>
    <row r="41" spans="1:18">
      <c r="A41" s="15" t="s">
        <v>465</v>
      </c>
      <c r="B41" s="17" t="n">
        <v>2858</v>
      </c>
      <c r="C41" s="18">
        <f>(2512.0/B41*100)</f>
        <v/>
      </c>
      <c r="D41" s="19" t="n">
        <v>346</v>
      </c>
      <c r="E41" s="18" t="n">
        <v>22.81125668</v>
      </c>
      <c r="F41" s="20" t="n">
        <v>2.13259482</v>
      </c>
      <c r="G41" s="18" t="n">
        <v>75.25912597999999</v>
      </c>
      <c r="H41" s="20" t="n">
        <v>2.01826822</v>
      </c>
      <c r="I41" s="18" t="s">
        <v>431</v>
      </c>
      <c r="J41" s="20" t="s">
        <v>431</v>
      </c>
      <c r="K41" s="18" t="n">
        <v>0</v>
      </c>
      <c r="L41" s="20" t="n">
        <v>0</v>
      </c>
      <c r="M41" s="18" t="n">
        <v>0</v>
      </c>
      <c r="N41" s="20" t="n">
        <v>0</v>
      </c>
      <c r="O41" s="18" t="n">
        <v>0</v>
      </c>
      <c r="P41" s="20" t="n">
        <v>0</v>
      </c>
      <c r="Q41" s="18" t="n">
        <v>1.92961734</v>
      </c>
      <c r="R41" s="20" t="n">
        <v>0.76358578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(9857.0/B46*100)</f>
        <v/>
      </c>
      <c r="D46" s="19" t="n">
        <v>1211</v>
      </c>
      <c r="E46" s="18" t="n">
        <v>37.76099442</v>
      </c>
      <c r="F46" s="20" t="n">
        <v>1.7267492</v>
      </c>
      <c r="G46" s="18" t="n">
        <v>56.74980588</v>
      </c>
      <c r="H46" s="20" t="n">
        <v>2.02602155</v>
      </c>
      <c r="I46" s="18" t="s">
        <v>431</v>
      </c>
      <c r="J46" s="20" t="s">
        <v>431</v>
      </c>
      <c r="K46" s="18" t="n">
        <v>0.94706612</v>
      </c>
      <c r="L46" s="20" t="n">
        <v>0.36401308</v>
      </c>
      <c r="M46" s="18" t="n">
        <v>0.66409426</v>
      </c>
      <c r="N46" s="20" t="n">
        <v>0.39138064</v>
      </c>
      <c r="O46" s="18" t="n">
        <v>0</v>
      </c>
      <c r="P46" s="20" t="n">
        <v>0</v>
      </c>
      <c r="Q46" s="18" t="n">
        <v>3.87803932</v>
      </c>
      <c r="R46" s="20" t="n">
        <v>0.92952438</v>
      </c>
    </row>
    <row r="47" spans="1:18">
      <c r="A47" s="15" t="s">
        <v>471</v>
      </c>
      <c r="B47" s="17" t="n">
        <v>3105</v>
      </c>
      <c r="C47" s="18">
        <f>(2695.0/B47*100)</f>
        <v/>
      </c>
      <c r="D47" s="19" t="n">
        <v>410</v>
      </c>
      <c r="E47" s="18" t="n">
        <v>38.52018425</v>
      </c>
      <c r="F47" s="20" t="n">
        <v>2.78915876</v>
      </c>
      <c r="G47" s="18" t="n">
        <v>55.82441913</v>
      </c>
      <c r="H47" s="20" t="n">
        <v>2.64440693</v>
      </c>
      <c r="I47" s="18" t="s">
        <v>431</v>
      </c>
      <c r="J47" s="20" t="s">
        <v>431</v>
      </c>
      <c r="K47" s="18" t="n">
        <v>0</v>
      </c>
      <c r="L47" s="20" t="n">
        <v>0</v>
      </c>
      <c r="M47" s="18" t="n">
        <v>0</v>
      </c>
      <c r="N47" s="20" t="n">
        <v>0</v>
      </c>
      <c r="O47" s="18" t="n">
        <v>0</v>
      </c>
      <c r="P47" s="20" t="n">
        <v>0</v>
      </c>
      <c r="Q47" s="18" t="n">
        <v>5.65539662</v>
      </c>
      <c r="R47" s="20" t="n">
        <v>1.06205987</v>
      </c>
    </row>
    <row r="48" spans="1:18">
      <c r="A48" s="15" t="s">
        <v>472</v>
      </c>
      <c r="B48" s="17" t="n">
        <v>5159</v>
      </c>
      <c r="C48" s="18">
        <f>(4531.0/B48*100)</f>
        <v/>
      </c>
      <c r="D48" s="19" t="n">
        <v>628</v>
      </c>
      <c r="E48" s="18" t="n">
        <v>15.46977795</v>
      </c>
      <c r="F48" s="20" t="n">
        <v>1.94983511</v>
      </c>
      <c r="G48" s="18" t="n">
        <v>80.27245323</v>
      </c>
      <c r="H48" s="20" t="n">
        <v>2.02761222</v>
      </c>
      <c r="I48" s="18" t="s">
        <v>431</v>
      </c>
      <c r="J48" s="20" t="s">
        <v>431</v>
      </c>
      <c r="K48" s="18" t="n">
        <v>0.3633225</v>
      </c>
      <c r="L48" s="20" t="n">
        <v>0.36291522</v>
      </c>
      <c r="M48" s="18" t="n">
        <v>0</v>
      </c>
      <c r="N48" s="20" t="n">
        <v>0</v>
      </c>
      <c r="O48" s="18" t="n">
        <v>0</v>
      </c>
      <c r="P48" s="20" t="n">
        <v>0</v>
      </c>
      <c r="Q48" s="18" t="n">
        <v>3.89444632</v>
      </c>
      <c r="R48" s="20" t="n">
        <v>1.02613378</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(4965.0/B50*100)</f>
        <v/>
      </c>
      <c r="D50" s="19" t="n">
        <v>672</v>
      </c>
      <c r="E50" s="18" t="n">
        <v>34.16905676</v>
      </c>
      <c r="F50" s="20" t="n">
        <v>2.77542613</v>
      </c>
      <c r="G50" s="18" t="n">
        <v>61.25574199</v>
      </c>
      <c r="H50" s="20" t="n">
        <v>2.96870345</v>
      </c>
      <c r="I50" s="18" t="s">
        <v>431</v>
      </c>
      <c r="J50" s="20" t="s">
        <v>431</v>
      </c>
      <c r="K50" s="18" t="n">
        <v>1.20933531</v>
      </c>
      <c r="L50" s="20" t="n">
        <v>0.76525811</v>
      </c>
      <c r="M50" s="18" t="n">
        <v>0.00829206</v>
      </c>
      <c r="N50" s="20" t="n">
        <v>0.00834326</v>
      </c>
      <c r="O50" s="18" t="n">
        <v>0</v>
      </c>
      <c r="P50" s="20" t="n">
        <v>0</v>
      </c>
      <c r="Q50" s="18" t="n">
        <v>3.35757387</v>
      </c>
      <c r="R50" s="20" t="n">
        <v>1.08862418</v>
      </c>
    </row>
    <row r="51" spans="1:18">
      <c r="A51" s="15" t="s">
        <v>475</v>
      </c>
      <c r="B51" s="17" t="n">
        <v>3372</v>
      </c>
      <c r="C51" s="18">
        <f>(3007.0/B51*100)</f>
        <v/>
      </c>
      <c r="D51" s="19" t="n">
        <v>365</v>
      </c>
      <c r="E51" s="18" t="n">
        <v>37.21539399</v>
      </c>
      <c r="F51" s="20" t="n">
        <v>3.44972689</v>
      </c>
      <c r="G51" s="18" t="n">
        <v>60.90991548</v>
      </c>
      <c r="H51" s="20" t="n">
        <v>3.39466357</v>
      </c>
      <c r="I51" s="18" t="s">
        <v>431</v>
      </c>
      <c r="J51" s="20" t="s">
        <v>431</v>
      </c>
      <c r="K51" s="18" t="n">
        <v>0.98221317</v>
      </c>
      <c r="L51" s="20" t="n">
        <v>0.49693418</v>
      </c>
      <c r="M51" s="18" t="n">
        <v>0</v>
      </c>
      <c r="N51" s="20" t="n">
        <v>0</v>
      </c>
      <c r="O51" s="18" t="n">
        <v>0</v>
      </c>
      <c r="P51" s="20" t="n">
        <v>0</v>
      </c>
      <c r="Q51" s="18" t="n">
        <v>0.89247736</v>
      </c>
      <c r="R51" s="20" t="n">
        <v>0.5291272</v>
      </c>
    </row>
    <row r="52" spans="1:18">
      <c r="A52" s="15" t="s">
        <v>476</v>
      </c>
      <c r="B52" s="17" t="n">
        <v>2796</v>
      </c>
      <c r="C52" s="18">
        <f>(2429.0/B52*100)</f>
        <v/>
      </c>
      <c r="D52" s="19" t="n">
        <v>367</v>
      </c>
      <c r="E52" s="18" t="n">
        <v>24.71091343</v>
      </c>
      <c r="F52" s="20" t="n">
        <v>2.39582813</v>
      </c>
      <c r="G52" s="18" t="n">
        <v>73.9500917</v>
      </c>
      <c r="H52" s="20" t="n">
        <v>2.4360607</v>
      </c>
      <c r="I52" s="18" t="s">
        <v>431</v>
      </c>
      <c r="J52" s="20" t="s">
        <v>431</v>
      </c>
      <c r="K52" s="18" t="n">
        <v>0</v>
      </c>
      <c r="L52" s="20" t="n">
        <v>0</v>
      </c>
      <c r="M52" s="18" t="n">
        <v>0</v>
      </c>
      <c r="N52" s="20" t="n">
        <v>0</v>
      </c>
      <c r="O52" s="18" t="n">
        <v>0</v>
      </c>
      <c r="P52" s="20" t="n">
        <v>0</v>
      </c>
      <c r="Q52" s="18" t="n">
        <v>1.33899487</v>
      </c>
      <c r="R52" s="20" t="n">
        <v>0.6297583</v>
      </c>
    </row>
    <row r="53" spans="1:18">
      <c r="A53" s="15" t="s">
        <v>477</v>
      </c>
      <c r="B53" s="17" t="n">
        <v>2811</v>
      </c>
      <c r="C53" s="18">
        <f>(2480.0/B53*100)</f>
        <v/>
      </c>
      <c r="D53" s="19" t="n">
        <v>331</v>
      </c>
      <c r="E53" s="18" t="n">
        <v>35.90613898</v>
      </c>
      <c r="F53" s="20" t="n">
        <v>3.29129037</v>
      </c>
      <c r="G53" s="18" t="n">
        <v>58.56590222</v>
      </c>
      <c r="H53" s="20" t="n">
        <v>3.42477775</v>
      </c>
      <c r="I53" s="18" t="s">
        <v>431</v>
      </c>
      <c r="J53" s="20" t="s">
        <v>431</v>
      </c>
      <c r="K53" s="18" t="n">
        <v>0</v>
      </c>
      <c r="L53" s="20" t="n">
        <v>0</v>
      </c>
      <c r="M53" s="18" t="n">
        <v>0</v>
      </c>
      <c r="N53" s="20" t="n">
        <v>0</v>
      </c>
      <c r="O53" s="18" t="n">
        <v>0</v>
      </c>
      <c r="P53" s="20" t="n">
        <v>0</v>
      </c>
      <c r="Q53" s="18" t="n">
        <v>5.52795881</v>
      </c>
      <c r="R53" s="20" t="n">
        <v>1.300022</v>
      </c>
    </row>
    <row r="54" spans="1:18">
      <c r="A54" s="15" t="s">
        <v>478</v>
      </c>
      <c r="B54" s="17" t="n">
        <v>2266</v>
      </c>
      <c r="C54" s="18">
        <f>(1880.0/B54*100)</f>
        <v/>
      </c>
      <c r="D54" s="19" t="n">
        <v>386</v>
      </c>
      <c r="E54" s="18" t="n">
        <v>50.90255073</v>
      </c>
      <c r="F54" s="20" t="n">
        <v>2.75302322</v>
      </c>
      <c r="G54" s="18" t="n">
        <v>32.21492866</v>
      </c>
      <c r="H54" s="20" t="n">
        <v>2.74501072</v>
      </c>
      <c r="I54" s="18" t="s">
        <v>431</v>
      </c>
      <c r="J54" s="20" t="s">
        <v>431</v>
      </c>
      <c r="K54" s="18" t="n">
        <v>10.63356874</v>
      </c>
      <c r="L54" s="20" t="n">
        <v>1.63951513</v>
      </c>
      <c r="M54" s="18" t="n">
        <v>0.74906846</v>
      </c>
      <c r="N54" s="20" t="n">
        <v>0.5493449500000001</v>
      </c>
      <c r="O54" s="18" t="n">
        <v>0</v>
      </c>
      <c r="P54" s="20" t="n">
        <v>0</v>
      </c>
      <c r="Q54" s="18" t="n">
        <v>5.49988341</v>
      </c>
      <c r="R54" s="20" t="n">
        <v>1.24615989</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(2344.0/B56*100)</f>
        <v/>
      </c>
      <c r="D56" s="19" t="n">
        <v>340</v>
      </c>
      <c r="E56" s="18" t="n">
        <v>19.16861878</v>
      </c>
      <c r="F56" s="20" t="n">
        <v>2.6625938</v>
      </c>
      <c r="G56" s="18" t="n">
        <v>78.9824667</v>
      </c>
      <c r="H56" s="20" t="n">
        <v>2.74350968</v>
      </c>
      <c r="I56" s="18" t="s">
        <v>431</v>
      </c>
      <c r="J56" s="20" t="s">
        <v>431</v>
      </c>
      <c r="K56" s="18" t="n">
        <v>0.24409567</v>
      </c>
      <c r="L56" s="20" t="n">
        <v>0.24303137</v>
      </c>
      <c r="M56" s="18" t="n">
        <v>0.41311145</v>
      </c>
      <c r="N56" s="20" t="n">
        <v>0.42286612</v>
      </c>
      <c r="O56" s="18" t="n">
        <v>0</v>
      </c>
      <c r="P56" s="20" t="n">
        <v>0</v>
      </c>
      <c r="Q56" s="18" t="n">
        <v>1.19170741</v>
      </c>
      <c r="R56" s="20" t="n">
        <v>0.69073814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(2922.0/B61*100)</f>
        <v/>
      </c>
      <c r="D61" s="19" t="n">
        <v>402</v>
      </c>
      <c r="E61" s="18" t="n">
        <v>31.81547368</v>
      </c>
      <c r="F61" s="20" t="n">
        <v>2.79345307</v>
      </c>
      <c r="G61" s="18" t="n">
        <v>67.08063108</v>
      </c>
      <c r="H61" s="20" t="n">
        <v>2.74396353</v>
      </c>
      <c r="I61" s="18" t="s">
        <v>431</v>
      </c>
      <c r="J61" s="20" t="s">
        <v>431</v>
      </c>
      <c r="K61" s="18" t="n">
        <v>0</v>
      </c>
      <c r="L61" s="20" t="n">
        <v>0</v>
      </c>
      <c r="M61" s="18" t="n">
        <v>0</v>
      </c>
      <c r="N61" s="20" t="n">
        <v>0</v>
      </c>
      <c r="O61" s="18" t="n">
        <v>0</v>
      </c>
      <c r="P61" s="20" t="n">
        <v>0</v>
      </c>
      <c r="Q61" s="18" t="n">
        <v>1.10389525</v>
      </c>
      <c r="R61" s="20" t="n">
        <v>0.50518612</v>
      </c>
    </row>
    <row r="62" spans="1:18">
      <c r="A62" s="15" t="s">
        <v>486</v>
      </c>
      <c r="B62" s="17" t="n">
        <v>2246</v>
      </c>
      <c r="C62" s="18">
        <f>(1978.0/B62*100)</f>
        <v/>
      </c>
      <c r="D62" s="19" t="n">
        <v>268</v>
      </c>
      <c r="E62" s="18" t="n">
        <v>22.42583353</v>
      </c>
      <c r="F62" s="20" t="n">
        <v>2.77878955</v>
      </c>
      <c r="G62" s="18" t="n">
        <v>76.83371982</v>
      </c>
      <c r="H62" s="20" t="n">
        <v>2.71891452</v>
      </c>
      <c r="I62" s="18" t="s">
        <v>431</v>
      </c>
      <c r="J62" s="20" t="s">
        <v>431</v>
      </c>
      <c r="K62" s="18" t="n">
        <v>0</v>
      </c>
      <c r="L62" s="20" t="n">
        <v>0</v>
      </c>
      <c r="M62" s="18" t="n">
        <v>0</v>
      </c>
      <c r="N62" s="20" t="n">
        <v>0</v>
      </c>
      <c r="O62" s="18" t="n">
        <v>0</v>
      </c>
      <c r="P62" s="20" t="n">
        <v>0</v>
      </c>
      <c r="Q62" s="18" t="n">
        <v>0.74044665</v>
      </c>
      <c r="R62" s="20" t="n">
        <v>0.52751003</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(2545.0/B66*100)</f>
        <v/>
      </c>
      <c r="D66" s="19" t="n">
        <v>349</v>
      </c>
      <c r="E66" s="18" t="n">
        <v>35.14127276</v>
      </c>
      <c r="F66" s="20" t="n">
        <v>2.52388538</v>
      </c>
      <c r="G66" s="18" t="n">
        <v>58.00546737</v>
      </c>
      <c r="H66" s="20" t="n">
        <v>2.75444296</v>
      </c>
      <c r="I66" s="18" t="s">
        <v>431</v>
      </c>
      <c r="J66" s="20" t="s">
        <v>431</v>
      </c>
      <c r="K66" s="18" t="n">
        <v>0</v>
      </c>
      <c r="L66" s="20" t="n">
        <v>0</v>
      </c>
      <c r="M66" s="18" t="n">
        <v>0.24252694</v>
      </c>
      <c r="N66" s="20" t="n">
        <v>0.24409679</v>
      </c>
      <c r="O66" s="18" t="n">
        <v>0</v>
      </c>
      <c r="P66" s="20" t="n">
        <v>0</v>
      </c>
      <c r="Q66" s="18" t="n">
        <v>6.61073294</v>
      </c>
      <c r="R66" s="20" t="n">
        <v>1.45837227</v>
      </c>
    </row>
    <row r="67" spans="1:18">
      <c r="A67" s="15" t="s">
        <v>491</v>
      </c>
      <c r="B67" s="17" t="n">
        <v>3511</v>
      </c>
      <c r="C67" s="18">
        <f>(3091.0/B67*100)</f>
        <v/>
      </c>
      <c r="D67" s="19" t="n">
        <v>420</v>
      </c>
      <c r="E67" s="18" t="n">
        <v>35.81972446</v>
      </c>
      <c r="F67" s="20" t="n">
        <v>2.69679962</v>
      </c>
      <c r="G67" s="18" t="n">
        <v>61.81066208</v>
      </c>
      <c r="H67" s="20" t="n">
        <v>2.7383426</v>
      </c>
      <c r="I67" s="18" t="s">
        <v>431</v>
      </c>
      <c r="J67" s="20" t="s">
        <v>431</v>
      </c>
      <c r="K67" s="18" t="n">
        <v>0.16467772</v>
      </c>
      <c r="L67" s="20" t="n">
        <v>0.16300023</v>
      </c>
      <c r="M67" s="18" t="n">
        <v>0.26103416</v>
      </c>
      <c r="N67" s="20" t="n">
        <v>0.26023923</v>
      </c>
      <c r="O67" s="18" t="n">
        <v>0</v>
      </c>
      <c r="P67" s="20" t="n">
        <v>0</v>
      </c>
      <c r="Q67" s="18" t="n">
        <v>1.94390158</v>
      </c>
      <c r="R67" s="20" t="n">
        <v>0.74607805</v>
      </c>
    </row>
    <row r="68" spans="1:18">
      <c r="A68" s="15" t="s">
        <v>492</v>
      </c>
      <c r="B68" s="17" t="n">
        <v>6049</v>
      </c>
      <c r="C68" s="18">
        <f>(5043.0/B68*100)</f>
        <v/>
      </c>
      <c r="D68" s="19" t="n">
        <v>1006</v>
      </c>
      <c r="E68" s="18" t="n">
        <v>35.39909905</v>
      </c>
      <c r="F68" s="20" t="n">
        <v>1.43700991</v>
      </c>
      <c r="G68" s="18" t="n">
        <v>53.79738229</v>
      </c>
      <c r="H68" s="20" t="n">
        <v>1.52688032</v>
      </c>
      <c r="I68" s="18" t="s">
        <v>431</v>
      </c>
      <c r="J68" s="20" t="s">
        <v>431</v>
      </c>
      <c r="K68" s="18" t="n">
        <v>2.27578613</v>
      </c>
      <c r="L68" s="20" t="n">
        <v>0.5268280400000001</v>
      </c>
      <c r="M68" s="18" t="n">
        <v>0</v>
      </c>
      <c r="N68" s="20" t="n">
        <v>0</v>
      </c>
      <c r="O68" s="18" t="n">
        <v>0</v>
      </c>
      <c r="P68" s="20" t="n">
        <v>0</v>
      </c>
      <c r="Q68" s="18" t="n">
        <v>8.52773253</v>
      </c>
      <c r="R68" s="20" t="n">
        <v>0.76545305</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(2561.0/B70*100)</f>
        <v/>
      </c>
      <c r="D70" s="19" t="n">
        <v>368</v>
      </c>
      <c r="E70" s="18" t="n">
        <v>24.72249766</v>
      </c>
      <c r="F70" s="20" t="n">
        <v>2.48983669</v>
      </c>
      <c r="G70" s="18" t="n">
        <v>73.91541463999999</v>
      </c>
      <c r="H70" s="20" t="n">
        <v>2.4448394</v>
      </c>
      <c r="I70" s="18" t="s">
        <v>431</v>
      </c>
      <c r="J70" s="20" t="s">
        <v>431</v>
      </c>
      <c r="K70" s="18" t="n">
        <v>0</v>
      </c>
      <c r="L70" s="20" t="n">
        <v>0</v>
      </c>
      <c r="M70" s="18" t="n">
        <v>0.13409983</v>
      </c>
      <c r="N70" s="20" t="n">
        <v>0.13710059</v>
      </c>
      <c r="O70" s="18" t="n">
        <v>0</v>
      </c>
      <c r="P70" s="20" t="n">
        <v>0</v>
      </c>
      <c r="Q70" s="18" t="n">
        <v>1.22798787</v>
      </c>
      <c r="R70" s="20" t="n">
        <v>0.53361286</v>
      </c>
    </row>
    <row r="71" spans="1:18">
      <c r="A71" s="15" t="s">
        <v>495</v>
      </c>
      <c r="B71" s="17" t="n">
        <v>3142</v>
      </c>
      <c r="C71" s="18">
        <f>(2758.0/B71*100)</f>
        <v/>
      </c>
      <c r="D71" s="19" t="n">
        <v>384</v>
      </c>
      <c r="E71" s="18" t="n">
        <v>16.46419985</v>
      </c>
      <c r="F71" s="20" t="n">
        <v>2.09265588</v>
      </c>
      <c r="G71" s="18" t="n">
        <v>81.7603311</v>
      </c>
      <c r="H71" s="20" t="n">
        <v>2.07744488</v>
      </c>
      <c r="I71" s="18" t="s">
        <v>431</v>
      </c>
      <c r="J71" s="20" t="s">
        <v>431</v>
      </c>
      <c r="K71" s="18" t="n">
        <v>0</v>
      </c>
      <c r="L71" s="20" t="n">
        <v>0</v>
      </c>
      <c r="M71" s="18" t="n">
        <v>0.16044223</v>
      </c>
      <c r="N71" s="20" t="n">
        <v>0.15987814</v>
      </c>
      <c r="O71" s="18" t="n">
        <v>0</v>
      </c>
      <c r="P71" s="20" t="n">
        <v>0</v>
      </c>
      <c r="Q71" s="18" t="n">
        <v>1.61502682</v>
      </c>
      <c r="R71" s="20" t="n">
        <v>0.61632673</v>
      </c>
    </row>
    <row r="72" spans="1:18">
      <c r="A72" s="15" t="s">
        <v>496</v>
      </c>
      <c r="B72" s="17" t="n">
        <v>3889</v>
      </c>
      <c r="C72" s="18">
        <f>(3397.0/B72*100)</f>
        <v/>
      </c>
      <c r="D72" s="19" t="n">
        <v>492</v>
      </c>
      <c r="E72" s="18" t="n">
        <v>24.24293902</v>
      </c>
      <c r="F72" s="20" t="n">
        <v>2.23414699</v>
      </c>
      <c r="G72" s="18" t="n">
        <v>72.52013331000001</v>
      </c>
      <c r="H72" s="20" t="n">
        <v>2.55747698</v>
      </c>
      <c r="I72" s="18" t="s">
        <v>431</v>
      </c>
      <c r="J72" s="20" t="s">
        <v>431</v>
      </c>
      <c r="K72" s="18" t="n">
        <v>0.14090157</v>
      </c>
      <c r="L72" s="20" t="n">
        <v>0.14368853</v>
      </c>
      <c r="M72" s="18" t="n">
        <v>0</v>
      </c>
      <c r="N72" s="20" t="n">
        <v>0</v>
      </c>
      <c r="O72" s="18" t="n">
        <v>0</v>
      </c>
      <c r="P72" s="20" t="n">
        <v>0</v>
      </c>
      <c r="Q72" s="18" t="n">
        <v>3.0960261</v>
      </c>
      <c r="R72" s="20" t="n">
        <v>0.86999731</v>
      </c>
    </row>
    <row r="73" spans="1:18">
      <c r="A73" s="15" t="s">
        <v>497</v>
      </c>
      <c r="B73" s="17" t="n">
        <v>3597</v>
      </c>
      <c r="C73" s="18">
        <f>(3188.0/B73*100)</f>
        <v/>
      </c>
      <c r="D73" s="19" t="n">
        <v>409</v>
      </c>
      <c r="E73" s="18" t="n">
        <v>27.08810564</v>
      </c>
      <c r="F73" s="20" t="n">
        <v>2.94080754</v>
      </c>
      <c r="G73" s="18" t="n">
        <v>71.74423324</v>
      </c>
      <c r="H73" s="20" t="n">
        <v>3.03136908</v>
      </c>
      <c r="I73" s="18" t="s">
        <v>431</v>
      </c>
      <c r="J73" s="20" t="s">
        <v>431</v>
      </c>
      <c r="K73" s="18" t="n">
        <v>0</v>
      </c>
      <c r="L73" s="20" t="n">
        <v>0</v>
      </c>
      <c r="M73" s="18" t="n">
        <v>0</v>
      </c>
      <c r="N73" s="20" t="n">
        <v>0</v>
      </c>
      <c r="O73" s="18" t="n">
        <v>0</v>
      </c>
      <c r="P73" s="20" t="n">
        <v>0</v>
      </c>
      <c r="Q73" s="18" t="n">
        <v>1.16766113</v>
      </c>
      <c r="R73" s="20" t="n">
        <v>0.57419924</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(2136.0/B75*100)</f>
        <v/>
      </c>
      <c r="D75" s="19" t="n">
        <v>270</v>
      </c>
      <c r="E75" s="18" t="n">
        <v>45.20889848</v>
      </c>
      <c r="F75" s="20" t="n">
        <v>3.21571697</v>
      </c>
      <c r="G75" s="18" t="n">
        <v>44.28856886</v>
      </c>
      <c r="H75" s="20" t="n">
        <v>3.30005476</v>
      </c>
      <c r="I75" s="18" t="s">
        <v>431</v>
      </c>
      <c r="J75" s="20" t="s">
        <v>431</v>
      </c>
      <c r="K75" s="18" t="n">
        <v>3.55710877</v>
      </c>
      <c r="L75" s="20" t="n">
        <v>1.04674125</v>
      </c>
      <c r="M75" s="18" t="n">
        <v>1.18144755</v>
      </c>
      <c r="N75" s="20" t="n">
        <v>0.8779625</v>
      </c>
      <c r="O75" s="18" t="n">
        <v>0</v>
      </c>
      <c r="P75" s="20" t="n">
        <v>0</v>
      </c>
      <c r="Q75" s="18" t="n">
        <v>5.76397634</v>
      </c>
      <c r="R75" s="20" t="n">
        <v>1.38397419</v>
      </c>
    </row>
    <row r="76" spans="1:18">
      <c r="A76" s="15" t="s">
        <v>500</v>
      </c>
      <c r="B76" s="17" t="n">
        <v>7052</v>
      </c>
      <c r="C76" s="18">
        <f>(6200.0/B76*100)</f>
        <v/>
      </c>
      <c r="D76" s="19" t="n">
        <v>852</v>
      </c>
      <c r="E76" s="18" t="n">
        <v>38.99511432</v>
      </c>
      <c r="F76" s="20" t="n">
        <v>2.45935555</v>
      </c>
      <c r="G76" s="18" t="n">
        <v>54.9880666</v>
      </c>
      <c r="H76" s="20" t="n">
        <v>2.72783528</v>
      </c>
      <c r="I76" s="18" t="s">
        <v>431</v>
      </c>
      <c r="J76" s="20" t="s">
        <v>431</v>
      </c>
      <c r="K76" s="18" t="n">
        <v>0.67271521</v>
      </c>
      <c r="L76" s="20" t="n">
        <v>0.33056952</v>
      </c>
      <c r="M76" s="18" t="n">
        <v>0.42509041</v>
      </c>
      <c r="N76" s="20" t="n">
        <v>0.36471448</v>
      </c>
      <c r="O76" s="18" t="n">
        <v>0</v>
      </c>
      <c r="P76" s="20" t="n">
        <v>0</v>
      </c>
      <c r="Q76" s="18" t="n">
        <v>4.91901345</v>
      </c>
      <c r="R76" s="20" t="n">
        <v>0.98473709</v>
      </c>
    </row>
    <row r="77" spans="1:18">
      <c r="A77" s="15" t="s">
        <v>501</v>
      </c>
      <c r="B77" s="17" t="n">
        <v>2908</v>
      </c>
      <c r="C77" s="18">
        <f>(2555.0/B77*100)</f>
        <v/>
      </c>
      <c r="D77" s="19" t="n">
        <v>353</v>
      </c>
      <c r="E77" s="18" t="n">
        <v>33.92622015</v>
      </c>
      <c r="F77" s="20" t="n">
        <v>2.69226731</v>
      </c>
      <c r="G77" s="18" t="n">
        <v>58.6138634</v>
      </c>
      <c r="H77" s="20" t="n">
        <v>2.7685679</v>
      </c>
      <c r="I77" s="18" t="s">
        <v>431</v>
      </c>
      <c r="J77" s="20" t="s">
        <v>431</v>
      </c>
      <c r="K77" s="18" t="n">
        <v>0.54510224</v>
      </c>
      <c r="L77" s="20" t="n">
        <v>0.38507593</v>
      </c>
      <c r="M77" s="18" t="n">
        <v>0</v>
      </c>
      <c r="N77" s="20" t="n">
        <v>0</v>
      </c>
      <c r="O77" s="18" t="n">
        <v>0</v>
      </c>
      <c r="P77" s="20" t="n">
        <v>0</v>
      </c>
      <c r="Q77" s="18" t="n">
        <v>6.91481421</v>
      </c>
      <c r="R77" s="20" t="n">
        <v>1.28274067</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(3627.0/B81*100)</f>
        <v/>
      </c>
      <c r="D81" s="19" t="n">
        <v>536</v>
      </c>
      <c r="E81" s="18" t="n">
        <v>35.76000547</v>
      </c>
      <c r="F81" s="20" t="n">
        <v>2.79436993</v>
      </c>
      <c r="G81" s="18" t="n">
        <v>62.90410662</v>
      </c>
      <c r="H81" s="20" t="n">
        <v>2.85947636</v>
      </c>
      <c r="I81" s="18" t="s">
        <v>431</v>
      </c>
      <c r="J81" s="20" t="s">
        <v>431</v>
      </c>
      <c r="K81" s="18" t="n">
        <v>0</v>
      </c>
      <c r="L81" s="20" t="n">
        <v>0</v>
      </c>
      <c r="M81" s="18" t="n">
        <v>0</v>
      </c>
      <c r="N81" s="20" t="n">
        <v>0</v>
      </c>
      <c r="O81" s="18" t="n">
        <v>0</v>
      </c>
      <c r="P81" s="20" t="n">
        <v>0</v>
      </c>
      <c r="Q81" s="18" t="n">
        <v>1.33588791</v>
      </c>
      <c r="R81" s="20" t="n">
        <v>0.45986697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(6458.0/B7*100)</f>
        <v/>
      </c>
      <c r="D7" s="19" t="n">
        <v>909</v>
      </c>
      <c r="E7" s="18" t="n">
        <v>16.54740996</v>
      </c>
      <c r="F7" s="20" t="n">
        <v>1.20759695</v>
      </c>
      <c r="G7" s="18" t="n">
        <v>82.65186296</v>
      </c>
      <c r="H7" s="20" t="n">
        <v>1.14745463</v>
      </c>
      <c r="I7" s="18" t="s">
        <v>431</v>
      </c>
      <c r="J7" s="20" t="s">
        <v>431</v>
      </c>
      <c r="K7" s="18" t="n">
        <v>0.34489117</v>
      </c>
      <c r="L7" s="20" t="n">
        <v>0.2542043</v>
      </c>
      <c r="M7" s="18" t="n">
        <v>0</v>
      </c>
      <c r="N7" s="20" t="n">
        <v>0</v>
      </c>
      <c r="O7" s="18" t="n">
        <v>0</v>
      </c>
      <c r="P7" s="20" t="n">
        <v>0</v>
      </c>
      <c r="Q7" s="18" t="n">
        <v>0.45583591</v>
      </c>
      <c r="R7" s="20" t="n">
        <v>0.26802348</v>
      </c>
    </row>
    <row r="8" spans="1:18">
      <c r="A8" s="15" t="s">
        <v>432</v>
      </c>
      <c r="B8" s="17" t="n">
        <v>3564</v>
      </c>
      <c r="C8" s="18">
        <f>(3138.0/B8*100)</f>
        <v/>
      </c>
      <c r="D8" s="19" t="n">
        <v>426</v>
      </c>
      <c r="E8" s="18" t="n">
        <v>22.88173267</v>
      </c>
      <c r="F8" s="20" t="n">
        <v>1.85377709</v>
      </c>
      <c r="G8" s="18" t="n">
        <v>75.52764148</v>
      </c>
      <c r="H8" s="20" t="n">
        <v>1.83111647</v>
      </c>
      <c r="I8" s="18" t="s">
        <v>431</v>
      </c>
      <c r="J8" s="20" t="s">
        <v>431</v>
      </c>
      <c r="K8" s="18" t="n">
        <v>0</v>
      </c>
      <c r="L8" s="20" t="n">
        <v>0</v>
      </c>
      <c r="M8" s="18" t="n">
        <v>0</v>
      </c>
      <c r="N8" s="20" t="n">
        <v>0</v>
      </c>
      <c r="O8" s="18" t="n">
        <v>0</v>
      </c>
      <c r="P8" s="20" t="n">
        <v>0</v>
      </c>
      <c r="Q8" s="18" t="n">
        <v>1.59062586</v>
      </c>
      <c r="R8" s="20" t="n">
        <v>0.67009641</v>
      </c>
    </row>
    <row r="9" spans="1:18">
      <c r="A9" s="15" t="s">
        <v>433</v>
      </c>
      <c r="B9" s="17" t="n">
        <v>4899</v>
      </c>
      <c r="C9" s="18">
        <f>(4321.0/B9*100)</f>
        <v/>
      </c>
      <c r="D9" s="19" t="n">
        <v>578</v>
      </c>
      <c r="E9" s="18" t="n">
        <v>18.21182025</v>
      </c>
      <c r="F9" s="20" t="n">
        <v>1.85540062</v>
      </c>
      <c r="G9" s="18" t="n">
        <v>80.21579291</v>
      </c>
      <c r="H9" s="20" t="n">
        <v>1.94555114</v>
      </c>
      <c r="I9" s="18" t="s">
        <v>431</v>
      </c>
      <c r="J9" s="20" t="s">
        <v>431</v>
      </c>
      <c r="K9" s="18" t="n">
        <v>0</v>
      </c>
      <c r="L9" s="20" t="n">
        <v>0</v>
      </c>
      <c r="M9" s="18" t="n">
        <v>0</v>
      </c>
      <c r="N9" s="20" t="n">
        <v>0</v>
      </c>
      <c r="O9" s="18" t="n">
        <v>0</v>
      </c>
      <c r="P9" s="20" t="n">
        <v>0</v>
      </c>
      <c r="Q9" s="18" t="n">
        <v>1.57238684</v>
      </c>
      <c r="R9" s="20" t="n">
        <v>0.55070668</v>
      </c>
    </row>
    <row r="10" spans="1:18">
      <c r="A10" s="15" t="s">
        <v>434</v>
      </c>
      <c r="B10" s="17" t="n">
        <v>10036</v>
      </c>
      <c r="C10" s="18">
        <f>(8783.0/B10*100)</f>
        <v/>
      </c>
      <c r="D10" s="19" t="n">
        <v>1253</v>
      </c>
      <c r="E10" s="18" t="n">
        <v>15.14353675</v>
      </c>
      <c r="F10" s="20" t="n">
        <v>1.20174147</v>
      </c>
      <c r="G10" s="18" t="n">
        <v>84.1154756</v>
      </c>
      <c r="H10" s="20" t="n">
        <v>1.19430851</v>
      </c>
      <c r="I10" s="18" t="s">
        <v>431</v>
      </c>
      <c r="J10" s="20" t="s">
        <v>431</v>
      </c>
      <c r="K10" s="18" t="n">
        <v>0.41500159</v>
      </c>
      <c r="L10" s="20" t="n">
        <v>0.27441875</v>
      </c>
      <c r="M10" s="18" t="n">
        <v>0</v>
      </c>
      <c r="N10" s="20" t="n">
        <v>0</v>
      </c>
      <c r="O10" s="18" t="n">
        <v>0</v>
      </c>
      <c r="P10" s="20" t="n">
        <v>0</v>
      </c>
      <c r="Q10" s="18" t="n">
        <v>0.32598606</v>
      </c>
      <c r="R10" s="20" t="n">
        <v>0.23851318</v>
      </c>
    </row>
    <row r="11" spans="1:18">
      <c r="A11" s="15" t="s">
        <v>435</v>
      </c>
      <c r="B11" s="17" t="n">
        <v>3553</v>
      </c>
      <c r="C11" s="18">
        <f>(3125.0/B11*100)</f>
        <v/>
      </c>
      <c r="D11" s="19" t="n">
        <v>428</v>
      </c>
      <c r="E11" s="18" t="n">
        <v>20.98278387</v>
      </c>
      <c r="F11" s="20" t="n">
        <v>2.55144001</v>
      </c>
      <c r="G11" s="18" t="n">
        <v>77.54974244</v>
      </c>
      <c r="H11" s="20" t="n">
        <v>2.59372647</v>
      </c>
      <c r="I11" s="18" t="s">
        <v>431</v>
      </c>
      <c r="J11" s="20" t="s">
        <v>431</v>
      </c>
      <c r="K11" s="18" t="n">
        <v>0.30036292</v>
      </c>
      <c r="L11" s="20" t="n">
        <v>0.30078948</v>
      </c>
      <c r="M11" s="18" t="n">
        <v>0</v>
      </c>
      <c r="N11" s="20" t="n">
        <v>0</v>
      </c>
      <c r="O11" s="18" t="n">
        <v>0</v>
      </c>
      <c r="P11" s="20" t="n">
        <v>0</v>
      </c>
      <c r="Q11" s="18" t="n">
        <v>1.16711077</v>
      </c>
      <c r="R11" s="20" t="n">
        <v>0.47205081</v>
      </c>
    </row>
    <row r="12" spans="1:18">
      <c r="A12" s="15" t="s">
        <v>436</v>
      </c>
      <c r="B12" s="17" t="n">
        <v>3472</v>
      </c>
      <c r="C12" s="18">
        <f>(3060.0/B12*100)</f>
        <v/>
      </c>
      <c r="D12" s="19" t="n">
        <v>412</v>
      </c>
      <c r="E12" s="18" t="n">
        <v>17.3392347</v>
      </c>
      <c r="F12" s="20" t="n">
        <v>1.90463319</v>
      </c>
      <c r="G12" s="18" t="n">
        <v>81.16252829</v>
      </c>
      <c r="H12" s="20" t="n">
        <v>2.02180845</v>
      </c>
      <c r="I12" s="18" t="s">
        <v>431</v>
      </c>
      <c r="J12" s="20" t="s">
        <v>431</v>
      </c>
      <c r="K12" s="18" t="n">
        <v>0</v>
      </c>
      <c r="L12" s="20" t="n">
        <v>0</v>
      </c>
      <c r="M12" s="18" t="n">
        <v>0</v>
      </c>
      <c r="N12" s="20" t="n">
        <v>0</v>
      </c>
      <c r="O12" s="18" t="n">
        <v>0</v>
      </c>
      <c r="P12" s="20" t="n">
        <v>0</v>
      </c>
      <c r="Q12" s="18" t="n">
        <v>1.49823701</v>
      </c>
      <c r="R12" s="20" t="n">
        <v>0.92203724</v>
      </c>
    </row>
    <row r="13" spans="1:18">
      <c r="A13" s="15" t="s">
        <v>437</v>
      </c>
      <c r="B13" s="17" t="n">
        <v>3559</v>
      </c>
      <c r="C13" s="18">
        <f>(3153.0/B13*100)</f>
        <v/>
      </c>
      <c r="D13" s="19" t="n">
        <v>406</v>
      </c>
      <c r="E13" s="18" t="n">
        <v>15.32490715</v>
      </c>
      <c r="F13" s="20" t="n">
        <v>1.84196524</v>
      </c>
      <c r="G13" s="18" t="n">
        <v>84.58192541</v>
      </c>
      <c r="H13" s="20" t="n">
        <v>1.8452311</v>
      </c>
      <c r="I13" s="18" t="s">
        <v>431</v>
      </c>
      <c r="J13" s="20" t="s">
        <v>431</v>
      </c>
      <c r="K13" s="18" t="n">
        <v>0</v>
      </c>
      <c r="L13" s="20" t="n">
        <v>0</v>
      </c>
      <c r="M13" s="18" t="n">
        <v>0</v>
      </c>
      <c r="N13" s="20" t="n">
        <v>0</v>
      </c>
      <c r="O13" s="18" t="n">
        <v>0</v>
      </c>
      <c r="P13" s="20" t="n">
        <v>0</v>
      </c>
      <c r="Q13" s="18" t="n">
        <v>0.09316743</v>
      </c>
      <c r="R13" s="20" t="n">
        <v>0.09395285</v>
      </c>
    </row>
    <row r="14" spans="1:18">
      <c r="A14" s="15" t="s">
        <v>438</v>
      </c>
      <c r="B14" s="17" t="n">
        <v>2799</v>
      </c>
      <c r="C14" s="18">
        <f>(2450.0/B14*100)</f>
        <v/>
      </c>
      <c r="D14" s="19" t="n">
        <v>349</v>
      </c>
      <c r="E14" s="18" t="n">
        <v>16.82055198</v>
      </c>
      <c r="F14" s="20" t="n">
        <v>2.39033269</v>
      </c>
      <c r="G14" s="18" t="n">
        <v>82.94857301</v>
      </c>
      <c r="H14" s="20" t="n">
        <v>2.40819128</v>
      </c>
      <c r="I14" s="18" t="s">
        <v>431</v>
      </c>
      <c r="J14" s="20" t="s">
        <v>431</v>
      </c>
      <c r="K14" s="18" t="n">
        <v>0</v>
      </c>
      <c r="L14" s="20" t="n">
        <v>0</v>
      </c>
      <c r="M14" s="18" t="n">
        <v>0</v>
      </c>
      <c r="N14" s="20" t="n">
        <v>0</v>
      </c>
      <c r="O14" s="18" t="n">
        <v>0</v>
      </c>
      <c r="P14" s="20" t="n">
        <v>0</v>
      </c>
      <c r="Q14" s="18" t="n">
        <v>0.23087501</v>
      </c>
      <c r="R14" s="20" t="n">
        <v>0.22769547</v>
      </c>
    </row>
    <row r="15" spans="1:18">
      <c r="A15" s="15" t="s">
        <v>439</v>
      </c>
      <c r="B15" s="17" t="n">
        <v>3019</v>
      </c>
      <c r="C15" s="18">
        <f>(2648.0/B15*100)</f>
        <v/>
      </c>
      <c r="D15" s="19" t="n">
        <v>371</v>
      </c>
      <c r="E15" s="18" t="n">
        <v>9.095658009999999</v>
      </c>
      <c r="F15" s="20" t="n">
        <v>1.60156946</v>
      </c>
      <c r="G15" s="18" t="n">
        <v>90.90434199000001</v>
      </c>
      <c r="H15" s="20" t="n">
        <v>1.60156946</v>
      </c>
      <c r="I15" s="18" t="s">
        <v>431</v>
      </c>
      <c r="J15" s="20" t="s">
        <v>431</v>
      </c>
      <c r="K15" s="18" t="n">
        <v>0</v>
      </c>
      <c r="L15" s="20" t="n">
        <v>0</v>
      </c>
      <c r="M15" s="18" t="n">
        <v>0</v>
      </c>
      <c r="N15" s="20" t="n">
        <v>0</v>
      </c>
      <c r="O15" s="18" t="n">
        <v>0</v>
      </c>
      <c r="P15" s="20" t="n">
        <v>0</v>
      </c>
      <c r="Q15" s="18" t="n">
        <v>0</v>
      </c>
      <c r="R15" s="20" t="n">
        <v>0</v>
      </c>
    </row>
    <row r="16" spans="1:18">
      <c r="A16" s="15" t="s">
        <v>440</v>
      </c>
      <c r="B16" s="17" t="n">
        <v>2997</v>
      </c>
      <c r="C16" s="18">
        <f>(2639.0/B16*100)</f>
        <v/>
      </c>
      <c r="D16" s="19" t="n">
        <v>358</v>
      </c>
      <c r="E16" s="18" t="n">
        <v>19.65378785</v>
      </c>
      <c r="F16" s="20" t="n">
        <v>2.16912529</v>
      </c>
      <c r="G16" s="18" t="n">
        <v>78.30348186000001</v>
      </c>
      <c r="H16" s="20" t="n">
        <v>2.30263193</v>
      </c>
      <c r="I16" s="18" t="s">
        <v>431</v>
      </c>
      <c r="J16" s="20" t="s">
        <v>431</v>
      </c>
      <c r="K16" s="18" t="n">
        <v>0.24754103</v>
      </c>
      <c r="L16" s="20" t="n">
        <v>0.24769963</v>
      </c>
      <c r="M16" s="18" t="n">
        <v>0</v>
      </c>
      <c r="N16" s="20" t="n">
        <v>0</v>
      </c>
      <c r="O16" s="18" t="n">
        <v>0</v>
      </c>
      <c r="P16" s="20" t="n">
        <v>0</v>
      </c>
      <c r="Q16" s="18" t="n">
        <v>1.79518925</v>
      </c>
      <c r="R16" s="20" t="n">
        <v>0.82147659</v>
      </c>
    </row>
    <row r="17" spans="1:18">
      <c r="A17" s="15" t="s">
        <v>441</v>
      </c>
      <c r="B17" s="17" t="n">
        <v>3307</v>
      </c>
      <c r="C17" s="18">
        <f>(2905.0/B17*100)</f>
        <v/>
      </c>
      <c r="D17" s="19" t="n">
        <v>402</v>
      </c>
      <c r="E17" s="18" t="n">
        <v>21.09073785</v>
      </c>
      <c r="F17" s="20" t="n">
        <v>2.23309529</v>
      </c>
      <c r="G17" s="18" t="n">
        <v>77.42849427</v>
      </c>
      <c r="H17" s="20" t="n">
        <v>2.23225332</v>
      </c>
      <c r="I17" s="18" t="s">
        <v>431</v>
      </c>
      <c r="J17" s="20" t="s">
        <v>431</v>
      </c>
      <c r="K17" s="18" t="n">
        <v>0.48179945</v>
      </c>
      <c r="L17" s="20" t="n">
        <v>0.34457916</v>
      </c>
      <c r="M17" s="18" t="n">
        <v>0</v>
      </c>
      <c r="N17" s="20" t="n">
        <v>0</v>
      </c>
      <c r="O17" s="18" t="n">
        <v>0</v>
      </c>
      <c r="P17" s="20" t="n">
        <v>0</v>
      </c>
      <c r="Q17" s="18" t="n">
        <v>0.99896843</v>
      </c>
      <c r="R17" s="20" t="n">
        <v>0.5213740100000001</v>
      </c>
    </row>
    <row r="18" spans="1:18">
      <c r="A18" s="15" t="s">
        <v>442</v>
      </c>
      <c r="B18" s="17" t="n">
        <v>2826</v>
      </c>
      <c r="C18" s="18">
        <f>(2484.0/B18*100)</f>
        <v/>
      </c>
      <c r="D18" s="19" t="n">
        <v>342</v>
      </c>
      <c r="E18" s="18" t="n">
        <v>27.02176439</v>
      </c>
      <c r="F18" s="20" t="n">
        <v>3.18880718</v>
      </c>
      <c r="G18" s="18" t="n">
        <v>71.66573434</v>
      </c>
      <c r="H18" s="20" t="n">
        <v>3.15947102</v>
      </c>
      <c r="I18" s="18" t="s">
        <v>431</v>
      </c>
      <c r="J18" s="20" t="s">
        <v>431</v>
      </c>
      <c r="K18" s="18" t="n">
        <v>0.28221324</v>
      </c>
      <c r="L18" s="20" t="n">
        <v>0.2704609</v>
      </c>
      <c r="M18" s="18" t="n">
        <v>0</v>
      </c>
      <c r="N18" s="20" t="n">
        <v>0</v>
      </c>
      <c r="O18" s="18" t="n">
        <v>0</v>
      </c>
      <c r="P18" s="20" t="n">
        <v>0</v>
      </c>
      <c r="Q18" s="18" t="n">
        <v>1.03028804</v>
      </c>
      <c r="R18" s="20" t="n">
        <v>0.52531918</v>
      </c>
    </row>
    <row r="19" spans="1:18">
      <c r="A19" s="15" t="s">
        <v>443</v>
      </c>
      <c r="B19" s="17" t="n">
        <v>2808</v>
      </c>
      <c r="C19" s="18">
        <f>(2475.0/B19*100)</f>
        <v/>
      </c>
      <c r="D19" s="19" t="n">
        <v>333</v>
      </c>
      <c r="E19" s="18" t="n">
        <v>29.38358852</v>
      </c>
      <c r="F19" s="20" t="n">
        <v>2.88273057</v>
      </c>
      <c r="G19" s="18" t="n">
        <v>70.61641148</v>
      </c>
      <c r="H19" s="20" t="n">
        <v>2.88273057</v>
      </c>
      <c r="I19" s="18" t="s">
        <v>431</v>
      </c>
      <c r="J19" s="20" t="s">
        <v>431</v>
      </c>
      <c r="K19" s="18" t="n">
        <v>0</v>
      </c>
      <c r="L19" s="20" t="n">
        <v>0</v>
      </c>
      <c r="M19" s="18" t="n">
        <v>0</v>
      </c>
      <c r="N19" s="20" t="n">
        <v>0</v>
      </c>
      <c r="O19" s="18" t="n">
        <v>0</v>
      </c>
      <c r="P19" s="20" t="n">
        <v>0</v>
      </c>
      <c r="Q19" s="18" t="n">
        <v>0</v>
      </c>
      <c r="R19" s="20" t="n">
        <v>0</v>
      </c>
    </row>
    <row r="20" spans="1:18">
      <c r="A20" s="15" t="s">
        <v>444</v>
      </c>
      <c r="B20" s="17" t="n">
        <v>1630</v>
      </c>
      <c r="C20" s="18">
        <f>(1438.0/B20*100)</f>
        <v/>
      </c>
      <c r="D20" s="19" t="n">
        <v>192</v>
      </c>
      <c r="E20" s="18" t="n">
        <v>28.39732433</v>
      </c>
      <c r="F20" s="20" t="n">
        <v>3.18017705</v>
      </c>
      <c r="G20" s="18" t="n">
        <v>70.12730426</v>
      </c>
      <c r="H20" s="20" t="n">
        <v>3.18288249</v>
      </c>
      <c r="I20" s="18" t="s">
        <v>431</v>
      </c>
      <c r="J20" s="20" t="s">
        <v>431</v>
      </c>
      <c r="K20" s="18" t="n">
        <v>0.5123400299999999</v>
      </c>
      <c r="L20" s="20" t="n">
        <v>0.50918025</v>
      </c>
      <c r="M20" s="18" t="n">
        <v>0</v>
      </c>
      <c r="N20" s="20" t="n">
        <v>0</v>
      </c>
      <c r="O20" s="18" t="n">
        <v>0</v>
      </c>
      <c r="P20" s="20" t="n">
        <v>0</v>
      </c>
      <c r="Q20" s="18" t="n">
        <v>0.96303138</v>
      </c>
      <c r="R20" s="20" t="n">
        <v>0.6700227600000001</v>
      </c>
    </row>
    <row r="21" spans="1:18">
      <c r="A21" s="15" t="s">
        <v>445</v>
      </c>
      <c r="B21" s="17" t="n">
        <v>2908</v>
      </c>
      <c r="C21" s="18">
        <f>(2430.0/B21*100)</f>
        <v/>
      </c>
      <c r="D21" s="19" t="n">
        <v>478</v>
      </c>
      <c r="E21" s="18" t="n">
        <v>9.23297268</v>
      </c>
      <c r="F21" s="20" t="n">
        <v>1.71182165</v>
      </c>
      <c r="G21" s="18" t="n">
        <v>90.17607731</v>
      </c>
      <c r="H21" s="20" t="n">
        <v>1.80155319</v>
      </c>
      <c r="I21" s="18" t="s">
        <v>431</v>
      </c>
      <c r="J21" s="20" t="s">
        <v>431</v>
      </c>
      <c r="K21" s="18" t="n">
        <v>0.17429254</v>
      </c>
      <c r="L21" s="20" t="n">
        <v>0.12343033</v>
      </c>
      <c r="M21" s="18" t="n">
        <v>0</v>
      </c>
      <c r="N21" s="20" t="n">
        <v>0</v>
      </c>
      <c r="O21" s="18" t="n">
        <v>0</v>
      </c>
      <c r="P21" s="20" t="n">
        <v>0</v>
      </c>
      <c r="Q21" s="18" t="n">
        <v>0.41665747</v>
      </c>
      <c r="R21" s="20" t="n">
        <v>0.29535055</v>
      </c>
    </row>
    <row r="22" spans="1:18">
      <c r="A22" s="15" t="s">
        <v>446</v>
      </c>
      <c r="B22" s="17" t="n">
        <v>2931</v>
      </c>
      <c r="C22" s="18">
        <f>(2602.0/B22*100)</f>
        <v/>
      </c>
      <c r="D22" s="19" t="n">
        <v>329</v>
      </c>
      <c r="E22" s="18" t="n">
        <v>23.16130026</v>
      </c>
      <c r="F22" s="20" t="n">
        <v>2.40923514</v>
      </c>
      <c r="G22" s="18" t="n">
        <v>74.04383353</v>
      </c>
      <c r="H22" s="20" t="n">
        <v>2.30037996</v>
      </c>
      <c r="I22" s="18" t="s">
        <v>431</v>
      </c>
      <c r="J22" s="20" t="s">
        <v>431</v>
      </c>
      <c r="K22" s="18" t="n">
        <v>0.49356589</v>
      </c>
      <c r="L22" s="20" t="n">
        <v>0.34923658</v>
      </c>
      <c r="M22" s="18" t="n">
        <v>0</v>
      </c>
      <c r="N22" s="20" t="n">
        <v>0</v>
      </c>
      <c r="O22" s="18" t="n">
        <v>0</v>
      </c>
      <c r="P22" s="20" t="n">
        <v>0</v>
      </c>
      <c r="Q22" s="18" t="n">
        <v>2.30130033</v>
      </c>
      <c r="R22" s="20" t="n">
        <v>0.87961122</v>
      </c>
    </row>
    <row r="23" spans="1:18">
      <c r="A23" s="15" t="s">
        <v>447</v>
      </c>
      <c r="B23" s="17" t="n">
        <v>5791</v>
      </c>
      <c r="C23" s="18">
        <f>(5047.0/B23*100)</f>
        <v/>
      </c>
      <c r="D23" s="19" t="n">
        <v>744</v>
      </c>
      <c r="E23" s="18" t="n">
        <v>17.14743497</v>
      </c>
      <c r="F23" s="20" t="n">
        <v>2.0323979</v>
      </c>
      <c r="G23" s="18" t="n">
        <v>82.41762858</v>
      </c>
      <c r="H23" s="20" t="n">
        <v>2.06150449</v>
      </c>
      <c r="I23" s="18" t="s">
        <v>431</v>
      </c>
      <c r="J23" s="20" t="s">
        <v>431</v>
      </c>
      <c r="K23" s="18" t="n">
        <v>0</v>
      </c>
      <c r="L23" s="20" t="n">
        <v>0</v>
      </c>
      <c r="M23" s="18" t="n">
        <v>0</v>
      </c>
      <c r="N23" s="20" t="n">
        <v>0</v>
      </c>
      <c r="O23" s="18" t="n">
        <v>0</v>
      </c>
      <c r="P23" s="20" t="n">
        <v>0</v>
      </c>
      <c r="Q23" s="18" t="n">
        <v>0.43493645</v>
      </c>
      <c r="R23" s="20" t="n">
        <v>0.29947746</v>
      </c>
    </row>
    <row r="24" spans="1:18">
      <c r="A24" s="15" t="s">
        <v>448</v>
      </c>
      <c r="B24" s="17" t="n">
        <v>3338</v>
      </c>
      <c r="C24" s="18">
        <f>(2936.0/B24*100)</f>
        <v/>
      </c>
      <c r="D24" s="19" t="n">
        <v>402</v>
      </c>
      <c r="E24" s="18" t="n">
        <v>26.10029171</v>
      </c>
      <c r="F24" s="20" t="n">
        <v>2.19814118</v>
      </c>
      <c r="G24" s="18" t="n">
        <v>73.20692894</v>
      </c>
      <c r="H24" s="20" t="n">
        <v>2.15388897</v>
      </c>
      <c r="I24" s="18" t="s">
        <v>431</v>
      </c>
      <c r="J24" s="20" t="s">
        <v>431</v>
      </c>
      <c r="K24" s="18" t="n">
        <v>0.2182778</v>
      </c>
      <c r="L24" s="20" t="n">
        <v>0.21696289</v>
      </c>
      <c r="M24" s="18" t="n">
        <v>0</v>
      </c>
      <c r="N24" s="20" t="n">
        <v>0</v>
      </c>
      <c r="O24" s="18" t="n">
        <v>0</v>
      </c>
      <c r="P24" s="20" t="n">
        <v>0</v>
      </c>
      <c r="Q24" s="18" t="n">
        <v>0.47450155</v>
      </c>
      <c r="R24" s="20" t="n">
        <v>0.34574773</v>
      </c>
    </row>
    <row r="25" spans="1:18">
      <c r="A25" s="15" t="s">
        <v>449</v>
      </c>
      <c r="B25" s="17" t="n">
        <v>2912</v>
      </c>
      <c r="C25" s="18">
        <f>(2569.0/B25*100)</f>
        <v/>
      </c>
      <c r="D25" s="19" t="n">
        <v>343</v>
      </c>
      <c r="E25" s="18" t="n">
        <v>21.16285215</v>
      </c>
      <c r="F25" s="20" t="n">
        <v>2.47264089</v>
      </c>
      <c r="G25" s="18" t="n">
        <v>78.83714784999999</v>
      </c>
      <c r="H25" s="20" t="n">
        <v>2.47264089</v>
      </c>
      <c r="I25" s="18" t="s">
        <v>431</v>
      </c>
      <c r="J25" s="20" t="s">
        <v>431</v>
      </c>
      <c r="K25" s="18" t="n">
        <v>0</v>
      </c>
      <c r="L25" s="20" t="n">
        <v>0</v>
      </c>
      <c r="M25" s="18" t="n">
        <v>0</v>
      </c>
      <c r="N25" s="20" t="n">
        <v>0</v>
      </c>
      <c r="O25" s="18" t="n">
        <v>0</v>
      </c>
      <c r="P25" s="20" t="n">
        <v>0</v>
      </c>
      <c r="Q25" s="18" t="n">
        <v>0</v>
      </c>
      <c r="R25" s="20" t="n">
        <v>0</v>
      </c>
    </row>
    <row r="26" spans="1:18">
      <c r="A26" s="15" t="s">
        <v>450</v>
      </c>
      <c r="B26" s="17" t="n">
        <v>2450</v>
      </c>
      <c r="C26" s="18">
        <f>(2136.0/B26*100)</f>
        <v/>
      </c>
      <c r="D26" s="19" t="n">
        <v>314</v>
      </c>
      <c r="E26" s="18" t="n">
        <v>22.29214458</v>
      </c>
      <c r="F26" s="20" t="n">
        <v>2.63343316</v>
      </c>
      <c r="G26" s="18" t="n">
        <v>77.70785542</v>
      </c>
      <c r="H26" s="20" t="n">
        <v>2.63343316</v>
      </c>
      <c r="I26" s="18" t="s">
        <v>431</v>
      </c>
      <c r="J26" s="20" t="s">
        <v>431</v>
      </c>
      <c r="K26" s="18" t="n">
        <v>0</v>
      </c>
      <c r="L26" s="20" t="n">
        <v>0</v>
      </c>
      <c r="M26" s="18" t="n">
        <v>0</v>
      </c>
      <c r="N26" s="20" t="n">
        <v>0</v>
      </c>
      <c r="O26" s="18" t="n">
        <v>0</v>
      </c>
      <c r="P26" s="20" t="n">
        <v>0</v>
      </c>
      <c r="Q26" s="18" t="n">
        <v>0</v>
      </c>
      <c r="R26" s="20" t="n">
        <v>0</v>
      </c>
    </row>
    <row r="27" spans="1:18">
      <c r="A27" s="15" t="s">
        <v>451</v>
      </c>
      <c r="B27" s="17" t="n">
        <v>2616</v>
      </c>
      <c r="C27" s="18">
        <f>(2296.0/B27*100)</f>
        <v/>
      </c>
      <c r="D27" s="19" t="n">
        <v>320</v>
      </c>
      <c r="E27" s="18" t="n">
        <v>25.47974358</v>
      </c>
      <c r="F27" s="20" t="n">
        <v>2.42790551</v>
      </c>
      <c r="G27" s="18" t="n">
        <v>72.99593528</v>
      </c>
      <c r="H27" s="20" t="n">
        <v>2.51631219</v>
      </c>
      <c r="I27" s="18" t="s">
        <v>431</v>
      </c>
      <c r="J27" s="20" t="s">
        <v>431</v>
      </c>
      <c r="K27" s="18" t="n">
        <v>0</v>
      </c>
      <c r="L27" s="20" t="n">
        <v>0</v>
      </c>
      <c r="M27" s="18" t="n">
        <v>0</v>
      </c>
      <c r="N27" s="20" t="n">
        <v>0</v>
      </c>
      <c r="O27" s="18" t="n">
        <v>0</v>
      </c>
      <c r="P27" s="20" t="n">
        <v>0</v>
      </c>
      <c r="Q27" s="18" t="n">
        <v>1.52432114</v>
      </c>
      <c r="R27" s="20" t="n">
        <v>0.63920484</v>
      </c>
    </row>
    <row r="28" spans="1:18">
      <c r="A28" s="15" t="s">
        <v>452</v>
      </c>
      <c r="B28" s="17" t="n">
        <v>3765</v>
      </c>
      <c r="C28" s="18">
        <f>(3299.0/B28*100)</f>
        <v/>
      </c>
      <c r="D28" s="19" t="n">
        <v>466</v>
      </c>
      <c r="E28" s="18" t="n">
        <v>33.28051779</v>
      </c>
      <c r="F28" s="20" t="n">
        <v>2.56900282</v>
      </c>
      <c r="G28" s="18" t="n">
        <v>65.19979892000001</v>
      </c>
      <c r="H28" s="20" t="n">
        <v>2.60691166</v>
      </c>
      <c r="I28" s="18" t="s">
        <v>431</v>
      </c>
      <c r="J28" s="20" t="s">
        <v>431</v>
      </c>
      <c r="K28" s="18" t="n">
        <v>0.76067879</v>
      </c>
      <c r="L28" s="20" t="n">
        <v>0.5340905500000001</v>
      </c>
      <c r="M28" s="18" t="n">
        <v>0</v>
      </c>
      <c r="N28" s="20" t="n">
        <v>0</v>
      </c>
      <c r="O28" s="18" t="n">
        <v>0</v>
      </c>
      <c r="P28" s="20" t="n">
        <v>0</v>
      </c>
      <c r="Q28" s="18" t="n">
        <v>0.75900451</v>
      </c>
      <c r="R28" s="20" t="n">
        <v>0.44097443</v>
      </c>
    </row>
    <row r="29" spans="1:18">
      <c r="A29" s="15" t="s">
        <v>453</v>
      </c>
      <c r="B29" s="17" t="n">
        <v>2685</v>
      </c>
      <c r="C29" s="18">
        <f>(2346.0/B29*100)</f>
        <v/>
      </c>
      <c r="D29" s="19" t="n">
        <v>339</v>
      </c>
      <c r="E29" s="18" t="n">
        <v>16.96624402</v>
      </c>
      <c r="F29" s="20" t="n">
        <v>2.02967408</v>
      </c>
      <c r="G29" s="18" t="n">
        <v>82.54182528</v>
      </c>
      <c r="H29" s="20" t="n">
        <v>2.11342875</v>
      </c>
      <c r="I29" s="18" t="s">
        <v>431</v>
      </c>
      <c r="J29" s="20" t="s">
        <v>431</v>
      </c>
      <c r="K29" s="18" t="n">
        <v>0.17456224</v>
      </c>
      <c r="L29" s="20" t="n">
        <v>0.17548825</v>
      </c>
      <c r="M29" s="18" t="n">
        <v>0</v>
      </c>
      <c r="N29" s="20" t="n">
        <v>0</v>
      </c>
      <c r="O29" s="18" t="n">
        <v>0</v>
      </c>
      <c r="P29" s="20" t="n">
        <v>0</v>
      </c>
      <c r="Q29" s="18" t="n">
        <v>0.31736846</v>
      </c>
      <c r="R29" s="20" t="n">
        <v>0.3003013</v>
      </c>
    </row>
    <row r="30" spans="1:18">
      <c r="A30" s="15" t="s">
        <v>454</v>
      </c>
      <c r="B30" s="17" t="n">
        <v>2263</v>
      </c>
      <c r="C30" s="18">
        <f>(1971.0/B30*100)</f>
        <v/>
      </c>
      <c r="D30" s="19" t="n">
        <v>292</v>
      </c>
      <c r="E30" s="18" t="n">
        <v>17.41415841</v>
      </c>
      <c r="F30" s="20" t="n">
        <v>2.50579183</v>
      </c>
      <c r="G30" s="18" t="n">
        <v>81.45859819</v>
      </c>
      <c r="H30" s="20" t="n">
        <v>2.57318613</v>
      </c>
      <c r="I30" s="18" t="s">
        <v>431</v>
      </c>
      <c r="J30" s="20" t="s">
        <v>431</v>
      </c>
      <c r="K30" s="18" t="n">
        <v>0.27229136</v>
      </c>
      <c r="L30" s="20" t="n">
        <v>0.27358363</v>
      </c>
      <c r="M30" s="18" t="n">
        <v>0</v>
      </c>
      <c r="N30" s="20" t="n">
        <v>0</v>
      </c>
      <c r="O30" s="18" t="n">
        <v>0</v>
      </c>
      <c r="P30" s="20" t="n">
        <v>0</v>
      </c>
      <c r="Q30" s="18" t="n">
        <v>0.85495204</v>
      </c>
      <c r="R30" s="20" t="n">
        <v>0.50656366</v>
      </c>
    </row>
    <row r="31" spans="1:18">
      <c r="A31" s="15" t="s">
        <v>455</v>
      </c>
      <c r="B31" s="17" t="n">
        <v>2750</v>
      </c>
      <c r="C31" s="18">
        <f>(2415.0/B31*100)</f>
        <v/>
      </c>
      <c r="D31" s="19" t="n">
        <v>335</v>
      </c>
      <c r="E31" s="18" t="n">
        <v>13.37503907</v>
      </c>
      <c r="F31" s="20" t="n">
        <v>1.89327778</v>
      </c>
      <c r="G31" s="18" t="n">
        <v>85.48472753</v>
      </c>
      <c r="H31" s="20" t="n">
        <v>2.08360008</v>
      </c>
      <c r="I31" s="18" t="s">
        <v>431</v>
      </c>
      <c r="J31" s="20" t="s">
        <v>431</v>
      </c>
      <c r="K31" s="18" t="n">
        <v>0.29836286</v>
      </c>
      <c r="L31" s="20" t="n">
        <v>0.28835479</v>
      </c>
      <c r="M31" s="18" t="n">
        <v>0</v>
      </c>
      <c r="N31" s="20" t="n">
        <v>0</v>
      </c>
      <c r="O31" s="18" t="n">
        <v>0</v>
      </c>
      <c r="P31" s="20" t="n">
        <v>0</v>
      </c>
      <c r="Q31" s="18" t="n">
        <v>0.8418705399999999</v>
      </c>
      <c r="R31" s="20" t="n">
        <v>0.47230615</v>
      </c>
    </row>
    <row r="32" spans="1:18">
      <c r="A32" s="15" t="s">
        <v>456</v>
      </c>
      <c r="B32" s="17" t="n">
        <v>2269</v>
      </c>
      <c r="C32" s="18">
        <f>(1916.0/B32*100)</f>
        <v/>
      </c>
      <c r="D32" s="19" t="n">
        <v>353</v>
      </c>
      <c r="E32" s="18" t="n">
        <v>21.19487846</v>
      </c>
      <c r="F32" s="20" t="n">
        <v>2.32068193</v>
      </c>
      <c r="G32" s="18" t="n">
        <v>78.80512154</v>
      </c>
      <c r="H32" s="20" t="n">
        <v>2.32068193</v>
      </c>
      <c r="I32" s="18" t="s">
        <v>431</v>
      </c>
      <c r="J32" s="20" t="s">
        <v>431</v>
      </c>
      <c r="K32" s="18" t="n">
        <v>0</v>
      </c>
      <c r="L32" s="20" t="n">
        <v>0</v>
      </c>
      <c r="M32" s="18" t="n">
        <v>0</v>
      </c>
      <c r="N32" s="20" t="n">
        <v>0</v>
      </c>
      <c r="O32" s="18" t="n">
        <v>0</v>
      </c>
      <c r="P32" s="20" t="n">
        <v>0</v>
      </c>
      <c r="Q32" s="18" t="n">
        <v>0</v>
      </c>
      <c r="R32" s="20" t="n">
        <v>0</v>
      </c>
    </row>
    <row r="33" spans="1:18">
      <c r="A33" s="15" t="s">
        <v>457</v>
      </c>
      <c r="B33" s="17" t="n">
        <v>3674</v>
      </c>
      <c r="C33" s="18">
        <f>(3220.0/B33*100)</f>
        <v/>
      </c>
      <c r="D33" s="19" t="n">
        <v>454</v>
      </c>
      <c r="E33" s="18" t="n">
        <v>16.57818404</v>
      </c>
      <c r="F33" s="20" t="n">
        <v>1.86532269</v>
      </c>
      <c r="G33" s="18" t="n">
        <v>82.01272697</v>
      </c>
      <c r="H33" s="20" t="n">
        <v>2.04753552</v>
      </c>
      <c r="I33" s="18" t="s">
        <v>431</v>
      </c>
      <c r="J33" s="20" t="s">
        <v>431</v>
      </c>
      <c r="K33" s="18" t="n">
        <v>0.08325297</v>
      </c>
      <c r="L33" s="20" t="n">
        <v>0.10256617</v>
      </c>
      <c r="M33" s="18" t="n">
        <v>0</v>
      </c>
      <c r="N33" s="20" t="n">
        <v>0</v>
      </c>
      <c r="O33" s="18" t="n">
        <v>0</v>
      </c>
      <c r="P33" s="20" t="n">
        <v>0</v>
      </c>
      <c r="Q33" s="18" t="n">
        <v>1.32583602</v>
      </c>
      <c r="R33" s="20" t="n">
        <v>0.56600781</v>
      </c>
    </row>
    <row r="34" spans="1:18">
      <c r="A34" s="15" t="s">
        <v>458</v>
      </c>
      <c r="B34" s="17" t="n">
        <v>3315</v>
      </c>
      <c r="C34" s="18">
        <f>(2928.0/B34*100)</f>
        <v/>
      </c>
      <c r="D34" s="19" t="n">
        <v>387</v>
      </c>
      <c r="E34" s="18" t="n">
        <v>23.56661847</v>
      </c>
      <c r="F34" s="20" t="n">
        <v>2.66193894</v>
      </c>
      <c r="G34" s="18" t="n">
        <v>75.62890973</v>
      </c>
      <c r="H34" s="20" t="n">
        <v>2.63602151</v>
      </c>
      <c r="I34" s="18" t="s">
        <v>431</v>
      </c>
      <c r="J34" s="20" t="s">
        <v>431</v>
      </c>
      <c r="K34" s="18" t="n">
        <v>0.41521134</v>
      </c>
      <c r="L34" s="20" t="n">
        <v>0.41308552</v>
      </c>
      <c r="M34" s="18" t="n">
        <v>0</v>
      </c>
      <c r="N34" s="20" t="n">
        <v>0</v>
      </c>
      <c r="O34" s="18" t="n">
        <v>0</v>
      </c>
      <c r="P34" s="20" t="n">
        <v>0</v>
      </c>
      <c r="Q34" s="18" t="n">
        <v>0.38926046</v>
      </c>
      <c r="R34" s="20" t="n">
        <v>0.4096347</v>
      </c>
    </row>
    <row r="35" spans="1:18">
      <c r="A35" s="15" t="s">
        <v>459</v>
      </c>
      <c r="B35" s="17" t="n">
        <v>3505</v>
      </c>
      <c r="C35" s="18">
        <f>(3098.0/B35*100)</f>
        <v/>
      </c>
      <c r="D35" s="19" t="n">
        <v>407</v>
      </c>
      <c r="E35" s="18" t="n">
        <v>21.1188907</v>
      </c>
      <c r="F35" s="20" t="n">
        <v>2.24739402</v>
      </c>
      <c r="G35" s="18" t="n">
        <v>77.66274224</v>
      </c>
      <c r="H35" s="20" t="n">
        <v>2.25541198</v>
      </c>
      <c r="I35" s="18" t="s">
        <v>431</v>
      </c>
      <c r="J35" s="20" t="s">
        <v>431</v>
      </c>
      <c r="K35" s="18" t="n">
        <v>0</v>
      </c>
      <c r="L35" s="20" t="n">
        <v>0</v>
      </c>
      <c r="M35" s="18" t="n">
        <v>0</v>
      </c>
      <c r="N35" s="20" t="n">
        <v>0</v>
      </c>
      <c r="O35" s="18" t="n">
        <v>0</v>
      </c>
      <c r="P35" s="20" t="n">
        <v>0</v>
      </c>
      <c r="Q35" s="18" t="n">
        <v>1.21836705</v>
      </c>
      <c r="R35" s="20" t="n">
        <v>0.5745178399999999</v>
      </c>
    </row>
    <row r="36" spans="1:18">
      <c r="A36" s="15" t="s">
        <v>460</v>
      </c>
      <c r="B36" s="17" t="n">
        <v>3332</v>
      </c>
      <c r="C36" s="18">
        <f>(2930.0/B36*100)</f>
        <v/>
      </c>
      <c r="D36" s="19" t="n">
        <v>402</v>
      </c>
      <c r="E36" s="18" t="n">
        <v>19.6295077</v>
      </c>
      <c r="F36" s="20" t="n">
        <v>2.21937149</v>
      </c>
      <c r="G36" s="18" t="n">
        <v>79.84963189</v>
      </c>
      <c r="H36" s="20" t="n">
        <v>2.23262881</v>
      </c>
      <c r="I36" s="18" t="s">
        <v>431</v>
      </c>
      <c r="J36" s="20" t="s">
        <v>431</v>
      </c>
      <c r="K36" s="18" t="n">
        <v>0.27245176</v>
      </c>
      <c r="L36" s="20" t="n">
        <v>0.40143126</v>
      </c>
      <c r="M36" s="18" t="n">
        <v>0</v>
      </c>
      <c r="N36" s="20" t="n">
        <v>0</v>
      </c>
      <c r="O36" s="18" t="n">
        <v>0</v>
      </c>
      <c r="P36" s="20" t="n">
        <v>0</v>
      </c>
      <c r="Q36" s="18" t="n">
        <v>0.24840865</v>
      </c>
      <c r="R36" s="20" t="n">
        <v>0.23552979</v>
      </c>
    </row>
    <row r="37" spans="1:18">
      <c r="A37" s="15" t="s">
        <v>461</v>
      </c>
      <c r="B37" s="17" t="n">
        <v>2727</v>
      </c>
      <c r="C37" s="18">
        <f>(2381.0/B37*100)</f>
        <v/>
      </c>
      <c r="D37" s="19" t="n">
        <v>346</v>
      </c>
      <c r="E37" s="18" t="n">
        <v>13.69884867</v>
      </c>
      <c r="F37" s="20" t="n">
        <v>1.98894663</v>
      </c>
      <c r="G37" s="18" t="n">
        <v>85.32519756000001</v>
      </c>
      <c r="H37" s="20" t="n">
        <v>2.06169643</v>
      </c>
      <c r="I37" s="18" t="s">
        <v>431</v>
      </c>
      <c r="J37" s="20" t="s">
        <v>431</v>
      </c>
      <c r="K37" s="18" t="n">
        <v>0</v>
      </c>
      <c r="L37" s="20" t="n">
        <v>0</v>
      </c>
      <c r="M37" s="18" t="n">
        <v>0</v>
      </c>
      <c r="N37" s="20" t="n">
        <v>0</v>
      </c>
      <c r="O37" s="18" t="n">
        <v>0</v>
      </c>
      <c r="P37" s="20" t="n">
        <v>0</v>
      </c>
      <c r="Q37" s="18" t="n">
        <v>0.9759537700000001</v>
      </c>
      <c r="R37" s="20" t="n">
        <v>0.49614929</v>
      </c>
    </row>
    <row r="38" spans="1:18">
      <c r="A38" s="15" t="s">
        <v>462</v>
      </c>
      <c r="B38" s="17" t="n">
        <v>3053</v>
      </c>
      <c r="C38" s="18">
        <f>(2571.0/B38*100)</f>
        <v/>
      </c>
      <c r="D38" s="19" t="n">
        <v>482</v>
      </c>
      <c r="E38" s="18" t="n">
        <v>22.87879273</v>
      </c>
      <c r="F38" s="20" t="n">
        <v>2.36505697</v>
      </c>
      <c r="G38" s="18" t="n">
        <v>75.80553804</v>
      </c>
      <c r="H38" s="20" t="n">
        <v>2.53665913</v>
      </c>
      <c r="I38" s="18" t="s">
        <v>431</v>
      </c>
      <c r="J38" s="20" t="s">
        <v>431</v>
      </c>
      <c r="K38" s="18" t="n">
        <v>0.59603976</v>
      </c>
      <c r="L38" s="20" t="n">
        <v>0.57661491</v>
      </c>
      <c r="M38" s="18" t="n">
        <v>0</v>
      </c>
      <c r="N38" s="20" t="n">
        <v>0</v>
      </c>
      <c r="O38" s="18" t="n">
        <v>0</v>
      </c>
      <c r="P38" s="20" t="n">
        <v>0</v>
      </c>
      <c r="Q38" s="18" t="n">
        <v>0.71962947</v>
      </c>
      <c r="R38" s="20" t="n">
        <v>0.37772928</v>
      </c>
    </row>
    <row r="39" spans="1:18">
      <c r="A39" s="15" t="s">
        <v>463</v>
      </c>
      <c r="B39" s="17" t="n">
        <v>2957</v>
      </c>
      <c r="C39" s="18">
        <f>(2588.0/B39*100)</f>
        <v/>
      </c>
      <c r="D39" s="19" t="n">
        <v>369</v>
      </c>
      <c r="E39" s="18" t="n">
        <v>33.80467723</v>
      </c>
      <c r="F39" s="20" t="n">
        <v>2.5310712</v>
      </c>
      <c r="G39" s="18" t="n">
        <v>65.76335760000001</v>
      </c>
      <c r="H39" s="20" t="n">
        <v>2.56416932</v>
      </c>
      <c r="I39" s="18" t="s">
        <v>431</v>
      </c>
      <c r="J39" s="20" t="s">
        <v>431</v>
      </c>
      <c r="K39" s="18" t="n">
        <v>0.38124661</v>
      </c>
      <c r="L39" s="20" t="n">
        <v>0.37966924</v>
      </c>
      <c r="M39" s="18" t="n">
        <v>0</v>
      </c>
      <c r="N39" s="20" t="n">
        <v>0</v>
      </c>
      <c r="O39" s="18" t="n">
        <v>0</v>
      </c>
      <c r="P39" s="20" t="n">
        <v>0</v>
      </c>
      <c r="Q39" s="18" t="n">
        <v>0.05071856</v>
      </c>
      <c r="R39" s="20" t="n">
        <v>0.03844349</v>
      </c>
    </row>
    <row r="40" spans="1:18">
      <c r="A40" s="15" t="s">
        <v>464</v>
      </c>
      <c r="B40" s="17" t="n">
        <v>7235</v>
      </c>
      <c r="C40" s="18">
        <f>(6349.0/B40*100)</f>
        <v/>
      </c>
      <c r="D40" s="19" t="n">
        <v>886</v>
      </c>
      <c r="E40" s="18" t="n">
        <v>16.74326138</v>
      </c>
      <c r="F40" s="20" t="n">
        <v>1.89635633</v>
      </c>
      <c r="G40" s="18" t="n">
        <v>82.05525107</v>
      </c>
      <c r="H40" s="20" t="n">
        <v>2.08566196</v>
      </c>
      <c r="I40" s="18" t="s">
        <v>431</v>
      </c>
      <c r="J40" s="20" t="s">
        <v>431</v>
      </c>
      <c r="K40" s="18" t="n">
        <v>0.02615532</v>
      </c>
      <c r="L40" s="20" t="n">
        <v>0.02638565</v>
      </c>
      <c r="M40" s="18" t="n">
        <v>0</v>
      </c>
      <c r="N40" s="20" t="n">
        <v>0</v>
      </c>
      <c r="O40" s="18" t="n">
        <v>0</v>
      </c>
      <c r="P40" s="20" t="n">
        <v>0</v>
      </c>
      <c r="Q40" s="18" t="n">
        <v>1.17533224</v>
      </c>
      <c r="R40" s="20" t="n">
        <v>0.94514086</v>
      </c>
    </row>
    <row r="41" spans="1:18">
      <c r="A41" s="15" t="s">
        <v>465</v>
      </c>
      <c r="B41" s="17" t="n">
        <v>2858</v>
      </c>
      <c r="C41" s="18">
        <f>(2513.0/B41*100)</f>
        <v/>
      </c>
      <c r="D41" s="19" t="n">
        <v>345</v>
      </c>
      <c r="E41" s="18" t="n">
        <v>17.47825444</v>
      </c>
      <c r="F41" s="20" t="n">
        <v>2.02620377</v>
      </c>
      <c r="G41" s="18" t="n">
        <v>81.93326079000001</v>
      </c>
      <c r="H41" s="20" t="n">
        <v>2.08531984</v>
      </c>
      <c r="I41" s="18" t="s">
        <v>431</v>
      </c>
      <c r="J41" s="20" t="s">
        <v>431</v>
      </c>
      <c r="K41" s="18" t="n">
        <v>0</v>
      </c>
      <c r="L41" s="20" t="n">
        <v>0</v>
      </c>
      <c r="M41" s="18" t="n">
        <v>0</v>
      </c>
      <c r="N41" s="20" t="n">
        <v>0</v>
      </c>
      <c r="O41" s="18" t="n">
        <v>0</v>
      </c>
      <c r="P41" s="20" t="n">
        <v>0</v>
      </c>
      <c r="Q41" s="18" t="n">
        <v>0.5884847600000001</v>
      </c>
      <c r="R41" s="20" t="n">
        <v>0.3479186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(9878.0/B46*100)</f>
        <v/>
      </c>
      <c r="D46" s="19" t="n">
        <v>1190</v>
      </c>
      <c r="E46" s="18" t="n">
        <v>40.37837359</v>
      </c>
      <c r="F46" s="20" t="n">
        <v>1.95561004</v>
      </c>
      <c r="G46" s="18" t="n">
        <v>57.45988881</v>
      </c>
      <c r="H46" s="20" t="n">
        <v>2.02703836</v>
      </c>
      <c r="I46" s="18" t="s">
        <v>431</v>
      </c>
      <c r="J46" s="20" t="s">
        <v>431</v>
      </c>
      <c r="K46" s="18" t="n">
        <v>0.99013479</v>
      </c>
      <c r="L46" s="20" t="n">
        <v>0.37078203</v>
      </c>
      <c r="M46" s="18" t="n">
        <v>0</v>
      </c>
      <c r="N46" s="20" t="n">
        <v>0</v>
      </c>
      <c r="O46" s="18" t="n">
        <v>0</v>
      </c>
      <c r="P46" s="20" t="n">
        <v>0</v>
      </c>
      <c r="Q46" s="18" t="n">
        <v>1.17160281</v>
      </c>
      <c r="R46" s="20" t="n">
        <v>0.37614411</v>
      </c>
    </row>
    <row r="47" spans="1:18">
      <c r="A47" s="15" t="s">
        <v>471</v>
      </c>
      <c r="B47" s="17" t="n">
        <v>3105</v>
      </c>
      <c r="C47" s="18">
        <f>(2696.0/B47*100)</f>
        <v/>
      </c>
      <c r="D47" s="19" t="n">
        <v>409</v>
      </c>
      <c r="E47" s="18" t="n">
        <v>32.57004685</v>
      </c>
      <c r="F47" s="20" t="n">
        <v>2.32442342</v>
      </c>
      <c r="G47" s="18" t="n">
        <v>66.44580403000001</v>
      </c>
      <c r="H47" s="20" t="n">
        <v>2.41381961</v>
      </c>
      <c r="I47" s="18" t="s">
        <v>431</v>
      </c>
      <c r="J47" s="20" t="s">
        <v>431</v>
      </c>
      <c r="K47" s="18" t="n">
        <v>0</v>
      </c>
      <c r="L47" s="20" t="n">
        <v>0</v>
      </c>
      <c r="M47" s="18" t="n">
        <v>0</v>
      </c>
      <c r="N47" s="20" t="n">
        <v>0</v>
      </c>
      <c r="O47" s="18" t="n">
        <v>0</v>
      </c>
      <c r="P47" s="20" t="n">
        <v>0</v>
      </c>
      <c r="Q47" s="18" t="n">
        <v>0.98414913</v>
      </c>
      <c r="R47" s="20" t="n">
        <v>0.62290433</v>
      </c>
    </row>
    <row r="48" spans="1:18">
      <c r="A48" s="15" t="s">
        <v>472</v>
      </c>
      <c r="B48" s="17" t="n">
        <v>5159</v>
      </c>
      <c r="C48" s="18">
        <f>(4531.0/B48*100)</f>
        <v/>
      </c>
      <c r="D48" s="19" t="n">
        <v>628</v>
      </c>
      <c r="E48" s="18" t="n">
        <v>25.93328945</v>
      </c>
      <c r="F48" s="20" t="n">
        <v>2.22561696</v>
      </c>
      <c r="G48" s="18" t="n">
        <v>73.70338805</v>
      </c>
      <c r="H48" s="20" t="n">
        <v>2.20106405</v>
      </c>
      <c r="I48" s="18" t="s">
        <v>431</v>
      </c>
      <c r="J48" s="20" t="s">
        <v>431</v>
      </c>
      <c r="K48" s="18" t="n">
        <v>0.3633225</v>
      </c>
      <c r="L48" s="20" t="n">
        <v>0.36291522</v>
      </c>
      <c r="M48" s="18" t="n">
        <v>0</v>
      </c>
      <c r="N48" s="20" t="n">
        <v>0</v>
      </c>
      <c r="O48" s="18" t="n">
        <v>0</v>
      </c>
      <c r="P48" s="20" t="n">
        <v>0</v>
      </c>
      <c r="Q48" s="18" t="n">
        <v>0</v>
      </c>
      <c r="R48" s="20" t="n">
        <v>0</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(4967.0/B50*100)</f>
        <v/>
      </c>
      <c r="D50" s="19" t="n">
        <v>670</v>
      </c>
      <c r="E50" s="18" t="n">
        <v>31.20541548</v>
      </c>
      <c r="F50" s="20" t="n">
        <v>2.56103965</v>
      </c>
      <c r="G50" s="18" t="n">
        <v>65.10792728</v>
      </c>
      <c r="H50" s="20" t="n">
        <v>2.55829266</v>
      </c>
      <c r="I50" s="18" t="s">
        <v>431</v>
      </c>
      <c r="J50" s="20" t="s">
        <v>431</v>
      </c>
      <c r="K50" s="18" t="n">
        <v>1.95715679</v>
      </c>
      <c r="L50" s="20" t="n">
        <v>0.92223255</v>
      </c>
      <c r="M50" s="18" t="n">
        <v>0</v>
      </c>
      <c r="N50" s="20" t="n">
        <v>0</v>
      </c>
      <c r="O50" s="18" t="n">
        <v>0</v>
      </c>
      <c r="P50" s="20" t="n">
        <v>0</v>
      </c>
      <c r="Q50" s="18" t="n">
        <v>1.72950046</v>
      </c>
      <c r="R50" s="20" t="n">
        <v>0.5986421</v>
      </c>
    </row>
    <row r="51" spans="1:18">
      <c r="A51" s="15" t="s">
        <v>475</v>
      </c>
      <c r="B51" s="17" t="n">
        <v>3372</v>
      </c>
      <c r="C51" s="18">
        <f>(3008.0/B51*100)</f>
        <v/>
      </c>
      <c r="D51" s="19" t="n">
        <v>364</v>
      </c>
      <c r="E51" s="18" t="n">
        <v>30.25038285</v>
      </c>
      <c r="F51" s="20" t="n">
        <v>2.55420161</v>
      </c>
      <c r="G51" s="18" t="n">
        <v>68.50721111999999</v>
      </c>
      <c r="H51" s="20" t="n">
        <v>2.51800719</v>
      </c>
      <c r="I51" s="18" t="s">
        <v>431</v>
      </c>
      <c r="J51" s="20" t="s">
        <v>431</v>
      </c>
      <c r="K51" s="18" t="n">
        <v>0.98512401</v>
      </c>
      <c r="L51" s="20" t="n">
        <v>0.4982785</v>
      </c>
      <c r="M51" s="18" t="n">
        <v>0</v>
      </c>
      <c r="N51" s="20" t="n">
        <v>0</v>
      </c>
      <c r="O51" s="18" t="n">
        <v>0</v>
      </c>
      <c r="P51" s="20" t="n">
        <v>0</v>
      </c>
      <c r="Q51" s="18" t="n">
        <v>0.25728202</v>
      </c>
      <c r="R51" s="20" t="n">
        <v>0.18700491</v>
      </c>
    </row>
    <row r="52" spans="1:18">
      <c r="A52" s="15" t="s">
        <v>476</v>
      </c>
      <c r="B52" s="17" t="n">
        <v>2796</v>
      </c>
      <c r="C52" s="18">
        <f>(2429.0/B52*100)</f>
        <v/>
      </c>
      <c r="D52" s="19" t="n">
        <v>367</v>
      </c>
      <c r="E52" s="18" t="n">
        <v>25.5308954</v>
      </c>
      <c r="F52" s="20" t="n">
        <v>2.01261497</v>
      </c>
      <c r="G52" s="18" t="n">
        <v>73.25217993</v>
      </c>
      <c r="H52" s="20" t="n">
        <v>2.0803887</v>
      </c>
      <c r="I52" s="18" t="s">
        <v>431</v>
      </c>
      <c r="J52" s="20" t="s">
        <v>431</v>
      </c>
      <c r="K52" s="18" t="n">
        <v>0</v>
      </c>
      <c r="L52" s="20" t="n">
        <v>0</v>
      </c>
      <c r="M52" s="18" t="n">
        <v>0</v>
      </c>
      <c r="N52" s="20" t="n">
        <v>0</v>
      </c>
      <c r="O52" s="18" t="n">
        <v>0</v>
      </c>
      <c r="P52" s="20" t="n">
        <v>0</v>
      </c>
      <c r="Q52" s="18" t="n">
        <v>1.21692467</v>
      </c>
      <c r="R52" s="20" t="n">
        <v>0.55904248</v>
      </c>
    </row>
    <row r="53" spans="1:18">
      <c r="A53" s="15" t="s">
        <v>477</v>
      </c>
      <c r="B53" s="17" t="n">
        <v>2811</v>
      </c>
      <c r="C53" s="18">
        <f>(2480.0/B53*100)</f>
        <v/>
      </c>
      <c r="D53" s="19" t="n">
        <v>331</v>
      </c>
      <c r="E53" s="18" t="n">
        <v>38.9322937</v>
      </c>
      <c r="F53" s="20" t="n">
        <v>2.70259859</v>
      </c>
      <c r="G53" s="18" t="n">
        <v>58.67332569</v>
      </c>
      <c r="H53" s="20" t="n">
        <v>2.72240227</v>
      </c>
      <c r="I53" s="18" t="s">
        <v>431</v>
      </c>
      <c r="J53" s="20" t="s">
        <v>431</v>
      </c>
      <c r="K53" s="18" t="n">
        <v>0</v>
      </c>
      <c r="L53" s="20" t="n">
        <v>0</v>
      </c>
      <c r="M53" s="18" t="n">
        <v>0</v>
      </c>
      <c r="N53" s="20" t="n">
        <v>0</v>
      </c>
      <c r="O53" s="18" t="n">
        <v>0</v>
      </c>
      <c r="P53" s="20" t="n">
        <v>0</v>
      </c>
      <c r="Q53" s="18" t="n">
        <v>2.39438061</v>
      </c>
      <c r="R53" s="20" t="n">
        <v>0.73715582</v>
      </c>
    </row>
    <row r="54" spans="1:18">
      <c r="A54" s="15" t="s">
        <v>478</v>
      </c>
      <c r="B54" s="17" t="n">
        <v>2266</v>
      </c>
      <c r="C54" s="18">
        <f>(1880.0/B54*100)</f>
        <v/>
      </c>
      <c r="D54" s="19" t="n">
        <v>386</v>
      </c>
      <c r="E54" s="18" t="n">
        <v>39.88644503</v>
      </c>
      <c r="F54" s="20" t="n">
        <v>2.70954579</v>
      </c>
      <c r="G54" s="18" t="n">
        <v>45.57346329</v>
      </c>
      <c r="H54" s="20" t="n">
        <v>2.81817198</v>
      </c>
      <c r="I54" s="18" t="s">
        <v>431</v>
      </c>
      <c r="J54" s="20" t="s">
        <v>431</v>
      </c>
      <c r="K54" s="18" t="n">
        <v>11.43963795</v>
      </c>
      <c r="L54" s="20" t="n">
        <v>1.7334131</v>
      </c>
      <c r="M54" s="18" t="n">
        <v>0</v>
      </c>
      <c r="N54" s="20" t="n">
        <v>0</v>
      </c>
      <c r="O54" s="18" t="n">
        <v>0</v>
      </c>
      <c r="P54" s="20" t="n">
        <v>0</v>
      </c>
      <c r="Q54" s="18" t="n">
        <v>3.10045372</v>
      </c>
      <c r="R54" s="20" t="n">
        <v>1.03066779</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(2345.0/B56*100)</f>
        <v/>
      </c>
      <c r="D56" s="19" t="n">
        <v>339</v>
      </c>
      <c r="E56" s="18" t="n">
        <v>16.71856362</v>
      </c>
      <c r="F56" s="20" t="n">
        <v>2.18097716</v>
      </c>
      <c r="G56" s="18" t="n">
        <v>82.31701957</v>
      </c>
      <c r="H56" s="20" t="n">
        <v>2.25956285</v>
      </c>
      <c r="I56" s="18" t="s">
        <v>431</v>
      </c>
      <c r="J56" s="20" t="s">
        <v>431</v>
      </c>
      <c r="K56" s="18" t="n">
        <v>0.65865787</v>
      </c>
      <c r="L56" s="20" t="n">
        <v>0.48570642</v>
      </c>
      <c r="M56" s="18" t="n">
        <v>0</v>
      </c>
      <c r="N56" s="20" t="n">
        <v>0</v>
      </c>
      <c r="O56" s="18" t="n">
        <v>0</v>
      </c>
      <c r="P56" s="20" t="n">
        <v>0</v>
      </c>
      <c r="Q56" s="18" t="n">
        <v>0.30575894</v>
      </c>
      <c r="R56" s="20" t="n">
        <v>0.30006424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(2922.0/B61*100)</f>
        <v/>
      </c>
      <c r="D61" s="19" t="n">
        <v>402</v>
      </c>
      <c r="E61" s="18" t="n">
        <v>19.5214165</v>
      </c>
      <c r="F61" s="20" t="n">
        <v>2.0982038</v>
      </c>
      <c r="G61" s="18" t="n">
        <v>79.71210137</v>
      </c>
      <c r="H61" s="20" t="n">
        <v>2.17433631</v>
      </c>
      <c r="I61" s="18" t="s">
        <v>431</v>
      </c>
      <c r="J61" s="20" t="s">
        <v>431</v>
      </c>
      <c r="K61" s="18" t="n">
        <v>0</v>
      </c>
      <c r="L61" s="20" t="n">
        <v>0</v>
      </c>
      <c r="M61" s="18" t="n">
        <v>0</v>
      </c>
      <c r="N61" s="20" t="n">
        <v>0</v>
      </c>
      <c r="O61" s="18" t="n">
        <v>0</v>
      </c>
      <c r="P61" s="20" t="n">
        <v>0</v>
      </c>
      <c r="Q61" s="18" t="n">
        <v>0.76648213</v>
      </c>
      <c r="R61" s="20" t="n">
        <v>0.4216711</v>
      </c>
    </row>
    <row r="62" spans="1:18">
      <c r="A62" s="15" t="s">
        <v>486</v>
      </c>
      <c r="B62" s="17" t="n">
        <v>2246</v>
      </c>
      <c r="C62" s="18">
        <f>(1978.0/B62*100)</f>
        <v/>
      </c>
      <c r="D62" s="19" t="n">
        <v>268</v>
      </c>
      <c r="E62" s="18" t="n">
        <v>18.99368932</v>
      </c>
      <c r="F62" s="20" t="n">
        <v>2.36045882</v>
      </c>
      <c r="G62" s="18" t="n">
        <v>80.62332206000001</v>
      </c>
      <c r="H62" s="20" t="n">
        <v>2.3483483</v>
      </c>
      <c r="I62" s="18" t="s">
        <v>431</v>
      </c>
      <c r="J62" s="20" t="s">
        <v>431</v>
      </c>
      <c r="K62" s="18" t="n">
        <v>0</v>
      </c>
      <c r="L62" s="20" t="n">
        <v>0</v>
      </c>
      <c r="M62" s="18" t="n">
        <v>0</v>
      </c>
      <c r="N62" s="20" t="n">
        <v>0</v>
      </c>
      <c r="O62" s="18" t="n">
        <v>0</v>
      </c>
      <c r="P62" s="20" t="n">
        <v>0</v>
      </c>
      <c r="Q62" s="18" t="n">
        <v>0.38298862</v>
      </c>
      <c r="R62" s="20" t="n">
        <v>0.39021433</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(2546.0/B66*100)</f>
        <v/>
      </c>
      <c r="D66" s="19" t="n">
        <v>348</v>
      </c>
      <c r="E66" s="18" t="n">
        <v>28.4183893</v>
      </c>
      <c r="F66" s="20" t="n">
        <v>2.6179077</v>
      </c>
      <c r="G66" s="18" t="n">
        <v>68.02297059</v>
      </c>
      <c r="H66" s="20" t="n">
        <v>2.79955465</v>
      </c>
      <c r="I66" s="18" t="s">
        <v>431</v>
      </c>
      <c r="J66" s="20" t="s">
        <v>431</v>
      </c>
      <c r="K66" s="18" t="n">
        <v>0</v>
      </c>
      <c r="L66" s="20" t="n">
        <v>0</v>
      </c>
      <c r="M66" s="18" t="n">
        <v>0</v>
      </c>
      <c r="N66" s="20" t="n">
        <v>0</v>
      </c>
      <c r="O66" s="18" t="n">
        <v>0</v>
      </c>
      <c r="P66" s="20" t="n">
        <v>0</v>
      </c>
      <c r="Q66" s="18" t="n">
        <v>3.55864011</v>
      </c>
      <c r="R66" s="20" t="n">
        <v>0.99096552</v>
      </c>
    </row>
    <row r="67" spans="1:18">
      <c r="A67" s="15" t="s">
        <v>491</v>
      </c>
      <c r="B67" s="17" t="n">
        <v>3511</v>
      </c>
      <c r="C67" s="18">
        <f>(3097.0/B67*100)</f>
        <v/>
      </c>
      <c r="D67" s="19" t="n">
        <v>414</v>
      </c>
      <c r="E67" s="18" t="n">
        <v>47.35912394</v>
      </c>
      <c r="F67" s="20" t="n">
        <v>2.77898364</v>
      </c>
      <c r="G67" s="18" t="n">
        <v>52.06425992</v>
      </c>
      <c r="H67" s="20" t="n">
        <v>2.79747742</v>
      </c>
      <c r="I67" s="18" t="s">
        <v>431</v>
      </c>
      <c r="J67" s="20" t="s">
        <v>431</v>
      </c>
      <c r="K67" s="18" t="n">
        <v>0.16734306</v>
      </c>
      <c r="L67" s="20" t="n">
        <v>0.16562232</v>
      </c>
      <c r="M67" s="18" t="n">
        <v>0</v>
      </c>
      <c r="N67" s="20" t="n">
        <v>0</v>
      </c>
      <c r="O67" s="18" t="n">
        <v>0</v>
      </c>
      <c r="P67" s="20" t="n">
        <v>0</v>
      </c>
      <c r="Q67" s="18" t="n">
        <v>0.40927308</v>
      </c>
      <c r="R67" s="20" t="n">
        <v>0.28783772</v>
      </c>
    </row>
    <row r="68" spans="1:18">
      <c r="A68" s="15" t="s">
        <v>492</v>
      </c>
      <c r="B68" s="17" t="n">
        <v>6049</v>
      </c>
      <c r="C68" s="18">
        <f>(5045.0/B68*100)</f>
        <v/>
      </c>
      <c r="D68" s="19" t="n">
        <v>1004</v>
      </c>
      <c r="E68" s="18" t="n">
        <v>38.14396036</v>
      </c>
      <c r="F68" s="20" t="n">
        <v>1.35327714</v>
      </c>
      <c r="G68" s="18" t="n">
        <v>55.81452457</v>
      </c>
      <c r="H68" s="20" t="n">
        <v>1.42494914</v>
      </c>
      <c r="I68" s="18" t="s">
        <v>431</v>
      </c>
      <c r="J68" s="20" t="s">
        <v>431</v>
      </c>
      <c r="K68" s="18" t="n">
        <v>2.38124103</v>
      </c>
      <c r="L68" s="20" t="n">
        <v>0.53670796</v>
      </c>
      <c r="M68" s="18" t="n">
        <v>0</v>
      </c>
      <c r="N68" s="20" t="n">
        <v>0</v>
      </c>
      <c r="O68" s="18" t="n">
        <v>0</v>
      </c>
      <c r="P68" s="20" t="n">
        <v>0</v>
      </c>
      <c r="Q68" s="18" t="n">
        <v>3.66027404</v>
      </c>
      <c r="R68" s="20" t="n">
        <v>0.54709369</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(2562.0/B70*100)</f>
        <v/>
      </c>
      <c r="D70" s="19" t="n">
        <v>367</v>
      </c>
      <c r="E70" s="18" t="n">
        <v>26.22087165</v>
      </c>
      <c r="F70" s="20" t="n">
        <v>2.6935136</v>
      </c>
      <c r="G70" s="18" t="n">
        <v>72.26394956</v>
      </c>
      <c r="H70" s="20" t="n">
        <v>2.76448046</v>
      </c>
      <c r="I70" s="18" t="s">
        <v>431</v>
      </c>
      <c r="J70" s="20" t="s">
        <v>431</v>
      </c>
      <c r="K70" s="18" t="n">
        <v>0</v>
      </c>
      <c r="L70" s="20" t="n">
        <v>0</v>
      </c>
      <c r="M70" s="18" t="n">
        <v>0</v>
      </c>
      <c r="N70" s="20" t="n">
        <v>0</v>
      </c>
      <c r="O70" s="18" t="n">
        <v>0</v>
      </c>
      <c r="P70" s="20" t="n">
        <v>0</v>
      </c>
      <c r="Q70" s="18" t="n">
        <v>1.51517879</v>
      </c>
      <c r="R70" s="20" t="n">
        <v>1.07765281</v>
      </c>
    </row>
    <row r="71" spans="1:18">
      <c r="A71" s="15" t="s">
        <v>495</v>
      </c>
      <c r="B71" s="17" t="n">
        <v>3142</v>
      </c>
      <c r="C71" s="18">
        <f>(2758.0/B71*100)</f>
        <v/>
      </c>
      <c r="D71" s="19" t="n">
        <v>384</v>
      </c>
      <c r="E71" s="18" t="n">
        <v>14.13977061</v>
      </c>
      <c r="F71" s="20" t="n">
        <v>2.03451032</v>
      </c>
      <c r="G71" s="18" t="n">
        <v>85.41972208</v>
      </c>
      <c r="H71" s="20" t="n">
        <v>2.02031797</v>
      </c>
      <c r="I71" s="18" t="s">
        <v>431</v>
      </c>
      <c r="J71" s="20" t="s">
        <v>431</v>
      </c>
      <c r="K71" s="18" t="n">
        <v>0</v>
      </c>
      <c r="L71" s="20" t="n">
        <v>0</v>
      </c>
      <c r="M71" s="18" t="n">
        <v>0</v>
      </c>
      <c r="N71" s="20" t="n">
        <v>0</v>
      </c>
      <c r="O71" s="18" t="n">
        <v>0</v>
      </c>
      <c r="P71" s="20" t="n">
        <v>0</v>
      </c>
      <c r="Q71" s="18" t="n">
        <v>0.44050731</v>
      </c>
      <c r="R71" s="20" t="n">
        <v>0.28437249</v>
      </c>
    </row>
    <row r="72" spans="1:18">
      <c r="A72" s="15" t="s">
        <v>496</v>
      </c>
      <c r="B72" s="17" t="n">
        <v>3889</v>
      </c>
      <c r="C72" s="18">
        <f>(3397.0/B72*100)</f>
        <v/>
      </c>
      <c r="D72" s="19" t="n">
        <v>492</v>
      </c>
      <c r="E72" s="18" t="n">
        <v>24.81409916</v>
      </c>
      <c r="F72" s="20" t="n">
        <v>2.07821983</v>
      </c>
      <c r="G72" s="18" t="n">
        <v>75.04499927000001</v>
      </c>
      <c r="H72" s="20" t="n">
        <v>2.07150693</v>
      </c>
      <c r="I72" s="18" t="s">
        <v>431</v>
      </c>
      <c r="J72" s="20" t="s">
        <v>431</v>
      </c>
      <c r="K72" s="18" t="n">
        <v>0.14090157</v>
      </c>
      <c r="L72" s="20" t="n">
        <v>0.14368853</v>
      </c>
      <c r="M72" s="18" t="n">
        <v>0</v>
      </c>
      <c r="N72" s="20" t="n">
        <v>0</v>
      </c>
      <c r="O72" s="18" t="n">
        <v>0</v>
      </c>
      <c r="P72" s="20" t="n">
        <v>0</v>
      </c>
      <c r="Q72" s="18" t="n">
        <v>0</v>
      </c>
      <c r="R72" s="20" t="n">
        <v>0</v>
      </c>
    </row>
    <row r="73" spans="1:18">
      <c r="A73" s="15" t="s">
        <v>497</v>
      </c>
      <c r="B73" s="17" t="n">
        <v>3597</v>
      </c>
      <c r="C73" s="18">
        <f>(3188.0/B73*100)</f>
        <v/>
      </c>
      <c r="D73" s="19" t="n">
        <v>409</v>
      </c>
      <c r="E73" s="18" t="n">
        <v>37.95667172</v>
      </c>
      <c r="F73" s="20" t="n">
        <v>3.52694924</v>
      </c>
      <c r="G73" s="18" t="n">
        <v>60.97896163</v>
      </c>
      <c r="H73" s="20" t="n">
        <v>3.54867799</v>
      </c>
      <c r="I73" s="18" t="s">
        <v>431</v>
      </c>
      <c r="J73" s="20" t="s">
        <v>431</v>
      </c>
      <c r="K73" s="18" t="n">
        <v>0</v>
      </c>
      <c r="L73" s="20" t="n">
        <v>0</v>
      </c>
      <c r="M73" s="18" t="n">
        <v>0</v>
      </c>
      <c r="N73" s="20" t="n">
        <v>0</v>
      </c>
      <c r="O73" s="18" t="n">
        <v>0</v>
      </c>
      <c r="P73" s="20" t="n">
        <v>0</v>
      </c>
      <c r="Q73" s="18" t="n">
        <v>1.06436665</v>
      </c>
      <c r="R73" s="20" t="n">
        <v>0.604332</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(2136.0/B75*100)</f>
        <v/>
      </c>
      <c r="D75" s="19" t="n">
        <v>270</v>
      </c>
      <c r="E75" s="18" t="n">
        <v>39.37828521</v>
      </c>
      <c r="F75" s="20" t="n">
        <v>3.22890342</v>
      </c>
      <c r="G75" s="18" t="n">
        <v>53.77496838</v>
      </c>
      <c r="H75" s="20" t="n">
        <v>3.42587957</v>
      </c>
      <c r="I75" s="18" t="s">
        <v>431</v>
      </c>
      <c r="J75" s="20" t="s">
        <v>431</v>
      </c>
      <c r="K75" s="18" t="n">
        <v>3.84981959</v>
      </c>
      <c r="L75" s="20" t="n">
        <v>1.15792974</v>
      </c>
      <c r="M75" s="18" t="n">
        <v>0</v>
      </c>
      <c r="N75" s="20" t="n">
        <v>0</v>
      </c>
      <c r="O75" s="18" t="n">
        <v>0</v>
      </c>
      <c r="P75" s="20" t="n">
        <v>0</v>
      </c>
      <c r="Q75" s="18" t="n">
        <v>2.99692682</v>
      </c>
      <c r="R75" s="20" t="n">
        <v>1.16613517</v>
      </c>
    </row>
    <row r="76" spans="1:18">
      <c r="A76" s="15" t="s">
        <v>500</v>
      </c>
      <c r="B76" s="17" t="n">
        <v>7052</v>
      </c>
      <c r="C76" s="18">
        <f>(6201.0/B76*100)</f>
        <v/>
      </c>
      <c r="D76" s="19" t="n">
        <v>851</v>
      </c>
      <c r="E76" s="18" t="n">
        <v>37.35703479</v>
      </c>
      <c r="F76" s="20" t="n">
        <v>2.15971543</v>
      </c>
      <c r="G76" s="18" t="n">
        <v>59.78448082</v>
      </c>
      <c r="H76" s="20" t="n">
        <v>2.1873096</v>
      </c>
      <c r="I76" s="18" t="s">
        <v>431</v>
      </c>
      <c r="J76" s="20" t="s">
        <v>431</v>
      </c>
      <c r="K76" s="18" t="n">
        <v>0.67399256</v>
      </c>
      <c r="L76" s="20" t="n">
        <v>0.33117698</v>
      </c>
      <c r="M76" s="18" t="n">
        <v>0</v>
      </c>
      <c r="N76" s="20" t="n">
        <v>0</v>
      </c>
      <c r="O76" s="18" t="n">
        <v>0</v>
      </c>
      <c r="P76" s="20" t="n">
        <v>0</v>
      </c>
      <c r="Q76" s="18" t="n">
        <v>2.18449182</v>
      </c>
      <c r="R76" s="20" t="n">
        <v>0.55519792</v>
      </c>
    </row>
    <row r="77" spans="1:18">
      <c r="A77" s="15" t="s">
        <v>501</v>
      </c>
      <c r="B77" s="17" t="n">
        <v>2908</v>
      </c>
      <c r="C77" s="18">
        <f>(2557.0/B77*100)</f>
        <v/>
      </c>
      <c r="D77" s="19" t="n">
        <v>351</v>
      </c>
      <c r="E77" s="18" t="n">
        <v>30.47005144</v>
      </c>
      <c r="F77" s="20" t="n">
        <v>2.38464267</v>
      </c>
      <c r="G77" s="18" t="n">
        <v>67.80075875999999</v>
      </c>
      <c r="H77" s="20" t="n">
        <v>2.42115473</v>
      </c>
      <c r="I77" s="18" t="s">
        <v>431</v>
      </c>
      <c r="J77" s="20" t="s">
        <v>431</v>
      </c>
      <c r="K77" s="18" t="n">
        <v>0.54855297</v>
      </c>
      <c r="L77" s="20" t="n">
        <v>0.38798918</v>
      </c>
      <c r="M77" s="18" t="n">
        <v>0</v>
      </c>
      <c r="N77" s="20" t="n">
        <v>0</v>
      </c>
      <c r="O77" s="18" t="n">
        <v>0</v>
      </c>
      <c r="P77" s="20" t="n">
        <v>0</v>
      </c>
      <c r="Q77" s="18" t="n">
        <v>1.18063683</v>
      </c>
      <c r="R77" s="20" t="n">
        <v>0.64790767</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(3628.0/B81*100)</f>
        <v/>
      </c>
      <c r="D81" s="19" t="n">
        <v>535</v>
      </c>
      <c r="E81" s="18" t="n">
        <v>45.71710859</v>
      </c>
      <c r="F81" s="20" t="n">
        <v>2.85527056</v>
      </c>
      <c r="G81" s="18" t="n">
        <v>53.75028935</v>
      </c>
      <c r="H81" s="20" t="n">
        <v>2.80309795</v>
      </c>
      <c r="I81" s="18" t="s">
        <v>431</v>
      </c>
      <c r="J81" s="20" t="s">
        <v>431</v>
      </c>
      <c r="K81" s="18" t="n">
        <v>0</v>
      </c>
      <c r="L81" s="20" t="n">
        <v>0</v>
      </c>
      <c r="M81" s="18" t="n">
        <v>0</v>
      </c>
      <c r="N81" s="20" t="n">
        <v>0</v>
      </c>
      <c r="O81" s="18" t="n">
        <v>0</v>
      </c>
      <c r="P81" s="20" t="n">
        <v>0</v>
      </c>
      <c r="Q81" s="18" t="n">
        <v>0.53260207</v>
      </c>
      <c r="R81" s="20" t="n">
        <v>0.37595601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(6457.0/B7*100)</f>
        <v/>
      </c>
      <c r="D7" s="19" t="n">
        <v>910</v>
      </c>
      <c r="E7" s="18" t="n">
        <v>29.69726993</v>
      </c>
      <c r="F7" s="20" t="n">
        <v>1.80279334</v>
      </c>
      <c r="G7" s="18" t="n">
        <v>63.78066941</v>
      </c>
      <c r="H7" s="20" t="n">
        <v>1.93492409</v>
      </c>
      <c r="I7" s="18" t="s">
        <v>431</v>
      </c>
      <c r="J7" s="20" t="s">
        <v>431</v>
      </c>
      <c r="K7" s="18" t="n">
        <v>0.3626873</v>
      </c>
      <c r="L7" s="20" t="n">
        <v>0.25430642</v>
      </c>
      <c r="M7" s="18" t="n">
        <v>0.0520615</v>
      </c>
      <c r="N7" s="20" t="n">
        <v>0.04049837</v>
      </c>
      <c r="O7" s="18" t="n">
        <v>0</v>
      </c>
      <c r="P7" s="20" t="n">
        <v>0</v>
      </c>
      <c r="Q7" s="18" t="n">
        <v>6.10731186</v>
      </c>
      <c r="R7" s="20" t="n">
        <v>0.9528175</v>
      </c>
    </row>
    <row r="8" spans="1:18">
      <c r="A8" s="15" t="s">
        <v>432</v>
      </c>
      <c r="B8" s="17" t="n">
        <v>3564</v>
      </c>
      <c r="C8" s="18">
        <f>(3139.0/B8*100)</f>
        <v/>
      </c>
      <c r="D8" s="19" t="n">
        <v>425</v>
      </c>
      <c r="E8" s="18" t="n">
        <v>34.88195634</v>
      </c>
      <c r="F8" s="20" t="n">
        <v>2.52054655</v>
      </c>
      <c r="G8" s="18" t="n">
        <v>51.07851155</v>
      </c>
      <c r="H8" s="20" t="n">
        <v>2.44905593</v>
      </c>
      <c r="I8" s="18" t="s">
        <v>431</v>
      </c>
      <c r="J8" s="20" t="s">
        <v>431</v>
      </c>
      <c r="K8" s="18" t="n">
        <v>0</v>
      </c>
      <c r="L8" s="20" t="n">
        <v>0</v>
      </c>
      <c r="M8" s="18" t="n">
        <v>0</v>
      </c>
      <c r="N8" s="20" t="n">
        <v>0</v>
      </c>
      <c r="O8" s="18" t="n">
        <v>0</v>
      </c>
      <c r="P8" s="20" t="n">
        <v>0</v>
      </c>
      <c r="Q8" s="18" t="n">
        <v>14.03953211</v>
      </c>
      <c r="R8" s="20" t="n">
        <v>1.48121497</v>
      </c>
    </row>
    <row r="9" spans="1:18">
      <c r="A9" s="15" t="s">
        <v>433</v>
      </c>
      <c r="B9" s="17" t="n">
        <v>4899</v>
      </c>
      <c r="C9" s="18">
        <f>(4324.0/B9*100)</f>
        <v/>
      </c>
      <c r="D9" s="19" t="n">
        <v>575</v>
      </c>
      <c r="E9" s="18" t="n">
        <v>28.91382541</v>
      </c>
      <c r="F9" s="20" t="n">
        <v>2.15971352</v>
      </c>
      <c r="G9" s="18" t="n">
        <v>62.32588045</v>
      </c>
      <c r="H9" s="20" t="n">
        <v>1.99413128</v>
      </c>
      <c r="I9" s="18" t="s">
        <v>431</v>
      </c>
      <c r="J9" s="20" t="s">
        <v>431</v>
      </c>
      <c r="K9" s="18" t="n">
        <v>0</v>
      </c>
      <c r="L9" s="20" t="n">
        <v>0</v>
      </c>
      <c r="M9" s="18" t="n">
        <v>0.12749565</v>
      </c>
      <c r="N9" s="20" t="n">
        <v>0.12981607</v>
      </c>
      <c r="O9" s="18" t="n">
        <v>0</v>
      </c>
      <c r="P9" s="20" t="n">
        <v>0</v>
      </c>
      <c r="Q9" s="18" t="n">
        <v>8.632798490000001</v>
      </c>
      <c r="R9" s="20" t="n">
        <v>1.18131878</v>
      </c>
    </row>
    <row r="10" spans="1:18">
      <c r="A10" s="15" t="s">
        <v>434</v>
      </c>
      <c r="B10" s="17" t="n">
        <v>10036</v>
      </c>
      <c r="C10" s="18">
        <f>(8785.0/B10*100)</f>
        <v/>
      </c>
      <c r="D10" s="19" t="n">
        <v>1251</v>
      </c>
      <c r="E10" s="18" t="n">
        <v>25.55608759</v>
      </c>
      <c r="F10" s="20" t="n">
        <v>1.67942977</v>
      </c>
      <c r="G10" s="18" t="n">
        <v>70.5535311</v>
      </c>
      <c r="H10" s="20" t="n">
        <v>1.67858415</v>
      </c>
      <c r="I10" s="18" t="s">
        <v>431</v>
      </c>
      <c r="J10" s="20" t="s">
        <v>431</v>
      </c>
      <c r="K10" s="18" t="n">
        <v>0.43665753</v>
      </c>
      <c r="L10" s="20" t="n">
        <v>0.275446</v>
      </c>
      <c r="M10" s="18" t="n">
        <v>0</v>
      </c>
      <c r="N10" s="20" t="n">
        <v>0</v>
      </c>
      <c r="O10" s="18" t="n">
        <v>0</v>
      </c>
      <c r="P10" s="20" t="n">
        <v>0</v>
      </c>
      <c r="Q10" s="18" t="n">
        <v>3.45372378</v>
      </c>
      <c r="R10" s="20" t="n">
        <v>0.68134817</v>
      </c>
    </row>
    <row r="11" spans="1:18">
      <c r="A11" s="15" t="s">
        <v>435</v>
      </c>
      <c r="B11" s="17" t="n">
        <v>3553</v>
      </c>
      <c r="C11" s="18">
        <f>(3127.0/B11*100)</f>
        <v/>
      </c>
      <c r="D11" s="19" t="n">
        <v>426</v>
      </c>
      <c r="E11" s="18" t="n">
        <v>37.34897802</v>
      </c>
      <c r="F11" s="20" t="n">
        <v>3.22886828</v>
      </c>
      <c r="G11" s="18" t="n">
        <v>50.81374136</v>
      </c>
      <c r="H11" s="20" t="n">
        <v>2.8662268</v>
      </c>
      <c r="I11" s="18" t="s">
        <v>431</v>
      </c>
      <c r="J11" s="20" t="s">
        <v>431</v>
      </c>
      <c r="K11" s="18" t="n">
        <v>0.73684282</v>
      </c>
      <c r="L11" s="20" t="n">
        <v>0.52230023</v>
      </c>
      <c r="M11" s="18" t="n">
        <v>0</v>
      </c>
      <c r="N11" s="20" t="n">
        <v>0</v>
      </c>
      <c r="O11" s="18" t="n">
        <v>0</v>
      </c>
      <c r="P11" s="20" t="n">
        <v>0</v>
      </c>
      <c r="Q11" s="18" t="n">
        <v>11.10043781</v>
      </c>
      <c r="R11" s="20" t="n">
        <v>1.9841009</v>
      </c>
    </row>
    <row r="12" spans="1:18">
      <c r="A12" s="15" t="s">
        <v>436</v>
      </c>
      <c r="B12" s="17" t="n">
        <v>3472</v>
      </c>
      <c r="C12" s="18">
        <f>(3061.0/B12*100)</f>
        <v/>
      </c>
      <c r="D12" s="19" t="n">
        <v>411</v>
      </c>
      <c r="E12" s="18" t="n">
        <v>19.25061783</v>
      </c>
      <c r="F12" s="20" t="n">
        <v>2.35142371</v>
      </c>
      <c r="G12" s="18" t="n">
        <v>61.69283224</v>
      </c>
      <c r="H12" s="20" t="n">
        <v>2.72701456</v>
      </c>
      <c r="I12" s="18" t="s">
        <v>431</v>
      </c>
      <c r="J12" s="20" t="s">
        <v>431</v>
      </c>
      <c r="K12" s="18" t="n">
        <v>0</v>
      </c>
      <c r="L12" s="20" t="n">
        <v>0</v>
      </c>
      <c r="M12" s="18" t="n">
        <v>0</v>
      </c>
      <c r="N12" s="20" t="n">
        <v>0</v>
      </c>
      <c r="O12" s="18" t="n">
        <v>0</v>
      </c>
      <c r="P12" s="20" t="n">
        <v>0</v>
      </c>
      <c r="Q12" s="18" t="n">
        <v>19.05654993</v>
      </c>
      <c r="R12" s="20" t="n">
        <v>2.1451067</v>
      </c>
    </row>
    <row r="13" spans="1:18">
      <c r="A13" s="15" t="s">
        <v>437</v>
      </c>
      <c r="B13" s="17" t="n">
        <v>3559</v>
      </c>
      <c r="C13" s="18">
        <f>(3153.0/B13*100)</f>
        <v/>
      </c>
      <c r="D13" s="19" t="n">
        <v>406</v>
      </c>
      <c r="E13" s="18" t="n">
        <v>22.48996311</v>
      </c>
      <c r="F13" s="20" t="n">
        <v>2.41114891</v>
      </c>
      <c r="G13" s="18" t="n">
        <v>72.13068862999999</v>
      </c>
      <c r="H13" s="20" t="n">
        <v>2.74147893</v>
      </c>
      <c r="I13" s="18" t="s">
        <v>431</v>
      </c>
      <c r="J13" s="20" t="s">
        <v>431</v>
      </c>
      <c r="K13" s="18" t="n">
        <v>0</v>
      </c>
      <c r="L13" s="20" t="n">
        <v>0</v>
      </c>
      <c r="M13" s="18" t="n">
        <v>0</v>
      </c>
      <c r="N13" s="20" t="n">
        <v>0</v>
      </c>
      <c r="O13" s="18" t="n">
        <v>0</v>
      </c>
      <c r="P13" s="20" t="n">
        <v>0</v>
      </c>
      <c r="Q13" s="18" t="n">
        <v>5.37934826</v>
      </c>
      <c r="R13" s="20" t="n">
        <v>1.23070111</v>
      </c>
    </row>
    <row r="14" spans="1:18">
      <c r="A14" s="15" t="s">
        <v>438</v>
      </c>
      <c r="B14" s="17" t="n">
        <v>2799</v>
      </c>
      <c r="C14" s="18">
        <f>(2450.0/B14*100)</f>
        <v/>
      </c>
      <c r="D14" s="19" t="n">
        <v>349</v>
      </c>
      <c r="E14" s="18" t="n">
        <v>17.41638616</v>
      </c>
      <c r="F14" s="20" t="n">
        <v>2.23639618</v>
      </c>
      <c r="G14" s="18" t="n">
        <v>79.61492174</v>
      </c>
      <c r="H14" s="20" t="n">
        <v>2.41126539</v>
      </c>
      <c r="I14" s="18" t="s">
        <v>431</v>
      </c>
      <c r="J14" s="20" t="s">
        <v>431</v>
      </c>
      <c r="K14" s="18" t="n">
        <v>0</v>
      </c>
      <c r="L14" s="20" t="n">
        <v>0</v>
      </c>
      <c r="M14" s="18" t="n">
        <v>0</v>
      </c>
      <c r="N14" s="20" t="n">
        <v>0</v>
      </c>
      <c r="O14" s="18" t="n">
        <v>0</v>
      </c>
      <c r="P14" s="20" t="n">
        <v>0</v>
      </c>
      <c r="Q14" s="18" t="n">
        <v>2.9686921</v>
      </c>
      <c r="R14" s="20" t="n">
        <v>1.03592759</v>
      </c>
    </row>
    <row r="15" spans="1:18">
      <c r="A15" s="15" t="s">
        <v>439</v>
      </c>
      <c r="B15" s="17" t="n">
        <v>3019</v>
      </c>
      <c r="C15" s="18">
        <f>(2649.0/B15*100)</f>
        <v/>
      </c>
      <c r="D15" s="19" t="n">
        <v>370</v>
      </c>
      <c r="E15" s="18" t="n">
        <v>20.27114776</v>
      </c>
      <c r="F15" s="20" t="n">
        <v>2.31445686</v>
      </c>
      <c r="G15" s="18" t="n">
        <v>73.22257859</v>
      </c>
      <c r="H15" s="20" t="n">
        <v>2.29198975</v>
      </c>
      <c r="I15" s="18" t="s">
        <v>431</v>
      </c>
      <c r="J15" s="20" t="s">
        <v>431</v>
      </c>
      <c r="K15" s="18" t="n">
        <v>0</v>
      </c>
      <c r="L15" s="20" t="n">
        <v>0</v>
      </c>
      <c r="M15" s="18" t="n">
        <v>0</v>
      </c>
      <c r="N15" s="20" t="n">
        <v>0</v>
      </c>
      <c r="O15" s="18" t="n">
        <v>0</v>
      </c>
      <c r="P15" s="20" t="n">
        <v>0</v>
      </c>
      <c r="Q15" s="18" t="n">
        <v>6.50627365</v>
      </c>
      <c r="R15" s="20" t="n">
        <v>1.29193936</v>
      </c>
    </row>
    <row r="16" spans="1:18">
      <c r="A16" s="15" t="s">
        <v>440</v>
      </c>
      <c r="B16" s="17" t="n">
        <v>2997</v>
      </c>
      <c r="C16" s="18">
        <f>(2643.0/B16*100)</f>
        <v/>
      </c>
      <c r="D16" s="19" t="n">
        <v>354</v>
      </c>
      <c r="E16" s="18" t="n">
        <v>14.90044557</v>
      </c>
      <c r="F16" s="20" t="n">
        <v>2.16184465</v>
      </c>
      <c r="G16" s="18" t="n">
        <v>73.17391907</v>
      </c>
      <c r="H16" s="20" t="n">
        <v>2.33038617</v>
      </c>
      <c r="I16" s="18" t="s">
        <v>431</v>
      </c>
      <c r="J16" s="20" t="s">
        <v>431</v>
      </c>
      <c r="K16" s="18" t="n">
        <v>0.25021177</v>
      </c>
      <c r="L16" s="20" t="n">
        <v>0.25028766</v>
      </c>
      <c r="M16" s="18" t="n">
        <v>0</v>
      </c>
      <c r="N16" s="20" t="n">
        <v>0</v>
      </c>
      <c r="O16" s="18" t="n">
        <v>0</v>
      </c>
      <c r="P16" s="20" t="n">
        <v>0</v>
      </c>
      <c r="Q16" s="18" t="n">
        <v>11.67542359</v>
      </c>
      <c r="R16" s="20" t="n">
        <v>1.52389279</v>
      </c>
    </row>
    <row r="17" spans="1:18">
      <c r="A17" s="15" t="s">
        <v>441</v>
      </c>
      <c r="B17" s="17" t="n">
        <v>3307</v>
      </c>
      <c r="C17" s="18">
        <f>(2906.0/B17*100)</f>
        <v/>
      </c>
      <c r="D17" s="19" t="n">
        <v>401</v>
      </c>
      <c r="E17" s="18" t="n">
        <v>21.77173122</v>
      </c>
      <c r="F17" s="20" t="n">
        <v>2.03999547</v>
      </c>
      <c r="G17" s="18" t="n">
        <v>68.76170226000001</v>
      </c>
      <c r="H17" s="20" t="n">
        <v>2.36075255</v>
      </c>
      <c r="I17" s="18" t="s">
        <v>431</v>
      </c>
      <c r="J17" s="20" t="s">
        <v>431</v>
      </c>
      <c r="K17" s="18" t="n">
        <v>0.48303834</v>
      </c>
      <c r="L17" s="20" t="n">
        <v>0.34554916</v>
      </c>
      <c r="M17" s="18" t="n">
        <v>0</v>
      </c>
      <c r="N17" s="20" t="n">
        <v>0</v>
      </c>
      <c r="O17" s="18" t="n">
        <v>0</v>
      </c>
      <c r="P17" s="20" t="n">
        <v>0</v>
      </c>
      <c r="Q17" s="18" t="n">
        <v>8.98352818</v>
      </c>
      <c r="R17" s="20" t="n">
        <v>1.4369767</v>
      </c>
    </row>
    <row r="18" spans="1:18">
      <c r="A18" s="15" t="s">
        <v>442</v>
      </c>
      <c r="B18" s="17" t="n">
        <v>2826</v>
      </c>
      <c r="C18" s="18">
        <f>(2484.0/B18*100)</f>
        <v/>
      </c>
      <c r="D18" s="19" t="n">
        <v>342</v>
      </c>
      <c r="E18" s="18" t="n">
        <v>35.16047166</v>
      </c>
      <c r="F18" s="20" t="n">
        <v>2.70672164</v>
      </c>
      <c r="G18" s="18" t="n">
        <v>54.72426702</v>
      </c>
      <c r="H18" s="20" t="n">
        <v>2.52911631</v>
      </c>
      <c r="I18" s="18" t="s">
        <v>431</v>
      </c>
      <c r="J18" s="20" t="s">
        <v>431</v>
      </c>
      <c r="K18" s="18" t="n">
        <v>0.49941731</v>
      </c>
      <c r="L18" s="20" t="n">
        <v>0.3510716</v>
      </c>
      <c r="M18" s="18" t="n">
        <v>0</v>
      </c>
      <c r="N18" s="20" t="n">
        <v>0</v>
      </c>
      <c r="O18" s="18" t="n">
        <v>0</v>
      </c>
      <c r="P18" s="20" t="n">
        <v>0</v>
      </c>
      <c r="Q18" s="18" t="n">
        <v>9.615844020000001</v>
      </c>
      <c r="R18" s="20" t="n">
        <v>1.78185081</v>
      </c>
    </row>
    <row r="19" spans="1:18">
      <c r="A19" s="15" t="s">
        <v>443</v>
      </c>
      <c r="B19" s="17" t="n">
        <v>2808</v>
      </c>
      <c r="C19" s="18">
        <f>(2476.0/B19*100)</f>
        <v/>
      </c>
      <c r="D19" s="19" t="n">
        <v>332</v>
      </c>
      <c r="E19" s="18" t="n">
        <v>33.34173474</v>
      </c>
      <c r="F19" s="20" t="n">
        <v>3.02595959</v>
      </c>
      <c r="G19" s="18" t="n">
        <v>53.14913171</v>
      </c>
      <c r="H19" s="20" t="n">
        <v>3.22700049</v>
      </c>
      <c r="I19" s="18" t="s">
        <v>431</v>
      </c>
      <c r="J19" s="20" t="s">
        <v>431</v>
      </c>
      <c r="K19" s="18" t="n">
        <v>0</v>
      </c>
      <c r="L19" s="20" t="n">
        <v>0</v>
      </c>
      <c r="M19" s="18" t="n">
        <v>0</v>
      </c>
      <c r="N19" s="20" t="n">
        <v>0</v>
      </c>
      <c r="O19" s="18" t="n">
        <v>0</v>
      </c>
      <c r="P19" s="20" t="n">
        <v>0</v>
      </c>
      <c r="Q19" s="18" t="n">
        <v>13.50913355</v>
      </c>
      <c r="R19" s="20" t="n">
        <v>2.1555297</v>
      </c>
    </row>
    <row r="20" spans="1:18">
      <c r="A20" s="15" t="s">
        <v>444</v>
      </c>
      <c r="B20" s="17" t="n">
        <v>1630</v>
      </c>
      <c r="C20" s="18">
        <f>(1438.0/B20*100)</f>
        <v/>
      </c>
      <c r="D20" s="19" t="n">
        <v>192</v>
      </c>
      <c r="E20" s="18" t="n">
        <v>32.76260986</v>
      </c>
      <c r="F20" s="20" t="n">
        <v>3.67310887</v>
      </c>
      <c r="G20" s="18" t="n">
        <v>58.74216326</v>
      </c>
      <c r="H20" s="20" t="n">
        <v>3.75623534</v>
      </c>
      <c r="I20" s="18" t="s">
        <v>431</v>
      </c>
      <c r="J20" s="20" t="s">
        <v>431</v>
      </c>
      <c r="K20" s="18" t="n">
        <v>0.5123400299999999</v>
      </c>
      <c r="L20" s="20" t="n">
        <v>0.50918025</v>
      </c>
      <c r="M20" s="18" t="n">
        <v>0</v>
      </c>
      <c r="N20" s="20" t="n">
        <v>0</v>
      </c>
      <c r="O20" s="18" t="n">
        <v>0</v>
      </c>
      <c r="P20" s="20" t="n">
        <v>0</v>
      </c>
      <c r="Q20" s="18" t="n">
        <v>7.98288685</v>
      </c>
      <c r="R20" s="20" t="n">
        <v>1.98254345</v>
      </c>
    </row>
    <row r="21" spans="1:18">
      <c r="A21" s="15" t="s">
        <v>445</v>
      </c>
      <c r="B21" s="17" t="n">
        <v>2908</v>
      </c>
      <c r="C21" s="18">
        <f>(2430.0/B21*100)</f>
        <v/>
      </c>
      <c r="D21" s="19" t="n">
        <v>478</v>
      </c>
      <c r="E21" s="18" t="n">
        <v>19.54029482</v>
      </c>
      <c r="F21" s="20" t="n">
        <v>2.01403028</v>
      </c>
      <c r="G21" s="18" t="n">
        <v>76.39042283000001</v>
      </c>
      <c r="H21" s="20" t="n">
        <v>2.32787878</v>
      </c>
      <c r="I21" s="18" t="s">
        <v>431</v>
      </c>
      <c r="J21" s="20" t="s">
        <v>431</v>
      </c>
      <c r="K21" s="18" t="n">
        <v>0.1741123</v>
      </c>
      <c r="L21" s="20" t="n">
        <v>0.12331533</v>
      </c>
      <c r="M21" s="18" t="n">
        <v>0</v>
      </c>
      <c r="N21" s="20" t="n">
        <v>0</v>
      </c>
      <c r="O21" s="18" t="n">
        <v>0</v>
      </c>
      <c r="P21" s="20" t="n">
        <v>0</v>
      </c>
      <c r="Q21" s="18" t="n">
        <v>3.89517004</v>
      </c>
      <c r="R21" s="20" t="n">
        <v>0.99618233</v>
      </c>
    </row>
    <row r="22" spans="1:18">
      <c r="A22" s="15" t="s">
        <v>446</v>
      </c>
      <c r="B22" s="17" t="n">
        <v>2931</v>
      </c>
      <c r="C22" s="18">
        <f>(2603.0/B22*100)</f>
        <v/>
      </c>
      <c r="D22" s="19" t="n">
        <v>328</v>
      </c>
      <c r="E22" s="18" t="n">
        <v>34.29759631</v>
      </c>
      <c r="F22" s="20" t="n">
        <v>2.99064952</v>
      </c>
      <c r="G22" s="18" t="n">
        <v>59.58098315</v>
      </c>
      <c r="H22" s="20" t="n">
        <v>3.13364403</v>
      </c>
      <c r="I22" s="18" t="s">
        <v>431</v>
      </c>
      <c r="J22" s="20" t="s">
        <v>431</v>
      </c>
      <c r="K22" s="18" t="n">
        <v>0.49480228</v>
      </c>
      <c r="L22" s="20" t="n">
        <v>0.35021742</v>
      </c>
      <c r="M22" s="18" t="n">
        <v>0</v>
      </c>
      <c r="N22" s="20" t="n">
        <v>0</v>
      </c>
      <c r="O22" s="18" t="n">
        <v>0</v>
      </c>
      <c r="P22" s="20" t="n">
        <v>0</v>
      </c>
      <c r="Q22" s="18" t="n">
        <v>5.62661827</v>
      </c>
      <c r="R22" s="20" t="n">
        <v>1.34344576</v>
      </c>
    </row>
    <row r="23" spans="1:18">
      <c r="A23" s="15" t="s">
        <v>447</v>
      </c>
      <c r="B23" s="17" t="n">
        <v>5791</v>
      </c>
      <c r="C23" s="18">
        <f>(5049.0/B23*100)</f>
        <v/>
      </c>
      <c r="D23" s="19" t="n">
        <v>742</v>
      </c>
      <c r="E23" s="18" t="n">
        <v>40.64758899</v>
      </c>
      <c r="F23" s="20" t="n">
        <v>2.7085135</v>
      </c>
      <c r="G23" s="18" t="n">
        <v>41.03910551</v>
      </c>
      <c r="H23" s="20" t="n">
        <v>2.48015832</v>
      </c>
      <c r="I23" s="18" t="s">
        <v>431</v>
      </c>
      <c r="J23" s="20" t="s">
        <v>431</v>
      </c>
      <c r="K23" s="18" t="n">
        <v>0</v>
      </c>
      <c r="L23" s="20" t="n">
        <v>0</v>
      </c>
      <c r="M23" s="18" t="n">
        <v>0.20320725</v>
      </c>
      <c r="N23" s="20" t="n">
        <v>0.23473127</v>
      </c>
      <c r="O23" s="18" t="n">
        <v>0</v>
      </c>
      <c r="P23" s="20" t="n">
        <v>0</v>
      </c>
      <c r="Q23" s="18" t="n">
        <v>18.11009825</v>
      </c>
      <c r="R23" s="20" t="n">
        <v>2.01210216</v>
      </c>
    </row>
    <row r="24" spans="1:18">
      <c r="A24" s="15" t="s">
        <v>448</v>
      </c>
      <c r="B24" s="17" t="n">
        <v>3338</v>
      </c>
      <c r="C24" s="18">
        <f>(2940.0/B24*100)</f>
        <v/>
      </c>
      <c r="D24" s="19" t="n">
        <v>398</v>
      </c>
      <c r="E24" s="18" t="n">
        <v>22.13899967</v>
      </c>
      <c r="F24" s="20" t="n">
        <v>2.25797839</v>
      </c>
      <c r="G24" s="18" t="n">
        <v>62.01634237</v>
      </c>
      <c r="H24" s="20" t="n">
        <v>3.18773091</v>
      </c>
      <c r="I24" s="18" t="s">
        <v>431</v>
      </c>
      <c r="J24" s="20" t="s">
        <v>431</v>
      </c>
      <c r="K24" s="18" t="n">
        <v>0.22130275</v>
      </c>
      <c r="L24" s="20" t="n">
        <v>0.21989573</v>
      </c>
      <c r="M24" s="18" t="n">
        <v>0</v>
      </c>
      <c r="N24" s="20" t="n">
        <v>0</v>
      </c>
      <c r="O24" s="18" t="n">
        <v>0</v>
      </c>
      <c r="P24" s="20" t="n">
        <v>0</v>
      </c>
      <c r="Q24" s="18" t="n">
        <v>15.62335521</v>
      </c>
      <c r="R24" s="20" t="n">
        <v>2.3053095</v>
      </c>
    </row>
    <row r="25" spans="1:18">
      <c r="A25" s="15" t="s">
        <v>449</v>
      </c>
      <c r="B25" s="17" t="n">
        <v>2912</v>
      </c>
      <c r="C25" s="18">
        <f>(2568.0/B25*100)</f>
        <v/>
      </c>
      <c r="D25" s="19" t="n">
        <v>344</v>
      </c>
      <c r="E25" s="18" t="n">
        <v>34.46617222</v>
      </c>
      <c r="F25" s="20" t="n">
        <v>2.39926234</v>
      </c>
      <c r="G25" s="18" t="n">
        <v>51.58284131</v>
      </c>
      <c r="H25" s="20" t="n">
        <v>2.60844336</v>
      </c>
      <c r="I25" s="18" t="s">
        <v>431</v>
      </c>
      <c r="J25" s="20" t="s">
        <v>431</v>
      </c>
      <c r="K25" s="18" t="n">
        <v>0</v>
      </c>
      <c r="L25" s="20" t="n">
        <v>0</v>
      </c>
      <c r="M25" s="18" t="n">
        <v>0</v>
      </c>
      <c r="N25" s="20" t="n">
        <v>0</v>
      </c>
      <c r="O25" s="18" t="n">
        <v>0</v>
      </c>
      <c r="P25" s="20" t="n">
        <v>0</v>
      </c>
      <c r="Q25" s="18" t="n">
        <v>13.95098647</v>
      </c>
      <c r="R25" s="20" t="n">
        <v>1.78712422</v>
      </c>
    </row>
    <row r="26" spans="1:18">
      <c r="A26" s="15" t="s">
        <v>450</v>
      </c>
      <c r="B26" s="17" t="n">
        <v>2450</v>
      </c>
      <c r="C26" s="18">
        <f>(2136.0/B26*100)</f>
        <v/>
      </c>
      <c r="D26" s="19" t="n">
        <v>314</v>
      </c>
      <c r="E26" s="18" t="n">
        <v>33.85076158</v>
      </c>
      <c r="F26" s="20" t="n">
        <v>3.15115043</v>
      </c>
      <c r="G26" s="18" t="n">
        <v>59.34313033</v>
      </c>
      <c r="H26" s="20" t="n">
        <v>3.1087148</v>
      </c>
      <c r="I26" s="18" t="s">
        <v>431</v>
      </c>
      <c r="J26" s="20" t="s">
        <v>431</v>
      </c>
      <c r="K26" s="18" t="n">
        <v>0</v>
      </c>
      <c r="L26" s="20" t="n">
        <v>0</v>
      </c>
      <c r="M26" s="18" t="n">
        <v>0.6345721600000001</v>
      </c>
      <c r="N26" s="20" t="n">
        <v>0.64216124</v>
      </c>
      <c r="O26" s="18" t="n">
        <v>0</v>
      </c>
      <c r="P26" s="20" t="n">
        <v>0</v>
      </c>
      <c r="Q26" s="18" t="n">
        <v>6.17153592</v>
      </c>
      <c r="R26" s="20" t="n">
        <v>1.52151864</v>
      </c>
    </row>
    <row r="27" spans="1:18">
      <c r="A27" s="15" t="s">
        <v>451</v>
      </c>
      <c r="B27" s="17" t="n">
        <v>2616</v>
      </c>
      <c r="C27" s="18">
        <f>(2298.0/B27*100)</f>
        <v/>
      </c>
      <c r="D27" s="19" t="n">
        <v>318</v>
      </c>
      <c r="E27" s="18" t="n">
        <v>25.50950514</v>
      </c>
      <c r="F27" s="20" t="n">
        <v>2.76789639</v>
      </c>
      <c r="G27" s="18" t="n">
        <v>60.2314365</v>
      </c>
      <c r="H27" s="20" t="n">
        <v>2.65254253</v>
      </c>
      <c r="I27" s="18" t="s">
        <v>431</v>
      </c>
      <c r="J27" s="20" t="s">
        <v>431</v>
      </c>
      <c r="K27" s="18" t="n">
        <v>0</v>
      </c>
      <c r="L27" s="20" t="n">
        <v>0</v>
      </c>
      <c r="M27" s="18" t="n">
        <v>0</v>
      </c>
      <c r="N27" s="20" t="n">
        <v>0</v>
      </c>
      <c r="O27" s="18" t="n">
        <v>0</v>
      </c>
      <c r="P27" s="20" t="n">
        <v>0</v>
      </c>
      <c r="Q27" s="18" t="n">
        <v>14.25905835</v>
      </c>
      <c r="R27" s="20" t="n">
        <v>2.05890094</v>
      </c>
    </row>
    <row r="28" spans="1:18">
      <c r="A28" s="15" t="s">
        <v>452</v>
      </c>
      <c r="B28" s="17" t="n">
        <v>3765</v>
      </c>
      <c r="C28" s="18">
        <f>(3309.0/B28*100)</f>
        <v/>
      </c>
      <c r="D28" s="19" t="n">
        <v>456</v>
      </c>
      <c r="E28" s="18" t="n">
        <v>66.45763527</v>
      </c>
      <c r="F28" s="20" t="n">
        <v>2.79459231</v>
      </c>
      <c r="G28" s="18" t="n">
        <v>29.70854369</v>
      </c>
      <c r="H28" s="20" t="n">
        <v>2.47799208</v>
      </c>
      <c r="I28" s="18" t="s">
        <v>431</v>
      </c>
      <c r="J28" s="20" t="s">
        <v>431</v>
      </c>
      <c r="K28" s="18" t="n">
        <v>0.77928403</v>
      </c>
      <c r="L28" s="20" t="n">
        <v>0.54684765</v>
      </c>
      <c r="M28" s="18" t="n">
        <v>0</v>
      </c>
      <c r="N28" s="20" t="n">
        <v>0</v>
      </c>
      <c r="O28" s="18" t="n">
        <v>0</v>
      </c>
      <c r="P28" s="20" t="n">
        <v>0</v>
      </c>
      <c r="Q28" s="18" t="n">
        <v>3.05453701</v>
      </c>
      <c r="R28" s="20" t="n">
        <v>1.18140439</v>
      </c>
    </row>
    <row r="29" spans="1:18">
      <c r="A29" s="15" t="s">
        <v>453</v>
      </c>
      <c r="B29" s="17" t="n">
        <v>2685</v>
      </c>
      <c r="C29" s="18">
        <f>(2346.0/B29*100)</f>
        <v/>
      </c>
      <c r="D29" s="19" t="n">
        <v>339</v>
      </c>
      <c r="E29" s="18" t="n">
        <v>37.60472662</v>
      </c>
      <c r="F29" s="20" t="n">
        <v>2.31598276</v>
      </c>
      <c r="G29" s="18" t="n">
        <v>60.9182134</v>
      </c>
      <c r="H29" s="20" t="n">
        <v>2.26506125</v>
      </c>
      <c r="I29" s="18" t="s">
        <v>431</v>
      </c>
      <c r="J29" s="20" t="s">
        <v>431</v>
      </c>
      <c r="K29" s="18" t="n">
        <v>0.17456224</v>
      </c>
      <c r="L29" s="20" t="n">
        <v>0.17548825</v>
      </c>
      <c r="M29" s="18" t="n">
        <v>0</v>
      </c>
      <c r="N29" s="20" t="n">
        <v>0</v>
      </c>
      <c r="O29" s="18" t="n">
        <v>0</v>
      </c>
      <c r="P29" s="20" t="n">
        <v>0</v>
      </c>
      <c r="Q29" s="18" t="n">
        <v>1.30249774</v>
      </c>
      <c r="R29" s="20" t="n">
        <v>0.81412163</v>
      </c>
    </row>
    <row r="30" spans="1:18">
      <c r="A30" s="15" t="s">
        <v>454</v>
      </c>
      <c r="B30" s="17" t="n">
        <v>2263</v>
      </c>
      <c r="C30" s="18">
        <f>(1973.0/B30*100)</f>
        <v/>
      </c>
      <c r="D30" s="19" t="n">
        <v>290</v>
      </c>
      <c r="E30" s="18" t="n">
        <v>16.48880201</v>
      </c>
      <c r="F30" s="20" t="n">
        <v>2.37001216</v>
      </c>
      <c r="G30" s="18" t="n">
        <v>73.24546667</v>
      </c>
      <c r="H30" s="20" t="n">
        <v>2.82498188</v>
      </c>
      <c r="I30" s="18" t="s">
        <v>431</v>
      </c>
      <c r="J30" s="20" t="s">
        <v>431</v>
      </c>
      <c r="K30" s="18" t="n">
        <v>0.27434682</v>
      </c>
      <c r="L30" s="20" t="n">
        <v>0.27561326</v>
      </c>
      <c r="M30" s="18" t="n">
        <v>0.77621708</v>
      </c>
      <c r="N30" s="20" t="n">
        <v>0.55746774</v>
      </c>
      <c r="O30" s="18" t="n">
        <v>0</v>
      </c>
      <c r="P30" s="20" t="n">
        <v>0</v>
      </c>
      <c r="Q30" s="18" t="n">
        <v>9.21516742</v>
      </c>
      <c r="R30" s="20" t="n">
        <v>1.62488922</v>
      </c>
    </row>
    <row r="31" spans="1:18">
      <c r="A31" s="15" t="s">
        <v>455</v>
      </c>
      <c r="B31" s="17" t="n">
        <v>2750</v>
      </c>
      <c r="C31" s="18">
        <f>(2416.0/B31*100)</f>
        <v/>
      </c>
      <c r="D31" s="19" t="n">
        <v>334</v>
      </c>
      <c r="E31" s="18" t="n">
        <v>20.04927204</v>
      </c>
      <c r="F31" s="20" t="n">
        <v>2.40031843</v>
      </c>
      <c r="G31" s="18" t="n">
        <v>71.93050110999999</v>
      </c>
      <c r="H31" s="20" t="n">
        <v>2.87876478</v>
      </c>
      <c r="I31" s="18" t="s">
        <v>431</v>
      </c>
      <c r="J31" s="20" t="s">
        <v>431</v>
      </c>
      <c r="K31" s="18" t="n">
        <v>0.29936509</v>
      </c>
      <c r="L31" s="20" t="n">
        <v>0.28934654</v>
      </c>
      <c r="M31" s="18" t="n">
        <v>0</v>
      </c>
      <c r="N31" s="20" t="n">
        <v>0</v>
      </c>
      <c r="O31" s="18" t="n">
        <v>0</v>
      </c>
      <c r="P31" s="20" t="n">
        <v>0</v>
      </c>
      <c r="Q31" s="18" t="n">
        <v>7.72086176</v>
      </c>
      <c r="R31" s="20" t="n">
        <v>1.61757971</v>
      </c>
    </row>
    <row r="32" spans="1:18">
      <c r="A32" s="15" t="s">
        <v>456</v>
      </c>
      <c r="B32" s="17" t="n">
        <v>2269</v>
      </c>
      <c r="C32" s="18">
        <f>(1917.0/B32*100)</f>
        <v/>
      </c>
      <c r="D32" s="19" t="n">
        <v>352</v>
      </c>
      <c r="E32" s="18" t="n">
        <v>39.03972918</v>
      </c>
      <c r="F32" s="20" t="n">
        <v>2.45452182</v>
      </c>
      <c r="G32" s="18" t="n">
        <v>50.8903094</v>
      </c>
      <c r="H32" s="20" t="n">
        <v>2.58259186</v>
      </c>
      <c r="I32" s="18" t="s">
        <v>431</v>
      </c>
      <c r="J32" s="20" t="s">
        <v>431</v>
      </c>
      <c r="K32" s="18" t="n">
        <v>0</v>
      </c>
      <c r="L32" s="20" t="n">
        <v>0</v>
      </c>
      <c r="M32" s="18" t="n">
        <v>0</v>
      </c>
      <c r="N32" s="20" t="n">
        <v>0</v>
      </c>
      <c r="O32" s="18" t="n">
        <v>0</v>
      </c>
      <c r="P32" s="20" t="n">
        <v>0</v>
      </c>
      <c r="Q32" s="18" t="n">
        <v>10.06996142</v>
      </c>
      <c r="R32" s="20" t="n">
        <v>1.70955244</v>
      </c>
    </row>
    <row r="33" spans="1:18">
      <c r="A33" s="15" t="s">
        <v>457</v>
      </c>
      <c r="B33" s="17" t="n">
        <v>3674</v>
      </c>
      <c r="C33" s="18">
        <f>(3227.0/B33*100)</f>
        <v/>
      </c>
      <c r="D33" s="19" t="n">
        <v>447</v>
      </c>
      <c r="E33" s="18" t="n">
        <v>32.17024441</v>
      </c>
      <c r="F33" s="20" t="n">
        <v>2.87207692</v>
      </c>
      <c r="G33" s="18" t="n">
        <v>53.12336634</v>
      </c>
      <c r="H33" s="20" t="n">
        <v>3.03903129</v>
      </c>
      <c r="I33" s="18" t="s">
        <v>431</v>
      </c>
      <c r="J33" s="20" t="s">
        <v>431</v>
      </c>
      <c r="K33" s="18" t="n">
        <v>0.08447621</v>
      </c>
      <c r="L33" s="20" t="n">
        <v>0.10410973</v>
      </c>
      <c r="M33" s="18" t="n">
        <v>0.24270701</v>
      </c>
      <c r="N33" s="20" t="n">
        <v>0.16921936</v>
      </c>
      <c r="O33" s="18" t="n">
        <v>0</v>
      </c>
      <c r="P33" s="20" t="n">
        <v>0</v>
      </c>
      <c r="Q33" s="18" t="n">
        <v>14.37920603</v>
      </c>
      <c r="R33" s="20" t="n">
        <v>1.72117057</v>
      </c>
    </row>
    <row r="34" spans="1:18">
      <c r="A34" s="15" t="s">
        <v>458</v>
      </c>
      <c r="B34" s="17" t="n">
        <v>3315</v>
      </c>
      <c r="C34" s="18">
        <f>(2929.0/B34*100)</f>
        <v/>
      </c>
      <c r="D34" s="19" t="n">
        <v>386</v>
      </c>
      <c r="E34" s="18" t="n">
        <v>49.30426914</v>
      </c>
      <c r="F34" s="20" t="n">
        <v>2.53935618</v>
      </c>
      <c r="G34" s="18" t="n">
        <v>35.2439721</v>
      </c>
      <c r="H34" s="20" t="n">
        <v>2.24797264</v>
      </c>
      <c r="I34" s="18" t="s">
        <v>431</v>
      </c>
      <c r="J34" s="20" t="s">
        <v>431</v>
      </c>
      <c r="K34" s="18" t="n">
        <v>0.41630574</v>
      </c>
      <c r="L34" s="20" t="n">
        <v>0.41418664</v>
      </c>
      <c r="M34" s="18" t="n">
        <v>0</v>
      </c>
      <c r="N34" s="20" t="n">
        <v>0</v>
      </c>
      <c r="O34" s="18" t="n">
        <v>0</v>
      </c>
      <c r="P34" s="20" t="n">
        <v>0</v>
      </c>
      <c r="Q34" s="18" t="n">
        <v>15.03545302</v>
      </c>
      <c r="R34" s="20" t="n">
        <v>2.10303684</v>
      </c>
    </row>
    <row r="35" spans="1:18">
      <c r="A35" s="15" t="s">
        <v>459</v>
      </c>
      <c r="B35" s="17" t="n">
        <v>3505</v>
      </c>
      <c r="C35" s="18">
        <f>(3100.0/B35*100)</f>
        <v/>
      </c>
      <c r="D35" s="19" t="n">
        <v>405</v>
      </c>
      <c r="E35" s="18" t="n">
        <v>37.5711932</v>
      </c>
      <c r="F35" s="20" t="n">
        <v>3.13902458</v>
      </c>
      <c r="G35" s="18" t="n">
        <v>51.57184378</v>
      </c>
      <c r="H35" s="20" t="n">
        <v>3.14196284</v>
      </c>
      <c r="I35" s="18" t="s">
        <v>431</v>
      </c>
      <c r="J35" s="20" t="s">
        <v>431</v>
      </c>
      <c r="K35" s="18" t="n">
        <v>0</v>
      </c>
      <c r="L35" s="20" t="n">
        <v>0</v>
      </c>
      <c r="M35" s="18" t="n">
        <v>0.4449875</v>
      </c>
      <c r="N35" s="20" t="n">
        <v>0.44533069</v>
      </c>
      <c r="O35" s="18" t="n">
        <v>0</v>
      </c>
      <c r="P35" s="20" t="n">
        <v>0</v>
      </c>
      <c r="Q35" s="18" t="n">
        <v>10.41197551</v>
      </c>
      <c r="R35" s="20" t="n">
        <v>1.79829322</v>
      </c>
    </row>
    <row r="36" spans="1:18">
      <c r="A36" s="15" t="s">
        <v>460</v>
      </c>
      <c r="B36" s="17" t="n">
        <v>3332</v>
      </c>
      <c r="C36" s="18">
        <f>(2933.0/B36*100)</f>
        <v/>
      </c>
      <c r="D36" s="19" t="n">
        <v>399</v>
      </c>
      <c r="E36" s="18" t="n">
        <v>38.94961753</v>
      </c>
      <c r="F36" s="20" t="n">
        <v>2.50077515</v>
      </c>
      <c r="G36" s="18" t="n">
        <v>54.42672813</v>
      </c>
      <c r="H36" s="20" t="n">
        <v>2.83856403</v>
      </c>
      <c r="I36" s="18" t="s">
        <v>431</v>
      </c>
      <c r="J36" s="20" t="s">
        <v>431</v>
      </c>
      <c r="K36" s="18" t="n">
        <v>0.27461775</v>
      </c>
      <c r="L36" s="20" t="n">
        <v>0.40461421</v>
      </c>
      <c r="M36" s="18" t="n">
        <v>0</v>
      </c>
      <c r="N36" s="20" t="n">
        <v>0</v>
      </c>
      <c r="O36" s="18" t="n">
        <v>0</v>
      </c>
      <c r="P36" s="20" t="n">
        <v>0</v>
      </c>
      <c r="Q36" s="18" t="n">
        <v>6.34903659</v>
      </c>
      <c r="R36" s="20" t="n">
        <v>1.46917231</v>
      </c>
    </row>
    <row r="37" spans="1:18">
      <c r="A37" s="15" t="s">
        <v>461</v>
      </c>
      <c r="B37" s="17" t="n">
        <v>2727</v>
      </c>
      <c r="C37" s="18">
        <f>(2383.0/B37*100)</f>
        <v/>
      </c>
      <c r="D37" s="19" t="n">
        <v>344</v>
      </c>
      <c r="E37" s="18" t="n">
        <v>23.33999232</v>
      </c>
      <c r="F37" s="20" t="n">
        <v>2.71128892</v>
      </c>
      <c r="G37" s="18" t="n">
        <v>64.47374254</v>
      </c>
      <c r="H37" s="20" t="n">
        <v>3.05856628</v>
      </c>
      <c r="I37" s="18" t="s">
        <v>431</v>
      </c>
      <c r="J37" s="20" t="s">
        <v>431</v>
      </c>
      <c r="K37" s="18" t="n">
        <v>0</v>
      </c>
      <c r="L37" s="20" t="n">
        <v>0</v>
      </c>
      <c r="M37" s="18" t="n">
        <v>0</v>
      </c>
      <c r="N37" s="20" t="n">
        <v>0</v>
      </c>
      <c r="O37" s="18" t="n">
        <v>0</v>
      </c>
      <c r="P37" s="20" t="n">
        <v>0</v>
      </c>
      <c r="Q37" s="18" t="n">
        <v>12.18626514</v>
      </c>
      <c r="R37" s="20" t="n">
        <v>1.84564302</v>
      </c>
    </row>
    <row r="38" spans="1:18">
      <c r="A38" s="15" t="s">
        <v>462</v>
      </c>
      <c r="B38" s="17" t="n">
        <v>3053</v>
      </c>
      <c r="C38" s="18">
        <f>(2572.0/B38*100)</f>
        <v/>
      </c>
      <c r="D38" s="19" t="n">
        <v>481</v>
      </c>
      <c r="E38" s="18" t="n">
        <v>44.02788232</v>
      </c>
      <c r="F38" s="20" t="n">
        <v>2.47308122</v>
      </c>
      <c r="G38" s="18" t="n">
        <v>42.87673358</v>
      </c>
      <c r="H38" s="20" t="n">
        <v>2.48315021</v>
      </c>
      <c r="I38" s="18" t="s">
        <v>431</v>
      </c>
      <c r="J38" s="20" t="s">
        <v>431</v>
      </c>
      <c r="K38" s="18" t="n">
        <v>0.5964825</v>
      </c>
      <c r="L38" s="20" t="n">
        <v>0.57697318</v>
      </c>
      <c r="M38" s="18" t="n">
        <v>0.43717722</v>
      </c>
      <c r="N38" s="20" t="n">
        <v>0.31484757</v>
      </c>
      <c r="O38" s="18" t="n">
        <v>0</v>
      </c>
      <c r="P38" s="20" t="n">
        <v>0</v>
      </c>
      <c r="Q38" s="18" t="n">
        <v>12.06172438</v>
      </c>
      <c r="R38" s="20" t="n">
        <v>1.69422083</v>
      </c>
    </row>
    <row r="39" spans="1:18">
      <c r="A39" s="15" t="s">
        <v>463</v>
      </c>
      <c r="B39" s="17" t="n">
        <v>2957</v>
      </c>
      <c r="C39" s="18">
        <f>(2588.0/B39*100)</f>
        <v/>
      </c>
      <c r="D39" s="19" t="n">
        <v>369</v>
      </c>
      <c r="E39" s="18" t="n">
        <v>36.84665572</v>
      </c>
      <c r="F39" s="20" t="n">
        <v>2.92240079</v>
      </c>
      <c r="G39" s="18" t="n">
        <v>52.25985274</v>
      </c>
      <c r="H39" s="20" t="n">
        <v>2.95863149</v>
      </c>
      <c r="I39" s="18" t="s">
        <v>431</v>
      </c>
      <c r="J39" s="20" t="s">
        <v>431</v>
      </c>
      <c r="K39" s="18" t="n">
        <v>0.43196517</v>
      </c>
      <c r="L39" s="20" t="n">
        <v>0.38094483</v>
      </c>
      <c r="M39" s="18" t="n">
        <v>0</v>
      </c>
      <c r="N39" s="20" t="n">
        <v>0</v>
      </c>
      <c r="O39" s="18" t="n">
        <v>0</v>
      </c>
      <c r="P39" s="20" t="n">
        <v>0</v>
      </c>
      <c r="Q39" s="18" t="n">
        <v>10.46152638</v>
      </c>
      <c r="R39" s="20" t="n">
        <v>1.55914529</v>
      </c>
    </row>
    <row r="40" spans="1:18">
      <c r="A40" s="15" t="s">
        <v>464</v>
      </c>
      <c r="B40" s="17" t="n">
        <v>7235</v>
      </c>
      <c r="C40" s="18">
        <f>(6351.0/B40*100)</f>
        <v/>
      </c>
      <c r="D40" s="19" t="n">
        <v>884</v>
      </c>
      <c r="E40" s="18" t="n">
        <v>20.57135919</v>
      </c>
      <c r="F40" s="20" t="n">
        <v>2.17718367</v>
      </c>
      <c r="G40" s="18" t="n">
        <v>71.130201</v>
      </c>
      <c r="H40" s="20" t="n">
        <v>2.10814845</v>
      </c>
      <c r="I40" s="18" t="s">
        <v>431</v>
      </c>
      <c r="J40" s="20" t="s">
        <v>431</v>
      </c>
      <c r="K40" s="18" t="n">
        <v>0.02630841</v>
      </c>
      <c r="L40" s="20" t="n">
        <v>0.02654194</v>
      </c>
      <c r="M40" s="18" t="n">
        <v>0.5593626</v>
      </c>
      <c r="N40" s="20" t="n">
        <v>0.44102394</v>
      </c>
      <c r="O40" s="18" t="n">
        <v>0</v>
      </c>
      <c r="P40" s="20" t="n">
        <v>0</v>
      </c>
      <c r="Q40" s="18" t="n">
        <v>7.71276881</v>
      </c>
      <c r="R40" s="20" t="n">
        <v>1.26589498</v>
      </c>
    </row>
    <row r="41" spans="1:18">
      <c r="A41" s="15" t="s">
        <v>465</v>
      </c>
      <c r="B41" s="17" t="n">
        <v>2858</v>
      </c>
      <c r="C41" s="18">
        <f>(2515.0/B41*100)</f>
        <v/>
      </c>
      <c r="D41" s="19" t="n">
        <v>343</v>
      </c>
      <c r="E41" s="18" t="n">
        <v>22.25813389</v>
      </c>
      <c r="F41" s="20" t="n">
        <v>2.44150316</v>
      </c>
      <c r="G41" s="18" t="n">
        <v>74.31446025</v>
      </c>
      <c r="H41" s="20" t="n">
        <v>2.64398754</v>
      </c>
      <c r="I41" s="18" t="s">
        <v>431</v>
      </c>
      <c r="J41" s="20" t="s">
        <v>431</v>
      </c>
      <c r="K41" s="18" t="n">
        <v>0</v>
      </c>
      <c r="L41" s="20" t="n">
        <v>0</v>
      </c>
      <c r="M41" s="18" t="n">
        <v>0</v>
      </c>
      <c r="N41" s="20" t="n">
        <v>0</v>
      </c>
      <c r="O41" s="18" t="n">
        <v>0</v>
      </c>
      <c r="P41" s="20" t="n">
        <v>0</v>
      </c>
      <c r="Q41" s="18" t="n">
        <v>3.42740587</v>
      </c>
      <c r="R41" s="20" t="n">
        <v>1.19036758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(9935.0/B46*100)</f>
        <v/>
      </c>
      <c r="D46" s="19" t="n">
        <v>1133</v>
      </c>
      <c r="E46" s="18" t="n">
        <v>49.23656877</v>
      </c>
      <c r="F46" s="20" t="n">
        <v>1.80235912</v>
      </c>
      <c r="G46" s="18" t="n">
        <v>35.66897995</v>
      </c>
      <c r="H46" s="20" t="n">
        <v>1.77798379</v>
      </c>
      <c r="I46" s="18" t="s">
        <v>431</v>
      </c>
      <c r="J46" s="20" t="s">
        <v>431</v>
      </c>
      <c r="K46" s="18" t="n">
        <v>1.02627681</v>
      </c>
      <c r="L46" s="20" t="n">
        <v>0.38264977</v>
      </c>
      <c r="M46" s="18" t="n">
        <v>0.30393575</v>
      </c>
      <c r="N46" s="20" t="n">
        <v>0.20350517</v>
      </c>
      <c r="O46" s="18" t="n">
        <v>0</v>
      </c>
      <c r="P46" s="20" t="n">
        <v>0</v>
      </c>
      <c r="Q46" s="18" t="n">
        <v>13.76423872</v>
      </c>
      <c r="R46" s="20" t="n">
        <v>1.41024475</v>
      </c>
    </row>
    <row r="47" spans="1:18">
      <c r="A47" s="15" t="s">
        <v>471</v>
      </c>
      <c r="B47" s="17" t="n">
        <v>3105</v>
      </c>
      <c r="C47" s="18">
        <f>(2698.0/B47*100)</f>
        <v/>
      </c>
      <c r="D47" s="19" t="n">
        <v>407</v>
      </c>
      <c r="E47" s="18" t="n">
        <v>35.92968663</v>
      </c>
      <c r="F47" s="20" t="n">
        <v>2.33464834</v>
      </c>
      <c r="G47" s="18" t="n">
        <v>37.48596373</v>
      </c>
      <c r="H47" s="20" t="n">
        <v>2.81215854</v>
      </c>
      <c r="I47" s="18" t="s">
        <v>431</v>
      </c>
      <c r="J47" s="20" t="s">
        <v>431</v>
      </c>
      <c r="K47" s="18" t="n">
        <v>0</v>
      </c>
      <c r="L47" s="20" t="n">
        <v>0</v>
      </c>
      <c r="M47" s="18" t="n">
        <v>0</v>
      </c>
      <c r="N47" s="20" t="n">
        <v>0</v>
      </c>
      <c r="O47" s="18" t="n">
        <v>0</v>
      </c>
      <c r="P47" s="20" t="n">
        <v>0</v>
      </c>
      <c r="Q47" s="18" t="n">
        <v>26.58434964</v>
      </c>
      <c r="R47" s="20" t="n">
        <v>2.49620644</v>
      </c>
    </row>
    <row r="48" spans="1:18">
      <c r="A48" s="15" t="s">
        <v>472</v>
      </c>
      <c r="B48" s="17" t="n">
        <v>5159</v>
      </c>
      <c r="C48" s="18">
        <f>(4532.0/B48*100)</f>
        <v/>
      </c>
      <c r="D48" s="19" t="n">
        <v>627</v>
      </c>
      <c r="E48" s="18" t="n">
        <v>21.90198975</v>
      </c>
      <c r="F48" s="20" t="n">
        <v>2.18991949</v>
      </c>
      <c r="G48" s="18" t="n">
        <v>67.90104316999999</v>
      </c>
      <c r="H48" s="20" t="n">
        <v>2.43746771</v>
      </c>
      <c r="I48" s="18" t="s">
        <v>431</v>
      </c>
      <c r="J48" s="20" t="s">
        <v>431</v>
      </c>
      <c r="K48" s="18" t="n">
        <v>0.64374656</v>
      </c>
      <c r="L48" s="20" t="n">
        <v>0.46242066</v>
      </c>
      <c r="M48" s="18" t="n">
        <v>0</v>
      </c>
      <c r="N48" s="20" t="n">
        <v>0</v>
      </c>
      <c r="O48" s="18" t="n">
        <v>0</v>
      </c>
      <c r="P48" s="20" t="n">
        <v>0</v>
      </c>
      <c r="Q48" s="18" t="n">
        <v>9.55322052</v>
      </c>
      <c r="R48" s="20" t="n">
        <v>1.56288783</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(4971.0/B50*100)</f>
        <v/>
      </c>
      <c r="D50" s="19" t="n">
        <v>666</v>
      </c>
      <c r="E50" s="18" t="n">
        <v>43.88738188</v>
      </c>
      <c r="F50" s="20" t="n">
        <v>2.42672611</v>
      </c>
      <c r="G50" s="18" t="n">
        <v>47.5090945</v>
      </c>
      <c r="H50" s="20" t="n">
        <v>2.54951823</v>
      </c>
      <c r="I50" s="18" t="s">
        <v>431</v>
      </c>
      <c r="J50" s="20" t="s">
        <v>431</v>
      </c>
      <c r="K50" s="18" t="n">
        <v>2.58110926</v>
      </c>
      <c r="L50" s="20" t="n">
        <v>1.01883759</v>
      </c>
      <c r="M50" s="18" t="n">
        <v>0.008376949999999999</v>
      </c>
      <c r="N50" s="20" t="n">
        <v>0.008428369999999999</v>
      </c>
      <c r="O50" s="18" t="n">
        <v>0</v>
      </c>
      <c r="P50" s="20" t="n">
        <v>0</v>
      </c>
      <c r="Q50" s="18" t="n">
        <v>6.01403742</v>
      </c>
      <c r="R50" s="20" t="n">
        <v>1.26631501</v>
      </c>
    </row>
    <row r="51" spans="1:18">
      <c r="A51" s="15" t="s">
        <v>475</v>
      </c>
      <c r="B51" s="17" t="n">
        <v>3372</v>
      </c>
      <c r="C51" s="18">
        <f>(3016.0/B51*100)</f>
        <v/>
      </c>
      <c r="D51" s="19" t="n">
        <v>356</v>
      </c>
      <c r="E51" s="18" t="n">
        <v>50.03411943</v>
      </c>
      <c r="F51" s="20" t="n">
        <v>3.19101496</v>
      </c>
      <c r="G51" s="18" t="n">
        <v>41.91916408</v>
      </c>
      <c r="H51" s="20" t="n">
        <v>3.08019087</v>
      </c>
      <c r="I51" s="18" t="s">
        <v>431</v>
      </c>
      <c r="J51" s="20" t="s">
        <v>431</v>
      </c>
      <c r="K51" s="18" t="n">
        <v>1.01029255</v>
      </c>
      <c r="L51" s="20" t="n">
        <v>0.51204011</v>
      </c>
      <c r="M51" s="18" t="n">
        <v>0</v>
      </c>
      <c r="N51" s="20" t="n">
        <v>0</v>
      </c>
      <c r="O51" s="18" t="n">
        <v>0</v>
      </c>
      <c r="P51" s="20" t="n">
        <v>0</v>
      </c>
      <c r="Q51" s="18" t="n">
        <v>7.03642395</v>
      </c>
      <c r="R51" s="20" t="n">
        <v>1.44456737</v>
      </c>
    </row>
    <row r="52" spans="1:18">
      <c r="A52" s="15" t="s">
        <v>476</v>
      </c>
      <c r="B52" s="17" t="n">
        <v>2796</v>
      </c>
      <c r="C52" s="18">
        <f>(2431.0/B52*100)</f>
        <v/>
      </c>
      <c r="D52" s="19" t="n">
        <v>365</v>
      </c>
      <c r="E52" s="18" t="n">
        <v>23.43100236</v>
      </c>
      <c r="F52" s="20" t="n">
        <v>2.35355742</v>
      </c>
      <c r="G52" s="18" t="n">
        <v>64.25743623</v>
      </c>
      <c r="H52" s="20" t="n">
        <v>2.70086794</v>
      </c>
      <c r="I52" s="18" t="s">
        <v>431</v>
      </c>
      <c r="J52" s="20" t="s">
        <v>431</v>
      </c>
      <c r="K52" s="18" t="n">
        <v>0</v>
      </c>
      <c r="L52" s="20" t="n">
        <v>0</v>
      </c>
      <c r="M52" s="18" t="n">
        <v>0</v>
      </c>
      <c r="N52" s="20" t="n">
        <v>0</v>
      </c>
      <c r="O52" s="18" t="n">
        <v>0</v>
      </c>
      <c r="P52" s="20" t="n">
        <v>0</v>
      </c>
      <c r="Q52" s="18" t="n">
        <v>12.31156141</v>
      </c>
      <c r="R52" s="20" t="n">
        <v>1.57056941</v>
      </c>
    </row>
    <row r="53" spans="1:18">
      <c r="A53" s="15" t="s">
        <v>477</v>
      </c>
      <c r="B53" s="17" t="n">
        <v>2811</v>
      </c>
      <c r="C53" s="18">
        <f>(2481.0/B53*100)</f>
        <v/>
      </c>
      <c r="D53" s="19" t="n">
        <v>330</v>
      </c>
      <c r="E53" s="18" t="n">
        <v>35.91919719</v>
      </c>
      <c r="F53" s="20" t="n">
        <v>2.6262361</v>
      </c>
      <c r="G53" s="18" t="n">
        <v>45.39884835</v>
      </c>
      <c r="H53" s="20" t="n">
        <v>3.12765096</v>
      </c>
      <c r="I53" s="18" t="s">
        <v>431</v>
      </c>
      <c r="J53" s="20" t="s">
        <v>431</v>
      </c>
      <c r="K53" s="18" t="n">
        <v>0</v>
      </c>
      <c r="L53" s="20" t="n">
        <v>0</v>
      </c>
      <c r="M53" s="18" t="n">
        <v>0</v>
      </c>
      <c r="N53" s="20" t="n">
        <v>0</v>
      </c>
      <c r="O53" s="18" t="n">
        <v>0</v>
      </c>
      <c r="P53" s="20" t="n">
        <v>0</v>
      </c>
      <c r="Q53" s="18" t="n">
        <v>18.68195447</v>
      </c>
      <c r="R53" s="20" t="n">
        <v>2.339512</v>
      </c>
    </row>
    <row r="54" spans="1:18">
      <c r="A54" s="15" t="s">
        <v>478</v>
      </c>
      <c r="B54" s="17" t="n">
        <v>2266</v>
      </c>
      <c r="C54" s="18">
        <f>(1880.0/B54*100)</f>
        <v/>
      </c>
      <c r="D54" s="19" t="n">
        <v>386</v>
      </c>
      <c r="E54" s="18" t="n">
        <v>25.74648578</v>
      </c>
      <c r="F54" s="20" t="n">
        <v>2.84778494</v>
      </c>
      <c r="G54" s="18" t="n">
        <v>46.70909655</v>
      </c>
      <c r="H54" s="20" t="n">
        <v>3.03304528</v>
      </c>
      <c r="I54" s="18" t="s">
        <v>431</v>
      </c>
      <c r="J54" s="20" t="s">
        <v>431</v>
      </c>
      <c r="K54" s="18" t="n">
        <v>13.33484945</v>
      </c>
      <c r="L54" s="20" t="n">
        <v>1.82263706</v>
      </c>
      <c r="M54" s="18" t="n">
        <v>0.74906846</v>
      </c>
      <c r="N54" s="20" t="n">
        <v>0.5493449500000001</v>
      </c>
      <c r="O54" s="18" t="n">
        <v>0</v>
      </c>
      <c r="P54" s="20" t="n">
        <v>0</v>
      </c>
      <c r="Q54" s="18" t="n">
        <v>13.46049976</v>
      </c>
      <c r="R54" s="20" t="n">
        <v>1.71685877</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(2344.0/B56*100)</f>
        <v/>
      </c>
      <c r="D56" s="19" t="n">
        <v>340</v>
      </c>
      <c r="E56" s="18" t="n">
        <v>21.13243439</v>
      </c>
      <c r="F56" s="20" t="n">
        <v>2.40696093</v>
      </c>
      <c r="G56" s="18" t="n">
        <v>72.53232196</v>
      </c>
      <c r="H56" s="20" t="n">
        <v>2.73868643</v>
      </c>
      <c r="I56" s="18" t="s">
        <v>431</v>
      </c>
      <c r="J56" s="20" t="s">
        <v>431</v>
      </c>
      <c r="K56" s="18" t="n">
        <v>0.65720711</v>
      </c>
      <c r="L56" s="20" t="n">
        <v>0.48462054</v>
      </c>
      <c r="M56" s="18" t="n">
        <v>0</v>
      </c>
      <c r="N56" s="20" t="n">
        <v>0</v>
      </c>
      <c r="O56" s="18" t="n">
        <v>0</v>
      </c>
      <c r="P56" s="20" t="n">
        <v>0</v>
      </c>
      <c r="Q56" s="18" t="n">
        <v>5.67803653</v>
      </c>
      <c r="R56" s="20" t="n">
        <v>1.17119715</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(2923.0/B61*100)</f>
        <v/>
      </c>
      <c r="D61" s="19" t="n">
        <v>401</v>
      </c>
      <c r="E61" s="18" t="n">
        <v>35.60013357</v>
      </c>
      <c r="F61" s="20" t="n">
        <v>2.44563264</v>
      </c>
      <c r="G61" s="18" t="n">
        <v>54.00585196</v>
      </c>
      <c r="H61" s="20" t="n">
        <v>2.66865308</v>
      </c>
      <c r="I61" s="18" t="s">
        <v>431</v>
      </c>
      <c r="J61" s="20" t="s">
        <v>431</v>
      </c>
      <c r="K61" s="18" t="n">
        <v>0</v>
      </c>
      <c r="L61" s="20" t="n">
        <v>0</v>
      </c>
      <c r="M61" s="18" t="n">
        <v>0</v>
      </c>
      <c r="N61" s="20" t="n">
        <v>0</v>
      </c>
      <c r="O61" s="18" t="n">
        <v>0</v>
      </c>
      <c r="P61" s="20" t="n">
        <v>0</v>
      </c>
      <c r="Q61" s="18" t="n">
        <v>10.39401446</v>
      </c>
      <c r="R61" s="20" t="n">
        <v>1.66980644</v>
      </c>
    </row>
    <row r="62" spans="1:18">
      <c r="A62" s="15" t="s">
        <v>486</v>
      </c>
      <c r="B62" s="17" t="n">
        <v>2246</v>
      </c>
      <c r="C62" s="18">
        <f>(1982.0/B62*100)</f>
        <v/>
      </c>
      <c r="D62" s="19" t="n">
        <v>264</v>
      </c>
      <c r="E62" s="18" t="n">
        <v>37.87071708</v>
      </c>
      <c r="F62" s="20" t="n">
        <v>3.09578198</v>
      </c>
      <c r="G62" s="18" t="n">
        <v>59.11497936</v>
      </c>
      <c r="H62" s="20" t="n">
        <v>3.10164921</v>
      </c>
      <c r="I62" s="18" t="s">
        <v>431</v>
      </c>
      <c r="J62" s="20" t="s">
        <v>431</v>
      </c>
      <c r="K62" s="18" t="n">
        <v>0</v>
      </c>
      <c r="L62" s="20" t="n">
        <v>0</v>
      </c>
      <c r="M62" s="18" t="n">
        <v>0</v>
      </c>
      <c r="N62" s="20" t="n">
        <v>0</v>
      </c>
      <c r="O62" s="18" t="n">
        <v>0</v>
      </c>
      <c r="P62" s="20" t="n">
        <v>0</v>
      </c>
      <c r="Q62" s="18" t="n">
        <v>3.01430356</v>
      </c>
      <c r="R62" s="20" t="n">
        <v>1.0554112</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(2549.0/B66*100)</f>
        <v/>
      </c>
      <c r="D66" s="19" t="n">
        <v>345</v>
      </c>
      <c r="E66" s="18" t="n">
        <v>23.17744616</v>
      </c>
      <c r="F66" s="20" t="n">
        <v>2.48234498</v>
      </c>
      <c r="G66" s="18" t="n">
        <v>46.17368217</v>
      </c>
      <c r="H66" s="20" t="n">
        <v>2.92304832</v>
      </c>
      <c r="I66" s="18" t="s">
        <v>431</v>
      </c>
      <c r="J66" s="20" t="s">
        <v>431</v>
      </c>
      <c r="K66" s="18" t="n">
        <v>0</v>
      </c>
      <c r="L66" s="20" t="n">
        <v>0</v>
      </c>
      <c r="M66" s="18" t="n">
        <v>0.24549522</v>
      </c>
      <c r="N66" s="20" t="n">
        <v>0.24715796</v>
      </c>
      <c r="O66" s="18" t="n">
        <v>0</v>
      </c>
      <c r="P66" s="20" t="n">
        <v>0</v>
      </c>
      <c r="Q66" s="18" t="n">
        <v>30.40337645</v>
      </c>
      <c r="R66" s="20" t="n">
        <v>2.56553713</v>
      </c>
    </row>
    <row r="67" spans="1:18">
      <c r="A67" s="15" t="s">
        <v>491</v>
      </c>
      <c r="B67" s="17" t="n">
        <v>3511</v>
      </c>
      <c r="C67" s="18">
        <f>(3108.0/B67*100)</f>
        <v/>
      </c>
      <c r="D67" s="19" t="n">
        <v>403</v>
      </c>
      <c r="E67" s="18" t="n">
        <v>56.93553952</v>
      </c>
      <c r="F67" s="20" t="n">
        <v>2.48361696</v>
      </c>
      <c r="G67" s="18" t="n">
        <v>34.99683063</v>
      </c>
      <c r="H67" s="20" t="n">
        <v>2.48311174</v>
      </c>
      <c r="I67" s="18" t="s">
        <v>431</v>
      </c>
      <c r="J67" s="20" t="s">
        <v>431</v>
      </c>
      <c r="K67" s="18" t="n">
        <v>0.17218305</v>
      </c>
      <c r="L67" s="20" t="n">
        <v>0.17033625</v>
      </c>
      <c r="M67" s="18" t="n">
        <v>0.27293102</v>
      </c>
      <c r="N67" s="20" t="n">
        <v>0.27267872</v>
      </c>
      <c r="O67" s="18" t="n">
        <v>0</v>
      </c>
      <c r="P67" s="20" t="n">
        <v>0</v>
      </c>
      <c r="Q67" s="18" t="n">
        <v>7.62251577</v>
      </c>
      <c r="R67" s="20" t="n">
        <v>1.44358598</v>
      </c>
    </row>
    <row r="68" spans="1:18">
      <c r="A68" s="15" t="s">
        <v>492</v>
      </c>
      <c r="B68" s="17" t="n">
        <v>6049</v>
      </c>
      <c r="C68" s="18">
        <f>(5046.0/B68*100)</f>
        <v/>
      </c>
      <c r="D68" s="19" t="n">
        <v>1003</v>
      </c>
      <c r="E68" s="18" t="n">
        <v>44.92432371</v>
      </c>
      <c r="F68" s="20" t="n">
        <v>1.69665454</v>
      </c>
      <c r="G68" s="18" t="n">
        <v>36.37868896</v>
      </c>
      <c r="H68" s="20" t="n">
        <v>1.49546334</v>
      </c>
      <c r="I68" s="18" t="s">
        <v>431</v>
      </c>
      <c r="J68" s="20" t="s">
        <v>431</v>
      </c>
      <c r="K68" s="18" t="n">
        <v>2.5801857</v>
      </c>
      <c r="L68" s="20" t="n">
        <v>0.55520537</v>
      </c>
      <c r="M68" s="18" t="n">
        <v>0</v>
      </c>
      <c r="N68" s="20" t="n">
        <v>0</v>
      </c>
      <c r="O68" s="18" t="n">
        <v>0</v>
      </c>
      <c r="P68" s="20" t="n">
        <v>0</v>
      </c>
      <c r="Q68" s="18" t="n">
        <v>16.11680163</v>
      </c>
      <c r="R68" s="20" t="n">
        <v>1.21766225</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(2565.0/B70*100)</f>
        <v/>
      </c>
      <c r="D70" s="19" t="n">
        <v>364</v>
      </c>
      <c r="E70" s="18" t="n">
        <v>33.67497788</v>
      </c>
      <c r="F70" s="20" t="n">
        <v>3.35729568</v>
      </c>
      <c r="G70" s="18" t="n">
        <v>55.69426564</v>
      </c>
      <c r="H70" s="20" t="n">
        <v>3.55176487</v>
      </c>
      <c r="I70" s="18" t="s">
        <v>431</v>
      </c>
      <c r="J70" s="20" t="s">
        <v>431</v>
      </c>
      <c r="K70" s="18" t="n">
        <v>0</v>
      </c>
      <c r="L70" s="20" t="n">
        <v>0</v>
      </c>
      <c r="M70" s="18" t="n">
        <v>0</v>
      </c>
      <c r="N70" s="20" t="n">
        <v>0</v>
      </c>
      <c r="O70" s="18" t="n">
        <v>0</v>
      </c>
      <c r="P70" s="20" t="n">
        <v>0</v>
      </c>
      <c r="Q70" s="18" t="n">
        <v>10.63075648</v>
      </c>
      <c r="R70" s="20" t="n">
        <v>1.92152363</v>
      </c>
    </row>
    <row r="71" spans="1:18">
      <c r="A71" s="15" t="s">
        <v>495</v>
      </c>
      <c r="B71" s="17" t="n">
        <v>3142</v>
      </c>
      <c r="C71" s="18">
        <f>(2759.0/B71*100)</f>
        <v/>
      </c>
      <c r="D71" s="19" t="n">
        <v>383</v>
      </c>
      <c r="E71" s="18" t="n">
        <v>25.55614366</v>
      </c>
      <c r="F71" s="20" t="n">
        <v>2.24656922</v>
      </c>
      <c r="G71" s="18" t="n">
        <v>70.45098038</v>
      </c>
      <c r="H71" s="20" t="n">
        <v>2.43361231</v>
      </c>
      <c r="I71" s="18" t="s">
        <v>431</v>
      </c>
      <c r="J71" s="20" t="s">
        <v>431</v>
      </c>
      <c r="K71" s="18" t="n">
        <v>0.23768852</v>
      </c>
      <c r="L71" s="20" t="n">
        <v>0.236413</v>
      </c>
      <c r="M71" s="18" t="n">
        <v>0.16078068</v>
      </c>
      <c r="N71" s="20" t="n">
        <v>0.16021089</v>
      </c>
      <c r="O71" s="18" t="n">
        <v>0</v>
      </c>
      <c r="P71" s="20" t="n">
        <v>0</v>
      </c>
      <c r="Q71" s="18" t="n">
        <v>3.59440677</v>
      </c>
      <c r="R71" s="20" t="n">
        <v>0.91844276</v>
      </c>
    </row>
    <row r="72" spans="1:18">
      <c r="A72" s="15" t="s">
        <v>496</v>
      </c>
      <c r="B72" s="17" t="n">
        <v>3889</v>
      </c>
      <c r="C72" s="18">
        <f>(3397.0/B72*100)</f>
        <v/>
      </c>
      <c r="D72" s="19" t="n">
        <v>492</v>
      </c>
      <c r="E72" s="18" t="n">
        <v>32.09509092</v>
      </c>
      <c r="F72" s="20" t="n">
        <v>1.89856068</v>
      </c>
      <c r="G72" s="18" t="n">
        <v>59.33983353</v>
      </c>
      <c r="H72" s="20" t="n">
        <v>2.19160124</v>
      </c>
      <c r="I72" s="18" t="s">
        <v>431</v>
      </c>
      <c r="J72" s="20" t="s">
        <v>431</v>
      </c>
      <c r="K72" s="18" t="n">
        <v>0.14090157</v>
      </c>
      <c r="L72" s="20" t="n">
        <v>0.14368853</v>
      </c>
      <c r="M72" s="18" t="n">
        <v>0</v>
      </c>
      <c r="N72" s="20" t="n">
        <v>0</v>
      </c>
      <c r="O72" s="18" t="n">
        <v>0</v>
      </c>
      <c r="P72" s="20" t="n">
        <v>0</v>
      </c>
      <c r="Q72" s="18" t="n">
        <v>8.42417397</v>
      </c>
      <c r="R72" s="20" t="n">
        <v>1.34387363</v>
      </c>
    </row>
    <row r="73" spans="1:18">
      <c r="A73" s="15" t="s">
        <v>497</v>
      </c>
      <c r="B73" s="17" t="n">
        <v>3597</v>
      </c>
      <c r="C73" s="18">
        <f>(3192.0/B73*100)</f>
        <v/>
      </c>
      <c r="D73" s="19" t="n">
        <v>405</v>
      </c>
      <c r="E73" s="18" t="n">
        <v>47.01468357</v>
      </c>
      <c r="F73" s="20" t="n">
        <v>2.96962863</v>
      </c>
      <c r="G73" s="18" t="n">
        <v>49.74116752</v>
      </c>
      <c r="H73" s="20" t="n">
        <v>3.056925</v>
      </c>
      <c r="I73" s="18" t="s">
        <v>431</v>
      </c>
      <c r="J73" s="20" t="s">
        <v>431</v>
      </c>
      <c r="K73" s="18" t="n">
        <v>0</v>
      </c>
      <c r="L73" s="20" t="n">
        <v>0</v>
      </c>
      <c r="M73" s="18" t="n">
        <v>0</v>
      </c>
      <c r="N73" s="20" t="n">
        <v>0</v>
      </c>
      <c r="O73" s="18" t="n">
        <v>0</v>
      </c>
      <c r="P73" s="20" t="n">
        <v>0</v>
      </c>
      <c r="Q73" s="18" t="n">
        <v>3.24414891</v>
      </c>
      <c r="R73" s="20" t="n">
        <v>1.0804083</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(2139.0/B75*100)</f>
        <v/>
      </c>
      <c r="D75" s="19" t="n">
        <v>267</v>
      </c>
      <c r="E75" s="18" t="n">
        <v>53.39868404</v>
      </c>
      <c r="F75" s="20" t="n">
        <v>3.46092011</v>
      </c>
      <c r="G75" s="18" t="n">
        <v>21.36945687</v>
      </c>
      <c r="H75" s="20" t="n">
        <v>2.56680104</v>
      </c>
      <c r="I75" s="18" t="s">
        <v>431</v>
      </c>
      <c r="J75" s="20" t="s">
        <v>431</v>
      </c>
      <c r="K75" s="18" t="n">
        <v>3.88982268</v>
      </c>
      <c r="L75" s="20" t="n">
        <v>1.16073136</v>
      </c>
      <c r="M75" s="18" t="n">
        <v>1.19372385</v>
      </c>
      <c r="N75" s="20" t="n">
        <v>0.88708912</v>
      </c>
      <c r="O75" s="18" t="n">
        <v>0</v>
      </c>
      <c r="P75" s="20" t="n">
        <v>0</v>
      </c>
      <c r="Q75" s="18" t="n">
        <v>20.14831257</v>
      </c>
      <c r="R75" s="20" t="n">
        <v>2.98501464</v>
      </c>
    </row>
    <row r="76" spans="1:18">
      <c r="A76" s="15" t="s">
        <v>500</v>
      </c>
      <c r="B76" s="17" t="n">
        <v>7052</v>
      </c>
      <c r="C76" s="18">
        <f>(6199.0/B76*100)</f>
        <v/>
      </c>
      <c r="D76" s="19" t="n">
        <v>853</v>
      </c>
      <c r="E76" s="18" t="n">
        <v>34.27216591</v>
      </c>
      <c r="F76" s="20" t="n">
        <v>1.93317954</v>
      </c>
      <c r="G76" s="18" t="n">
        <v>55.53383265</v>
      </c>
      <c r="H76" s="20" t="n">
        <v>2.10623313</v>
      </c>
      <c r="I76" s="18" t="s">
        <v>431</v>
      </c>
      <c r="J76" s="20" t="s">
        <v>431</v>
      </c>
      <c r="K76" s="18" t="n">
        <v>0.67239509</v>
      </c>
      <c r="L76" s="20" t="n">
        <v>0.33040923</v>
      </c>
      <c r="M76" s="18" t="n">
        <v>0.42488813</v>
      </c>
      <c r="N76" s="20" t="n">
        <v>0.36454125</v>
      </c>
      <c r="O76" s="18" t="n">
        <v>0</v>
      </c>
      <c r="P76" s="20" t="n">
        <v>0</v>
      </c>
      <c r="Q76" s="18" t="n">
        <v>9.09671822</v>
      </c>
      <c r="R76" s="20" t="n">
        <v>1.28483172</v>
      </c>
    </row>
    <row r="77" spans="1:18">
      <c r="A77" s="15" t="s">
        <v>501</v>
      </c>
      <c r="B77" s="17" t="n">
        <v>2908</v>
      </c>
      <c r="C77" s="18">
        <f>(2560.0/B77*100)</f>
        <v/>
      </c>
      <c r="D77" s="19" t="n">
        <v>348</v>
      </c>
      <c r="E77" s="18" t="n">
        <v>28.75336391</v>
      </c>
      <c r="F77" s="20" t="n">
        <v>2.60114084</v>
      </c>
      <c r="G77" s="18" t="n">
        <v>51.98025225</v>
      </c>
      <c r="H77" s="20" t="n">
        <v>2.88040628</v>
      </c>
      <c r="I77" s="18" t="s">
        <v>431</v>
      </c>
      <c r="J77" s="20" t="s">
        <v>431</v>
      </c>
      <c r="K77" s="18" t="n">
        <v>0.85807055</v>
      </c>
      <c r="L77" s="20" t="n">
        <v>0.5037937</v>
      </c>
      <c r="M77" s="18" t="n">
        <v>0</v>
      </c>
      <c r="N77" s="20" t="n">
        <v>0</v>
      </c>
      <c r="O77" s="18" t="n">
        <v>0</v>
      </c>
      <c r="P77" s="20" t="n">
        <v>0</v>
      </c>
      <c r="Q77" s="18" t="n">
        <v>18.40831329</v>
      </c>
      <c r="R77" s="20" t="n">
        <v>2.31919805</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(3629.0/B81*100)</f>
        <v/>
      </c>
      <c r="D81" s="19" t="n">
        <v>534</v>
      </c>
      <c r="E81" s="18" t="n">
        <v>53.87878829</v>
      </c>
      <c r="F81" s="20" t="n">
        <v>2.80384918</v>
      </c>
      <c r="G81" s="18" t="n">
        <v>42.32479622</v>
      </c>
      <c r="H81" s="20" t="n">
        <v>2.91681415</v>
      </c>
      <c r="I81" s="18" t="s">
        <v>431</v>
      </c>
      <c r="J81" s="20" t="s">
        <v>431</v>
      </c>
      <c r="K81" s="18" t="n">
        <v>0.18078972</v>
      </c>
      <c r="L81" s="20" t="n">
        <v>0.17506931</v>
      </c>
      <c r="M81" s="18" t="n">
        <v>0</v>
      </c>
      <c r="N81" s="20" t="n">
        <v>0</v>
      </c>
      <c r="O81" s="18" t="n">
        <v>0</v>
      </c>
      <c r="P81" s="20" t="n">
        <v>0</v>
      </c>
      <c r="Q81" s="18" t="n">
        <v>3.61562577</v>
      </c>
      <c r="R81" s="20" t="n">
        <v>1.01982263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(6457.0/B7*100)</f>
        <v/>
      </c>
      <c r="D7" s="19" t="n">
        <v>910</v>
      </c>
      <c r="E7" s="18" t="n">
        <v>46.33327962</v>
      </c>
      <c r="F7" s="20" t="n">
        <v>2.25701704</v>
      </c>
      <c r="G7" s="18" t="n">
        <v>52.66328746</v>
      </c>
      <c r="H7" s="20" t="n">
        <v>2.21460061</v>
      </c>
      <c r="I7" s="18" t="s">
        <v>431</v>
      </c>
      <c r="J7" s="20" t="s">
        <v>431</v>
      </c>
      <c r="K7" s="18" t="n">
        <v>0.3626873</v>
      </c>
      <c r="L7" s="20" t="n">
        <v>0.25430642</v>
      </c>
      <c r="M7" s="18" t="n">
        <v>0</v>
      </c>
      <c r="N7" s="20" t="n">
        <v>0</v>
      </c>
      <c r="O7" s="18" t="n">
        <v>0</v>
      </c>
      <c r="P7" s="20" t="n">
        <v>0</v>
      </c>
      <c r="Q7" s="18" t="n">
        <v>0.64074562</v>
      </c>
      <c r="R7" s="20" t="n">
        <v>0.31450593</v>
      </c>
    </row>
    <row r="8" spans="1:18">
      <c r="A8" s="15" t="s">
        <v>432</v>
      </c>
      <c r="B8" s="17" t="n">
        <v>3564</v>
      </c>
      <c r="C8" s="18">
        <f>(3138.0/B8*100)</f>
        <v/>
      </c>
      <c r="D8" s="19" t="n">
        <v>426</v>
      </c>
      <c r="E8" s="18" t="n">
        <v>42.43165506</v>
      </c>
      <c r="F8" s="20" t="n">
        <v>2.66231296</v>
      </c>
      <c r="G8" s="18" t="n">
        <v>57.09165757</v>
      </c>
      <c r="H8" s="20" t="n">
        <v>2.66459027</v>
      </c>
      <c r="I8" s="18" t="s">
        <v>431</v>
      </c>
      <c r="J8" s="20" t="s">
        <v>431</v>
      </c>
      <c r="K8" s="18" t="n">
        <v>0</v>
      </c>
      <c r="L8" s="20" t="n">
        <v>0</v>
      </c>
      <c r="M8" s="18" t="n">
        <v>0</v>
      </c>
      <c r="N8" s="20" t="n">
        <v>0</v>
      </c>
      <c r="O8" s="18" t="n">
        <v>0</v>
      </c>
      <c r="P8" s="20" t="n">
        <v>0</v>
      </c>
      <c r="Q8" s="18" t="n">
        <v>0.47668737</v>
      </c>
      <c r="R8" s="20" t="n">
        <v>0.43823274</v>
      </c>
    </row>
    <row r="9" spans="1:18">
      <c r="A9" s="15" t="s">
        <v>433</v>
      </c>
      <c r="B9" s="17" t="n">
        <v>4899</v>
      </c>
      <c r="C9" s="18">
        <f>(4323.0/B9*100)</f>
        <v/>
      </c>
      <c r="D9" s="19" t="n">
        <v>576</v>
      </c>
      <c r="E9" s="18" t="n">
        <v>42.14153088</v>
      </c>
      <c r="F9" s="20" t="n">
        <v>2.71139466</v>
      </c>
      <c r="G9" s="18" t="n">
        <v>56.49266712</v>
      </c>
      <c r="H9" s="20" t="n">
        <v>2.75379609</v>
      </c>
      <c r="I9" s="18" t="s">
        <v>431</v>
      </c>
      <c r="J9" s="20" t="s">
        <v>431</v>
      </c>
      <c r="K9" s="18" t="n">
        <v>0</v>
      </c>
      <c r="L9" s="20" t="n">
        <v>0</v>
      </c>
      <c r="M9" s="18" t="n">
        <v>0</v>
      </c>
      <c r="N9" s="20" t="n">
        <v>0</v>
      </c>
      <c r="O9" s="18" t="n">
        <v>0</v>
      </c>
      <c r="P9" s="20" t="n">
        <v>0</v>
      </c>
      <c r="Q9" s="18" t="n">
        <v>1.36580201</v>
      </c>
      <c r="R9" s="20" t="n">
        <v>0.45670007</v>
      </c>
    </row>
    <row r="10" spans="1:18">
      <c r="A10" s="15" t="s">
        <v>434</v>
      </c>
      <c r="B10" s="17" t="n">
        <v>10036</v>
      </c>
      <c r="C10" s="18">
        <f>(8783.0/B10*100)</f>
        <v/>
      </c>
      <c r="D10" s="19" t="n">
        <v>1253</v>
      </c>
      <c r="E10" s="18" t="n">
        <v>41.3781678</v>
      </c>
      <c r="F10" s="20" t="n">
        <v>2.19053958</v>
      </c>
      <c r="G10" s="18" t="n">
        <v>57.79165089</v>
      </c>
      <c r="H10" s="20" t="n">
        <v>2.19000601</v>
      </c>
      <c r="I10" s="18" t="s">
        <v>431</v>
      </c>
      <c r="J10" s="20" t="s">
        <v>431</v>
      </c>
      <c r="K10" s="18" t="n">
        <v>0.5358813</v>
      </c>
      <c r="L10" s="20" t="n">
        <v>0.29143372</v>
      </c>
      <c r="M10" s="18" t="n">
        <v>0</v>
      </c>
      <c r="N10" s="20" t="n">
        <v>0</v>
      </c>
      <c r="O10" s="18" t="n">
        <v>0</v>
      </c>
      <c r="P10" s="20" t="n">
        <v>0</v>
      </c>
      <c r="Q10" s="18" t="n">
        <v>0.29430001</v>
      </c>
      <c r="R10" s="20" t="n">
        <v>0.15511316</v>
      </c>
    </row>
    <row r="11" spans="1:18">
      <c r="A11" s="15" t="s">
        <v>435</v>
      </c>
      <c r="B11" s="17" t="n">
        <v>3553</v>
      </c>
      <c r="C11" s="18">
        <f>(3126.0/B11*100)</f>
        <v/>
      </c>
      <c r="D11" s="19" t="n">
        <v>427</v>
      </c>
      <c r="E11" s="18" t="n">
        <v>55.97061562</v>
      </c>
      <c r="F11" s="20" t="n">
        <v>2.80845165</v>
      </c>
      <c r="G11" s="18" t="n">
        <v>42.41568012</v>
      </c>
      <c r="H11" s="20" t="n">
        <v>2.86478709</v>
      </c>
      <c r="I11" s="18" t="s">
        <v>431</v>
      </c>
      <c r="J11" s="20" t="s">
        <v>431</v>
      </c>
      <c r="K11" s="18" t="n">
        <v>0.73439585</v>
      </c>
      <c r="L11" s="20" t="n">
        <v>0.52057966</v>
      </c>
      <c r="M11" s="18" t="n">
        <v>0</v>
      </c>
      <c r="N11" s="20" t="n">
        <v>0</v>
      </c>
      <c r="O11" s="18" t="n">
        <v>0</v>
      </c>
      <c r="P11" s="20" t="n">
        <v>0</v>
      </c>
      <c r="Q11" s="18" t="n">
        <v>0.87930841</v>
      </c>
      <c r="R11" s="20" t="n">
        <v>0.39162596</v>
      </c>
    </row>
    <row r="12" spans="1:18">
      <c r="A12" s="15" t="s">
        <v>436</v>
      </c>
      <c r="B12" s="17" t="n">
        <v>3472</v>
      </c>
      <c r="C12" s="18">
        <f>(3061.0/B12*100)</f>
        <v/>
      </c>
      <c r="D12" s="19" t="n">
        <v>411</v>
      </c>
      <c r="E12" s="18" t="n">
        <v>41.14545827</v>
      </c>
      <c r="F12" s="20" t="n">
        <v>2.72291257</v>
      </c>
      <c r="G12" s="18" t="n">
        <v>58.73699372</v>
      </c>
      <c r="H12" s="20" t="n">
        <v>2.73624266</v>
      </c>
      <c r="I12" s="18" t="s">
        <v>431</v>
      </c>
      <c r="J12" s="20" t="s">
        <v>431</v>
      </c>
      <c r="K12" s="18" t="n">
        <v>0</v>
      </c>
      <c r="L12" s="20" t="n">
        <v>0</v>
      </c>
      <c r="M12" s="18" t="n">
        <v>0</v>
      </c>
      <c r="N12" s="20" t="n">
        <v>0</v>
      </c>
      <c r="O12" s="18" t="n">
        <v>0</v>
      </c>
      <c r="P12" s="20" t="n">
        <v>0</v>
      </c>
      <c r="Q12" s="18" t="n">
        <v>0.11754802</v>
      </c>
      <c r="R12" s="20" t="n">
        <v>0.12122517</v>
      </c>
    </row>
    <row r="13" spans="1:18">
      <c r="A13" s="15" t="s">
        <v>437</v>
      </c>
      <c r="B13" s="17" t="n">
        <v>3559</v>
      </c>
      <c r="C13" s="18">
        <f>(3153.0/B13*100)</f>
        <v/>
      </c>
      <c r="D13" s="19" t="n">
        <v>406</v>
      </c>
      <c r="E13" s="18" t="n">
        <v>37.11484884</v>
      </c>
      <c r="F13" s="20" t="n">
        <v>2.92423284</v>
      </c>
      <c r="G13" s="18" t="n">
        <v>62.74767978</v>
      </c>
      <c r="H13" s="20" t="n">
        <v>2.91095285</v>
      </c>
      <c r="I13" s="18" t="s">
        <v>431</v>
      </c>
      <c r="J13" s="20" t="s">
        <v>431</v>
      </c>
      <c r="K13" s="18" t="n">
        <v>0</v>
      </c>
      <c r="L13" s="20" t="n">
        <v>0</v>
      </c>
      <c r="M13" s="18" t="n">
        <v>0</v>
      </c>
      <c r="N13" s="20" t="n">
        <v>0</v>
      </c>
      <c r="O13" s="18" t="n">
        <v>0</v>
      </c>
      <c r="P13" s="20" t="n">
        <v>0</v>
      </c>
      <c r="Q13" s="18" t="n">
        <v>0.13747139</v>
      </c>
      <c r="R13" s="20" t="n">
        <v>0.10323396</v>
      </c>
    </row>
    <row r="14" spans="1:18">
      <c r="A14" s="15" t="s">
        <v>438</v>
      </c>
      <c r="B14" s="17" t="n">
        <v>2799</v>
      </c>
      <c r="C14" s="18">
        <f>(2450.0/B14*100)</f>
        <v/>
      </c>
      <c r="D14" s="19" t="n">
        <v>349</v>
      </c>
      <c r="E14" s="18" t="n">
        <v>33.88878948</v>
      </c>
      <c r="F14" s="20" t="n">
        <v>2.59050488</v>
      </c>
      <c r="G14" s="18" t="n">
        <v>66.11121052</v>
      </c>
      <c r="H14" s="20" t="n">
        <v>2.59050488</v>
      </c>
      <c r="I14" s="18" t="s">
        <v>431</v>
      </c>
      <c r="J14" s="20" t="s">
        <v>431</v>
      </c>
      <c r="K14" s="18" t="n">
        <v>0</v>
      </c>
      <c r="L14" s="20" t="n">
        <v>0</v>
      </c>
      <c r="M14" s="18" t="n">
        <v>0</v>
      </c>
      <c r="N14" s="20" t="n">
        <v>0</v>
      </c>
      <c r="O14" s="18" t="n">
        <v>0</v>
      </c>
      <c r="P14" s="20" t="n">
        <v>0</v>
      </c>
      <c r="Q14" s="18" t="n">
        <v>0</v>
      </c>
      <c r="R14" s="20" t="n">
        <v>0</v>
      </c>
    </row>
    <row r="15" spans="1:18">
      <c r="A15" s="15" t="s">
        <v>439</v>
      </c>
      <c r="B15" s="17" t="n">
        <v>3019</v>
      </c>
      <c r="C15" s="18">
        <f>(2649.0/B15*100)</f>
        <v/>
      </c>
      <c r="D15" s="19" t="n">
        <v>370</v>
      </c>
      <c r="E15" s="18" t="n">
        <v>33.56806002</v>
      </c>
      <c r="F15" s="20" t="n">
        <v>2.30115725</v>
      </c>
      <c r="G15" s="18" t="n">
        <v>66.43193998</v>
      </c>
      <c r="H15" s="20" t="n">
        <v>2.30115725</v>
      </c>
      <c r="I15" s="18" t="s">
        <v>431</v>
      </c>
      <c r="J15" s="20" t="s">
        <v>431</v>
      </c>
      <c r="K15" s="18" t="n">
        <v>0</v>
      </c>
      <c r="L15" s="20" t="n">
        <v>0</v>
      </c>
      <c r="M15" s="18" t="n">
        <v>0</v>
      </c>
      <c r="N15" s="20" t="n">
        <v>0</v>
      </c>
      <c r="O15" s="18" t="n">
        <v>0</v>
      </c>
      <c r="P15" s="20" t="n">
        <v>0</v>
      </c>
      <c r="Q15" s="18" t="n">
        <v>0</v>
      </c>
      <c r="R15" s="20" t="n">
        <v>0</v>
      </c>
    </row>
    <row r="16" spans="1:18">
      <c r="A16" s="15" t="s">
        <v>440</v>
      </c>
      <c r="B16" s="17" t="n">
        <v>2997</v>
      </c>
      <c r="C16" s="18">
        <f>(2641.0/B16*100)</f>
        <v/>
      </c>
      <c r="D16" s="19" t="n">
        <v>356</v>
      </c>
      <c r="E16" s="18" t="n">
        <v>39.33391482</v>
      </c>
      <c r="F16" s="20" t="n">
        <v>2.50362307</v>
      </c>
      <c r="G16" s="18" t="n">
        <v>59.47875016</v>
      </c>
      <c r="H16" s="20" t="n">
        <v>2.54393804</v>
      </c>
      <c r="I16" s="18" t="s">
        <v>431</v>
      </c>
      <c r="J16" s="20" t="s">
        <v>431</v>
      </c>
      <c r="K16" s="18" t="n">
        <v>0.24914657</v>
      </c>
      <c r="L16" s="20" t="n">
        <v>0.24924741</v>
      </c>
      <c r="M16" s="18" t="n">
        <v>0</v>
      </c>
      <c r="N16" s="20" t="n">
        <v>0</v>
      </c>
      <c r="O16" s="18" t="n">
        <v>0</v>
      </c>
      <c r="P16" s="20" t="n">
        <v>0</v>
      </c>
      <c r="Q16" s="18" t="n">
        <v>0.93818844</v>
      </c>
      <c r="R16" s="20" t="n">
        <v>0.54950422</v>
      </c>
    </row>
    <row r="17" spans="1:18">
      <c r="A17" s="15" t="s">
        <v>441</v>
      </c>
      <c r="B17" s="17" t="n">
        <v>3307</v>
      </c>
      <c r="C17" s="18">
        <f>(2906.0/B17*100)</f>
        <v/>
      </c>
      <c r="D17" s="19" t="n">
        <v>401</v>
      </c>
      <c r="E17" s="18" t="n">
        <v>32.75081119</v>
      </c>
      <c r="F17" s="20" t="n">
        <v>2.21498173</v>
      </c>
      <c r="G17" s="18" t="n">
        <v>65.79616486</v>
      </c>
      <c r="H17" s="20" t="n">
        <v>2.27364432</v>
      </c>
      <c r="I17" s="18" t="s">
        <v>431</v>
      </c>
      <c r="J17" s="20" t="s">
        <v>431</v>
      </c>
      <c r="K17" s="18" t="n">
        <v>0.75590927</v>
      </c>
      <c r="L17" s="20" t="n">
        <v>0.4484839</v>
      </c>
      <c r="M17" s="18" t="n">
        <v>0</v>
      </c>
      <c r="N17" s="20" t="n">
        <v>0</v>
      </c>
      <c r="O17" s="18" t="n">
        <v>0</v>
      </c>
      <c r="P17" s="20" t="n">
        <v>0</v>
      </c>
      <c r="Q17" s="18" t="n">
        <v>0.69711467</v>
      </c>
      <c r="R17" s="20" t="n">
        <v>0.3153961</v>
      </c>
    </row>
    <row r="18" spans="1:18">
      <c r="A18" s="15" t="s">
        <v>442</v>
      </c>
      <c r="B18" s="17" t="n">
        <v>2826</v>
      </c>
      <c r="C18" s="18">
        <f>(2484.0/B18*100)</f>
        <v/>
      </c>
      <c r="D18" s="19" t="n">
        <v>342</v>
      </c>
      <c r="E18" s="18" t="n">
        <v>44.82035604</v>
      </c>
      <c r="F18" s="20" t="n">
        <v>3.18744192</v>
      </c>
      <c r="G18" s="18" t="n">
        <v>53.61655223</v>
      </c>
      <c r="H18" s="20" t="n">
        <v>2.96493844</v>
      </c>
      <c r="I18" s="18" t="s">
        <v>431</v>
      </c>
      <c r="J18" s="20" t="s">
        <v>431</v>
      </c>
      <c r="K18" s="18" t="n">
        <v>0.49941731</v>
      </c>
      <c r="L18" s="20" t="n">
        <v>0.3510716</v>
      </c>
      <c r="M18" s="18" t="n">
        <v>0</v>
      </c>
      <c r="N18" s="20" t="n">
        <v>0</v>
      </c>
      <c r="O18" s="18" t="n">
        <v>0</v>
      </c>
      <c r="P18" s="20" t="n">
        <v>0</v>
      </c>
      <c r="Q18" s="18" t="n">
        <v>1.06367443</v>
      </c>
      <c r="R18" s="20" t="n">
        <v>0.54483465</v>
      </c>
    </row>
    <row r="19" spans="1:18">
      <c r="A19" s="15" t="s">
        <v>443</v>
      </c>
      <c r="B19" s="17" t="n">
        <v>2808</v>
      </c>
      <c r="C19" s="18">
        <f>(2476.0/B19*100)</f>
        <v/>
      </c>
      <c r="D19" s="19" t="n">
        <v>332</v>
      </c>
      <c r="E19" s="18" t="n">
        <v>38.1874854</v>
      </c>
      <c r="F19" s="20" t="n">
        <v>3.07865589</v>
      </c>
      <c r="G19" s="18" t="n">
        <v>60.96336816</v>
      </c>
      <c r="H19" s="20" t="n">
        <v>3.15186697</v>
      </c>
      <c r="I19" s="18" t="s">
        <v>431</v>
      </c>
      <c r="J19" s="20" t="s">
        <v>431</v>
      </c>
      <c r="K19" s="18" t="n">
        <v>0</v>
      </c>
      <c r="L19" s="20" t="n">
        <v>0</v>
      </c>
      <c r="M19" s="18" t="n">
        <v>0</v>
      </c>
      <c r="N19" s="20" t="n">
        <v>0</v>
      </c>
      <c r="O19" s="18" t="n">
        <v>0</v>
      </c>
      <c r="P19" s="20" t="n">
        <v>0</v>
      </c>
      <c r="Q19" s="18" t="n">
        <v>0.8491464399999999</v>
      </c>
      <c r="R19" s="20" t="n">
        <v>0.58359039</v>
      </c>
    </row>
    <row r="20" spans="1:18">
      <c r="A20" s="15" t="s">
        <v>444</v>
      </c>
      <c r="B20" s="17" t="n">
        <v>1630</v>
      </c>
      <c r="C20" s="18">
        <f>(1438.0/B20*100)</f>
        <v/>
      </c>
      <c r="D20" s="19" t="n">
        <v>192</v>
      </c>
      <c r="E20" s="18" t="n">
        <v>55.62349127</v>
      </c>
      <c r="F20" s="20" t="n">
        <v>4.00127564</v>
      </c>
      <c r="G20" s="18" t="n">
        <v>43.35182867</v>
      </c>
      <c r="H20" s="20" t="n">
        <v>3.93810396</v>
      </c>
      <c r="I20" s="18" t="s">
        <v>431</v>
      </c>
      <c r="J20" s="20" t="s">
        <v>431</v>
      </c>
      <c r="K20" s="18" t="n">
        <v>0.5123400299999999</v>
      </c>
      <c r="L20" s="20" t="n">
        <v>0.50918025</v>
      </c>
      <c r="M20" s="18" t="n">
        <v>0</v>
      </c>
      <c r="N20" s="20" t="n">
        <v>0</v>
      </c>
      <c r="O20" s="18" t="n">
        <v>0</v>
      </c>
      <c r="P20" s="20" t="n">
        <v>0</v>
      </c>
      <c r="Q20" s="18" t="n">
        <v>0.5123400299999999</v>
      </c>
      <c r="R20" s="20" t="n">
        <v>0.51231186</v>
      </c>
    </row>
    <row r="21" spans="1:18">
      <c r="A21" s="15" t="s">
        <v>445</v>
      </c>
      <c r="B21" s="17" t="n">
        <v>2908</v>
      </c>
      <c r="C21" s="18">
        <f>(2429.0/B21*100)</f>
        <v/>
      </c>
      <c r="D21" s="19" t="n">
        <v>479</v>
      </c>
      <c r="E21" s="18" t="n">
        <v>41.34840619</v>
      </c>
      <c r="F21" s="20" t="n">
        <v>2.67056488</v>
      </c>
      <c r="G21" s="18" t="n">
        <v>58.28243411</v>
      </c>
      <c r="H21" s="20" t="n">
        <v>2.71906793</v>
      </c>
      <c r="I21" s="18" t="s">
        <v>431</v>
      </c>
      <c r="J21" s="20" t="s">
        <v>431</v>
      </c>
      <c r="K21" s="18" t="n">
        <v>0.17378083</v>
      </c>
      <c r="L21" s="20" t="n">
        <v>0.12307943</v>
      </c>
      <c r="M21" s="18" t="n">
        <v>0</v>
      </c>
      <c r="N21" s="20" t="n">
        <v>0</v>
      </c>
      <c r="O21" s="18" t="n">
        <v>0</v>
      </c>
      <c r="P21" s="20" t="n">
        <v>0</v>
      </c>
      <c r="Q21" s="18" t="n">
        <v>0.19537888</v>
      </c>
      <c r="R21" s="20" t="n">
        <v>0.22317935</v>
      </c>
    </row>
    <row r="22" spans="1:18">
      <c r="A22" s="15" t="s">
        <v>446</v>
      </c>
      <c r="B22" s="17" t="n">
        <v>2931</v>
      </c>
      <c r="C22" s="18">
        <f>(2603.0/B22*100)</f>
        <v/>
      </c>
      <c r="D22" s="19" t="n">
        <v>328</v>
      </c>
      <c r="E22" s="18" t="n">
        <v>41.93765198</v>
      </c>
      <c r="F22" s="20" t="n">
        <v>2.28986698</v>
      </c>
      <c r="G22" s="18" t="n">
        <v>56.47920868</v>
      </c>
      <c r="H22" s="20" t="n">
        <v>2.33354979</v>
      </c>
      <c r="I22" s="18" t="s">
        <v>431</v>
      </c>
      <c r="J22" s="20" t="s">
        <v>431</v>
      </c>
      <c r="K22" s="18" t="n">
        <v>0.49480228</v>
      </c>
      <c r="L22" s="20" t="n">
        <v>0.35021742</v>
      </c>
      <c r="M22" s="18" t="n">
        <v>0</v>
      </c>
      <c r="N22" s="20" t="n">
        <v>0</v>
      </c>
      <c r="O22" s="18" t="n">
        <v>0</v>
      </c>
      <c r="P22" s="20" t="n">
        <v>0</v>
      </c>
      <c r="Q22" s="18" t="n">
        <v>1.08833706</v>
      </c>
      <c r="R22" s="20" t="n">
        <v>0.48259535</v>
      </c>
    </row>
    <row r="23" spans="1:18">
      <c r="A23" s="15" t="s">
        <v>447</v>
      </c>
      <c r="B23" s="17" t="n">
        <v>5791</v>
      </c>
      <c r="C23" s="18">
        <f>(5049.0/B23*100)</f>
        <v/>
      </c>
      <c r="D23" s="19" t="n">
        <v>742</v>
      </c>
      <c r="E23" s="18" t="n">
        <v>43.98201681</v>
      </c>
      <c r="F23" s="20" t="n">
        <v>2.62666135</v>
      </c>
      <c r="G23" s="18" t="n">
        <v>56.01284163</v>
      </c>
      <c r="H23" s="20" t="n">
        <v>2.62710311</v>
      </c>
      <c r="I23" s="18" t="s">
        <v>431</v>
      </c>
      <c r="J23" s="20" t="s">
        <v>431</v>
      </c>
      <c r="K23" s="18" t="n">
        <v>0</v>
      </c>
      <c r="L23" s="20" t="n">
        <v>0</v>
      </c>
      <c r="M23" s="18" t="n">
        <v>0</v>
      </c>
      <c r="N23" s="20" t="n">
        <v>0</v>
      </c>
      <c r="O23" s="18" t="n">
        <v>0</v>
      </c>
      <c r="P23" s="20" t="n">
        <v>0</v>
      </c>
      <c r="Q23" s="18" t="n">
        <v>0.00514155</v>
      </c>
      <c r="R23" s="20" t="n">
        <v>0.00522167</v>
      </c>
    </row>
    <row r="24" spans="1:18">
      <c r="A24" s="15" t="s">
        <v>448</v>
      </c>
      <c r="B24" s="17" t="n">
        <v>3338</v>
      </c>
      <c r="C24" s="18">
        <f>(2939.0/B24*100)</f>
        <v/>
      </c>
      <c r="D24" s="19" t="n">
        <v>399</v>
      </c>
      <c r="E24" s="18" t="n">
        <v>40.83364481</v>
      </c>
      <c r="F24" s="20" t="n">
        <v>2.86161347</v>
      </c>
      <c r="G24" s="18" t="n">
        <v>58.71973487</v>
      </c>
      <c r="H24" s="20" t="n">
        <v>2.87958165</v>
      </c>
      <c r="I24" s="18" t="s">
        <v>431</v>
      </c>
      <c r="J24" s="20" t="s">
        <v>431</v>
      </c>
      <c r="K24" s="18" t="n">
        <v>0.22076939</v>
      </c>
      <c r="L24" s="20" t="n">
        <v>0.21936153</v>
      </c>
      <c r="M24" s="18" t="n">
        <v>0</v>
      </c>
      <c r="N24" s="20" t="n">
        <v>0</v>
      </c>
      <c r="O24" s="18" t="n">
        <v>0</v>
      </c>
      <c r="P24" s="20" t="n">
        <v>0</v>
      </c>
      <c r="Q24" s="18" t="n">
        <v>0.22585093</v>
      </c>
      <c r="R24" s="20" t="n">
        <v>0.22382012</v>
      </c>
    </row>
    <row r="25" spans="1:18">
      <c r="A25" s="15" t="s">
        <v>449</v>
      </c>
      <c r="B25" s="17" t="n">
        <v>2912</v>
      </c>
      <c r="C25" s="18">
        <f>(2569.0/B25*100)</f>
        <v/>
      </c>
      <c r="D25" s="19" t="n">
        <v>343</v>
      </c>
      <c r="E25" s="18" t="n">
        <v>61.38993358</v>
      </c>
      <c r="F25" s="20" t="n">
        <v>2.81983818</v>
      </c>
      <c r="G25" s="18" t="n">
        <v>38.61006642</v>
      </c>
      <c r="H25" s="20" t="n">
        <v>2.81983818</v>
      </c>
      <c r="I25" s="18" t="s">
        <v>431</v>
      </c>
      <c r="J25" s="20" t="s">
        <v>431</v>
      </c>
      <c r="K25" s="18" t="n">
        <v>0</v>
      </c>
      <c r="L25" s="20" t="n">
        <v>0</v>
      </c>
      <c r="M25" s="18" t="n">
        <v>0</v>
      </c>
      <c r="N25" s="20" t="n">
        <v>0</v>
      </c>
      <c r="O25" s="18" t="n">
        <v>0</v>
      </c>
      <c r="P25" s="20" t="n">
        <v>0</v>
      </c>
      <c r="Q25" s="18" t="n">
        <v>0</v>
      </c>
      <c r="R25" s="20" t="n">
        <v>0</v>
      </c>
    </row>
    <row r="26" spans="1:18">
      <c r="A26" s="15" t="s">
        <v>450</v>
      </c>
      <c r="B26" s="17" t="n">
        <v>2450</v>
      </c>
      <c r="C26" s="18">
        <f>(2136.0/B26*100)</f>
        <v/>
      </c>
      <c r="D26" s="19" t="n">
        <v>314</v>
      </c>
      <c r="E26" s="18" t="n">
        <v>48.90975618</v>
      </c>
      <c r="F26" s="20" t="n">
        <v>2.78315724</v>
      </c>
      <c r="G26" s="18" t="n">
        <v>51.09024382</v>
      </c>
      <c r="H26" s="20" t="n">
        <v>2.78315724</v>
      </c>
      <c r="I26" s="18" t="s">
        <v>431</v>
      </c>
      <c r="J26" s="20" t="s">
        <v>431</v>
      </c>
      <c r="K26" s="18" t="n">
        <v>0</v>
      </c>
      <c r="L26" s="20" t="n">
        <v>0</v>
      </c>
      <c r="M26" s="18" t="n">
        <v>0</v>
      </c>
      <c r="N26" s="20" t="n">
        <v>0</v>
      </c>
      <c r="O26" s="18" t="n">
        <v>0</v>
      </c>
      <c r="P26" s="20" t="n">
        <v>0</v>
      </c>
      <c r="Q26" s="18" t="n">
        <v>0</v>
      </c>
      <c r="R26" s="20" t="n">
        <v>0</v>
      </c>
    </row>
    <row r="27" spans="1:18">
      <c r="A27" s="15" t="s">
        <v>451</v>
      </c>
      <c r="B27" s="17" t="n">
        <v>2616</v>
      </c>
      <c r="C27" s="18">
        <f>(2297.0/B27*100)</f>
        <v/>
      </c>
      <c r="D27" s="19" t="n">
        <v>319</v>
      </c>
      <c r="E27" s="18" t="n">
        <v>41.58564485</v>
      </c>
      <c r="F27" s="20" t="n">
        <v>2.59653347</v>
      </c>
      <c r="G27" s="18" t="n">
        <v>57.14534766</v>
      </c>
      <c r="H27" s="20" t="n">
        <v>2.57058447</v>
      </c>
      <c r="I27" s="18" t="s">
        <v>431</v>
      </c>
      <c r="J27" s="20" t="s">
        <v>431</v>
      </c>
      <c r="K27" s="18" t="n">
        <v>0</v>
      </c>
      <c r="L27" s="20" t="n">
        <v>0</v>
      </c>
      <c r="M27" s="18" t="n">
        <v>0</v>
      </c>
      <c r="N27" s="20" t="n">
        <v>0</v>
      </c>
      <c r="O27" s="18" t="n">
        <v>0</v>
      </c>
      <c r="P27" s="20" t="n">
        <v>0</v>
      </c>
      <c r="Q27" s="18" t="n">
        <v>1.26900749</v>
      </c>
      <c r="R27" s="20" t="n">
        <v>0.63771086</v>
      </c>
    </row>
    <row r="28" spans="1:18">
      <c r="A28" s="15" t="s">
        <v>452</v>
      </c>
      <c r="B28" s="17" t="n">
        <v>3765</v>
      </c>
      <c r="C28" s="18">
        <f>(3306.0/B28*100)</f>
        <v/>
      </c>
      <c r="D28" s="19" t="n">
        <v>459</v>
      </c>
      <c r="E28" s="18" t="n">
        <v>54.03484605</v>
      </c>
      <c r="F28" s="20" t="n">
        <v>2.8170217</v>
      </c>
      <c r="G28" s="18" t="n">
        <v>44.82721345</v>
      </c>
      <c r="H28" s="20" t="n">
        <v>2.80861396</v>
      </c>
      <c r="I28" s="18" t="s">
        <v>431</v>
      </c>
      <c r="J28" s="20" t="s">
        <v>431</v>
      </c>
      <c r="K28" s="18" t="n">
        <v>0.92913112</v>
      </c>
      <c r="L28" s="20" t="n">
        <v>0.56382184</v>
      </c>
      <c r="M28" s="18" t="n">
        <v>0</v>
      </c>
      <c r="N28" s="20" t="n">
        <v>0</v>
      </c>
      <c r="O28" s="18" t="n">
        <v>0</v>
      </c>
      <c r="P28" s="20" t="n">
        <v>0</v>
      </c>
      <c r="Q28" s="18" t="n">
        <v>0.20880937</v>
      </c>
      <c r="R28" s="20" t="n">
        <v>0.19788062</v>
      </c>
    </row>
    <row r="29" spans="1:18">
      <c r="A29" s="15" t="s">
        <v>453</v>
      </c>
      <c r="B29" s="17" t="n">
        <v>2685</v>
      </c>
      <c r="C29" s="18">
        <f>(2346.0/B29*100)</f>
        <v/>
      </c>
      <c r="D29" s="19" t="n">
        <v>339</v>
      </c>
      <c r="E29" s="18" t="n">
        <v>52.59489215</v>
      </c>
      <c r="F29" s="20" t="n">
        <v>3.03235678</v>
      </c>
      <c r="G29" s="18" t="n">
        <v>46.91317715</v>
      </c>
      <c r="H29" s="20" t="n">
        <v>3.03738193</v>
      </c>
      <c r="I29" s="18" t="s">
        <v>431</v>
      </c>
      <c r="J29" s="20" t="s">
        <v>431</v>
      </c>
      <c r="K29" s="18" t="n">
        <v>0.17456224</v>
      </c>
      <c r="L29" s="20" t="n">
        <v>0.17548825</v>
      </c>
      <c r="M29" s="18" t="n">
        <v>0</v>
      </c>
      <c r="N29" s="20" t="n">
        <v>0</v>
      </c>
      <c r="O29" s="18" t="n">
        <v>0</v>
      </c>
      <c r="P29" s="20" t="n">
        <v>0</v>
      </c>
      <c r="Q29" s="18" t="n">
        <v>0.31736846</v>
      </c>
      <c r="R29" s="20" t="n">
        <v>0.3003013</v>
      </c>
    </row>
    <row r="30" spans="1:18">
      <c r="A30" s="15" t="s">
        <v>454</v>
      </c>
      <c r="B30" s="17" t="n">
        <v>2263</v>
      </c>
      <c r="C30" s="18">
        <f>(1972.0/B30*100)</f>
        <v/>
      </c>
      <c r="D30" s="19" t="n">
        <v>291</v>
      </c>
      <c r="E30" s="18" t="n">
        <v>45.99577348</v>
      </c>
      <c r="F30" s="20" t="n">
        <v>3.21676927</v>
      </c>
      <c r="G30" s="18" t="n">
        <v>52.44926266</v>
      </c>
      <c r="H30" s="20" t="n">
        <v>3.16151763</v>
      </c>
      <c r="I30" s="18" t="s">
        <v>431</v>
      </c>
      <c r="J30" s="20" t="s">
        <v>431</v>
      </c>
      <c r="K30" s="18" t="n">
        <v>0.27331478</v>
      </c>
      <c r="L30" s="20" t="n">
        <v>0.27461454</v>
      </c>
      <c r="M30" s="18" t="n">
        <v>0</v>
      </c>
      <c r="N30" s="20" t="n">
        <v>0</v>
      </c>
      <c r="O30" s="18" t="n">
        <v>0</v>
      </c>
      <c r="P30" s="20" t="n">
        <v>0</v>
      </c>
      <c r="Q30" s="18" t="n">
        <v>1.28164908</v>
      </c>
      <c r="R30" s="20" t="n">
        <v>0.70606546</v>
      </c>
    </row>
    <row r="31" spans="1:18">
      <c r="A31" s="15" t="s">
        <v>455</v>
      </c>
      <c r="B31" s="17" t="n">
        <v>2750</v>
      </c>
      <c r="C31" s="18">
        <f>(2415.0/B31*100)</f>
        <v/>
      </c>
      <c r="D31" s="19" t="n">
        <v>335</v>
      </c>
      <c r="E31" s="18" t="n">
        <v>30.00671877</v>
      </c>
      <c r="F31" s="20" t="n">
        <v>2.74107032</v>
      </c>
      <c r="G31" s="18" t="n">
        <v>68.85304782999999</v>
      </c>
      <c r="H31" s="20" t="n">
        <v>2.74477352</v>
      </c>
      <c r="I31" s="18" t="s">
        <v>431</v>
      </c>
      <c r="J31" s="20" t="s">
        <v>431</v>
      </c>
      <c r="K31" s="18" t="n">
        <v>0.29836286</v>
      </c>
      <c r="L31" s="20" t="n">
        <v>0.28835479</v>
      </c>
      <c r="M31" s="18" t="n">
        <v>0</v>
      </c>
      <c r="N31" s="20" t="n">
        <v>0</v>
      </c>
      <c r="O31" s="18" t="n">
        <v>0</v>
      </c>
      <c r="P31" s="20" t="n">
        <v>0</v>
      </c>
      <c r="Q31" s="18" t="n">
        <v>0.8418705399999999</v>
      </c>
      <c r="R31" s="20" t="n">
        <v>0.47230615</v>
      </c>
    </row>
    <row r="32" spans="1:18">
      <c r="A32" s="15" t="s">
        <v>456</v>
      </c>
      <c r="B32" s="17" t="n">
        <v>2269</v>
      </c>
      <c r="C32" s="18">
        <f>(1917.0/B32*100)</f>
        <v/>
      </c>
      <c r="D32" s="19" t="n">
        <v>352</v>
      </c>
      <c r="E32" s="18" t="n">
        <v>43.76543734</v>
      </c>
      <c r="F32" s="20" t="n">
        <v>2.6243642</v>
      </c>
      <c r="G32" s="18" t="n">
        <v>55.9542089</v>
      </c>
      <c r="H32" s="20" t="n">
        <v>2.68928052</v>
      </c>
      <c r="I32" s="18" t="s">
        <v>431</v>
      </c>
      <c r="J32" s="20" t="s">
        <v>431</v>
      </c>
      <c r="K32" s="18" t="n">
        <v>0</v>
      </c>
      <c r="L32" s="20" t="n">
        <v>0</v>
      </c>
      <c r="M32" s="18" t="n">
        <v>0</v>
      </c>
      <c r="N32" s="20" t="n">
        <v>0</v>
      </c>
      <c r="O32" s="18" t="n">
        <v>0</v>
      </c>
      <c r="P32" s="20" t="n">
        <v>0</v>
      </c>
      <c r="Q32" s="18" t="n">
        <v>0.28035376</v>
      </c>
      <c r="R32" s="20" t="n">
        <v>0.2613016</v>
      </c>
    </row>
    <row r="33" spans="1:18">
      <c r="A33" s="15" t="s">
        <v>457</v>
      </c>
      <c r="B33" s="17" t="n">
        <v>3674</v>
      </c>
      <c r="C33" s="18">
        <f>(3221.0/B33*100)</f>
        <v/>
      </c>
      <c r="D33" s="19" t="n">
        <v>453</v>
      </c>
      <c r="E33" s="18" t="n">
        <v>50.46152469</v>
      </c>
      <c r="F33" s="20" t="n">
        <v>2.84142348</v>
      </c>
      <c r="G33" s="18" t="n">
        <v>48.63072216</v>
      </c>
      <c r="H33" s="20" t="n">
        <v>2.75013126</v>
      </c>
      <c r="I33" s="18" t="s">
        <v>431</v>
      </c>
      <c r="J33" s="20" t="s">
        <v>431</v>
      </c>
      <c r="K33" s="18" t="n">
        <v>0.08344491</v>
      </c>
      <c r="L33" s="20" t="n">
        <v>0.10281109</v>
      </c>
      <c r="M33" s="18" t="n">
        <v>0</v>
      </c>
      <c r="N33" s="20" t="n">
        <v>0</v>
      </c>
      <c r="O33" s="18" t="n">
        <v>0</v>
      </c>
      <c r="P33" s="20" t="n">
        <v>0</v>
      </c>
      <c r="Q33" s="18" t="n">
        <v>0.82430825</v>
      </c>
      <c r="R33" s="20" t="n">
        <v>0.43132659</v>
      </c>
    </row>
    <row r="34" spans="1:18">
      <c r="A34" s="15" t="s">
        <v>458</v>
      </c>
      <c r="B34" s="17" t="n">
        <v>3315</v>
      </c>
      <c r="C34" s="18">
        <f>(2929.0/B34*100)</f>
        <v/>
      </c>
      <c r="D34" s="19" t="n">
        <v>386</v>
      </c>
      <c r="E34" s="18" t="n">
        <v>55.09252284</v>
      </c>
      <c r="F34" s="20" t="n">
        <v>2.58410308</v>
      </c>
      <c r="G34" s="18" t="n">
        <v>44.10088495</v>
      </c>
      <c r="H34" s="20" t="n">
        <v>2.67197129</v>
      </c>
      <c r="I34" s="18" t="s">
        <v>431</v>
      </c>
      <c r="J34" s="20" t="s">
        <v>431</v>
      </c>
      <c r="K34" s="18" t="n">
        <v>0.41630574</v>
      </c>
      <c r="L34" s="20" t="n">
        <v>0.41418664</v>
      </c>
      <c r="M34" s="18" t="n">
        <v>0</v>
      </c>
      <c r="N34" s="20" t="n">
        <v>0</v>
      </c>
      <c r="O34" s="18" t="n">
        <v>0</v>
      </c>
      <c r="P34" s="20" t="n">
        <v>0</v>
      </c>
      <c r="Q34" s="18" t="n">
        <v>0.39028646</v>
      </c>
      <c r="R34" s="20" t="n">
        <v>0.41073896</v>
      </c>
    </row>
    <row r="35" spans="1:18">
      <c r="A35" s="15" t="s">
        <v>459</v>
      </c>
      <c r="B35" s="17" t="n">
        <v>3505</v>
      </c>
      <c r="C35" s="18">
        <f>(3099.0/B35*100)</f>
        <v/>
      </c>
      <c r="D35" s="19" t="n">
        <v>406</v>
      </c>
      <c r="E35" s="18" t="n">
        <v>46.34934453</v>
      </c>
      <c r="F35" s="20" t="n">
        <v>2.83493066</v>
      </c>
      <c r="G35" s="18" t="n">
        <v>53.38183069</v>
      </c>
      <c r="H35" s="20" t="n">
        <v>2.79253023</v>
      </c>
      <c r="I35" s="18" t="s">
        <v>431</v>
      </c>
      <c r="J35" s="20" t="s">
        <v>431</v>
      </c>
      <c r="K35" s="18" t="n">
        <v>0</v>
      </c>
      <c r="L35" s="20" t="n">
        <v>0</v>
      </c>
      <c r="M35" s="18" t="n">
        <v>0</v>
      </c>
      <c r="N35" s="20" t="n">
        <v>0</v>
      </c>
      <c r="O35" s="18" t="n">
        <v>0</v>
      </c>
      <c r="P35" s="20" t="n">
        <v>0</v>
      </c>
      <c r="Q35" s="18" t="n">
        <v>0.26882478</v>
      </c>
      <c r="R35" s="20" t="n">
        <v>0.26791085</v>
      </c>
    </row>
    <row r="36" spans="1:18">
      <c r="A36" s="15" t="s">
        <v>460</v>
      </c>
      <c r="B36" s="17" t="n">
        <v>3332</v>
      </c>
      <c r="C36" s="18">
        <f>(2931.0/B36*100)</f>
        <v/>
      </c>
      <c r="D36" s="19" t="n">
        <v>401</v>
      </c>
      <c r="E36" s="18" t="n">
        <v>43.67881499</v>
      </c>
      <c r="F36" s="20" t="n">
        <v>2.55716776</v>
      </c>
      <c r="G36" s="18" t="n">
        <v>55.79894573</v>
      </c>
      <c r="H36" s="20" t="n">
        <v>2.55188465</v>
      </c>
      <c r="I36" s="18" t="s">
        <v>431</v>
      </c>
      <c r="J36" s="20" t="s">
        <v>431</v>
      </c>
      <c r="K36" s="18" t="n">
        <v>0.27317302</v>
      </c>
      <c r="L36" s="20" t="n">
        <v>0.40248042</v>
      </c>
      <c r="M36" s="18" t="n">
        <v>0</v>
      </c>
      <c r="N36" s="20" t="n">
        <v>0</v>
      </c>
      <c r="O36" s="18" t="n">
        <v>0</v>
      </c>
      <c r="P36" s="20" t="n">
        <v>0</v>
      </c>
      <c r="Q36" s="18" t="n">
        <v>0.24906626</v>
      </c>
      <c r="R36" s="20" t="n">
        <v>0.23615242</v>
      </c>
    </row>
    <row r="37" spans="1:18">
      <c r="A37" s="15" t="s">
        <v>461</v>
      </c>
      <c r="B37" s="17" t="n">
        <v>2727</v>
      </c>
      <c r="C37" s="18">
        <f>(2382.0/B37*100)</f>
        <v/>
      </c>
      <c r="D37" s="19" t="n">
        <v>345</v>
      </c>
      <c r="E37" s="18" t="n">
        <v>39.40719281</v>
      </c>
      <c r="F37" s="20" t="n">
        <v>3.07658273</v>
      </c>
      <c r="G37" s="18" t="n">
        <v>59.29102454</v>
      </c>
      <c r="H37" s="20" t="n">
        <v>2.96048933</v>
      </c>
      <c r="I37" s="18" t="s">
        <v>431</v>
      </c>
      <c r="J37" s="20" t="s">
        <v>431</v>
      </c>
      <c r="K37" s="18" t="n">
        <v>0</v>
      </c>
      <c r="L37" s="20" t="n">
        <v>0</v>
      </c>
      <c r="M37" s="18" t="n">
        <v>0</v>
      </c>
      <c r="N37" s="20" t="n">
        <v>0</v>
      </c>
      <c r="O37" s="18" t="n">
        <v>0</v>
      </c>
      <c r="P37" s="20" t="n">
        <v>0</v>
      </c>
      <c r="Q37" s="18" t="n">
        <v>1.30178265</v>
      </c>
      <c r="R37" s="20" t="n">
        <v>0.57991582</v>
      </c>
    </row>
    <row r="38" spans="1:18">
      <c r="A38" s="15" t="s">
        <v>462</v>
      </c>
      <c r="B38" s="17" t="n">
        <v>3053</v>
      </c>
      <c r="C38" s="18">
        <f>(2571.0/B38*100)</f>
        <v/>
      </c>
      <c r="D38" s="19" t="n">
        <v>482</v>
      </c>
      <c r="E38" s="18" t="n">
        <v>44.4219876</v>
      </c>
      <c r="F38" s="20" t="n">
        <v>2.5324579</v>
      </c>
      <c r="G38" s="18" t="n">
        <v>53.60556301</v>
      </c>
      <c r="H38" s="20" t="n">
        <v>2.60314026</v>
      </c>
      <c r="I38" s="18" t="s">
        <v>431</v>
      </c>
      <c r="J38" s="20" t="s">
        <v>431</v>
      </c>
      <c r="K38" s="18" t="n">
        <v>0.59438331</v>
      </c>
      <c r="L38" s="20" t="n">
        <v>0.57503365</v>
      </c>
      <c r="M38" s="18" t="n">
        <v>0</v>
      </c>
      <c r="N38" s="20" t="n">
        <v>0</v>
      </c>
      <c r="O38" s="18" t="n">
        <v>0</v>
      </c>
      <c r="P38" s="20" t="n">
        <v>0</v>
      </c>
      <c r="Q38" s="18" t="n">
        <v>1.37806607</v>
      </c>
      <c r="R38" s="20" t="n">
        <v>0.5202749800000001</v>
      </c>
    </row>
    <row r="39" spans="1:18">
      <c r="A39" s="15" t="s">
        <v>463</v>
      </c>
      <c r="B39" s="17" t="n">
        <v>2957</v>
      </c>
      <c r="C39" s="18">
        <f>(2588.0/B39*100)</f>
        <v/>
      </c>
      <c r="D39" s="19" t="n">
        <v>369</v>
      </c>
      <c r="E39" s="18" t="n">
        <v>71.70137372000001</v>
      </c>
      <c r="F39" s="20" t="n">
        <v>2.58995965</v>
      </c>
      <c r="G39" s="18" t="n">
        <v>27.67264013</v>
      </c>
      <c r="H39" s="20" t="n">
        <v>2.60493663</v>
      </c>
      <c r="I39" s="18" t="s">
        <v>431</v>
      </c>
      <c r="J39" s="20" t="s">
        <v>431</v>
      </c>
      <c r="K39" s="18" t="n">
        <v>0.43196517</v>
      </c>
      <c r="L39" s="20" t="n">
        <v>0.38094483</v>
      </c>
      <c r="M39" s="18" t="n">
        <v>0</v>
      </c>
      <c r="N39" s="20" t="n">
        <v>0</v>
      </c>
      <c r="O39" s="18" t="n">
        <v>0</v>
      </c>
      <c r="P39" s="20" t="n">
        <v>0</v>
      </c>
      <c r="Q39" s="18" t="n">
        <v>0.19402098</v>
      </c>
      <c r="R39" s="20" t="n">
        <v>0.18818531</v>
      </c>
    </row>
    <row r="40" spans="1:18">
      <c r="A40" s="15" t="s">
        <v>464</v>
      </c>
      <c r="B40" s="17" t="n">
        <v>7235</v>
      </c>
      <c r="C40" s="18">
        <f>(6350.0/B40*100)</f>
        <v/>
      </c>
      <c r="D40" s="19" t="n">
        <v>885</v>
      </c>
      <c r="E40" s="18" t="n">
        <v>44.09887476</v>
      </c>
      <c r="F40" s="20" t="n">
        <v>2.96878141</v>
      </c>
      <c r="G40" s="18" t="n">
        <v>55.66652716</v>
      </c>
      <c r="H40" s="20" t="n">
        <v>2.96344955</v>
      </c>
      <c r="I40" s="18" t="s">
        <v>431</v>
      </c>
      <c r="J40" s="20" t="s">
        <v>431</v>
      </c>
      <c r="K40" s="18" t="n">
        <v>0.02622812</v>
      </c>
      <c r="L40" s="20" t="n">
        <v>0.02646016</v>
      </c>
      <c r="M40" s="18" t="n">
        <v>0</v>
      </c>
      <c r="N40" s="20" t="n">
        <v>0</v>
      </c>
      <c r="O40" s="18" t="n">
        <v>0</v>
      </c>
      <c r="P40" s="20" t="n">
        <v>0</v>
      </c>
      <c r="Q40" s="18" t="n">
        <v>0.20836996</v>
      </c>
      <c r="R40" s="20" t="n">
        <v>0.07719167</v>
      </c>
    </row>
    <row r="41" spans="1:18">
      <c r="A41" s="15" t="s">
        <v>465</v>
      </c>
      <c r="B41" s="17" t="n">
        <v>2858</v>
      </c>
      <c r="C41" s="18">
        <f>(2515.0/B41*100)</f>
        <v/>
      </c>
      <c r="D41" s="19" t="n">
        <v>343</v>
      </c>
      <c r="E41" s="18" t="n">
        <v>46.80236266</v>
      </c>
      <c r="F41" s="20" t="n">
        <v>2.50669394</v>
      </c>
      <c r="G41" s="18" t="n">
        <v>52.31063805</v>
      </c>
      <c r="H41" s="20" t="n">
        <v>2.52877801</v>
      </c>
      <c r="I41" s="18" t="s">
        <v>431</v>
      </c>
      <c r="J41" s="20" t="s">
        <v>431</v>
      </c>
      <c r="K41" s="18" t="n">
        <v>0</v>
      </c>
      <c r="L41" s="20" t="n">
        <v>0</v>
      </c>
      <c r="M41" s="18" t="n">
        <v>0</v>
      </c>
      <c r="N41" s="20" t="n">
        <v>0</v>
      </c>
      <c r="O41" s="18" t="n">
        <v>0</v>
      </c>
      <c r="P41" s="20" t="n">
        <v>0</v>
      </c>
      <c r="Q41" s="18" t="n">
        <v>0.8869992799999999</v>
      </c>
      <c r="R41" s="20" t="n">
        <v>0.50102311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(9915.0/B46*100)</f>
        <v/>
      </c>
      <c r="D46" s="19" t="n">
        <v>1153</v>
      </c>
      <c r="E46" s="18" t="n">
        <v>69.07806361999999</v>
      </c>
      <c r="F46" s="20" t="n">
        <v>1.70370467</v>
      </c>
      <c r="G46" s="18" t="n">
        <v>27.41234132</v>
      </c>
      <c r="H46" s="20" t="n">
        <v>1.77252676</v>
      </c>
      <c r="I46" s="18" t="s">
        <v>431</v>
      </c>
      <c r="J46" s="20" t="s">
        <v>431</v>
      </c>
      <c r="K46" s="18" t="n">
        <v>1.35264372</v>
      </c>
      <c r="L46" s="20" t="n">
        <v>0.45639317</v>
      </c>
      <c r="M46" s="18" t="n">
        <v>0</v>
      </c>
      <c r="N46" s="20" t="n">
        <v>0</v>
      </c>
      <c r="O46" s="18" t="n">
        <v>0</v>
      </c>
      <c r="P46" s="20" t="n">
        <v>0</v>
      </c>
      <c r="Q46" s="18" t="n">
        <v>2.15695134</v>
      </c>
      <c r="R46" s="20" t="n">
        <v>0.76410905</v>
      </c>
    </row>
    <row r="47" spans="1:18">
      <c r="A47" s="15" t="s">
        <v>471</v>
      </c>
      <c r="B47" s="17" t="n">
        <v>3105</v>
      </c>
      <c r="C47" s="18">
        <f>(2696.0/B47*100)</f>
        <v/>
      </c>
      <c r="D47" s="19" t="n">
        <v>409</v>
      </c>
      <c r="E47" s="18" t="n">
        <v>63.89063271</v>
      </c>
      <c r="F47" s="20" t="n">
        <v>2.76230592</v>
      </c>
      <c r="G47" s="18" t="n">
        <v>34.9148144</v>
      </c>
      <c r="H47" s="20" t="n">
        <v>2.65807199</v>
      </c>
      <c r="I47" s="18" t="s">
        <v>431</v>
      </c>
      <c r="J47" s="20" t="s">
        <v>431</v>
      </c>
      <c r="K47" s="18" t="n">
        <v>0</v>
      </c>
      <c r="L47" s="20" t="n">
        <v>0</v>
      </c>
      <c r="M47" s="18" t="n">
        <v>0</v>
      </c>
      <c r="N47" s="20" t="n">
        <v>0</v>
      </c>
      <c r="O47" s="18" t="n">
        <v>0</v>
      </c>
      <c r="P47" s="20" t="n">
        <v>0</v>
      </c>
      <c r="Q47" s="18" t="n">
        <v>1.19455289</v>
      </c>
      <c r="R47" s="20" t="n">
        <v>0.66052112</v>
      </c>
    </row>
    <row r="48" spans="1:18">
      <c r="A48" s="15" t="s">
        <v>472</v>
      </c>
      <c r="B48" s="17" t="n">
        <v>5159</v>
      </c>
      <c r="C48" s="18">
        <f>(4532.0/B48*100)</f>
        <v/>
      </c>
      <c r="D48" s="19" t="n">
        <v>627</v>
      </c>
      <c r="E48" s="18" t="n">
        <v>48.79452159</v>
      </c>
      <c r="F48" s="20" t="n">
        <v>2.61903639</v>
      </c>
      <c r="G48" s="18" t="n">
        <v>50.56173186</v>
      </c>
      <c r="H48" s="20" t="n">
        <v>2.60056282</v>
      </c>
      <c r="I48" s="18" t="s">
        <v>431</v>
      </c>
      <c r="J48" s="20" t="s">
        <v>431</v>
      </c>
      <c r="K48" s="18" t="n">
        <v>0.64374656</v>
      </c>
      <c r="L48" s="20" t="n">
        <v>0.46242066</v>
      </c>
      <c r="M48" s="18" t="n">
        <v>0</v>
      </c>
      <c r="N48" s="20" t="n">
        <v>0</v>
      </c>
      <c r="O48" s="18" t="n">
        <v>0</v>
      </c>
      <c r="P48" s="20" t="n">
        <v>0</v>
      </c>
      <c r="Q48" s="18" t="n">
        <v>0</v>
      </c>
      <c r="R48" s="20" t="n">
        <v>0</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(4969.0/B50*100)</f>
        <v/>
      </c>
      <c r="D50" s="19" t="n">
        <v>668</v>
      </c>
      <c r="E50" s="18" t="n">
        <v>65.77529019000001</v>
      </c>
      <c r="F50" s="20" t="n">
        <v>2.19078807</v>
      </c>
      <c r="G50" s="18" t="n">
        <v>30.52102678</v>
      </c>
      <c r="H50" s="20" t="n">
        <v>2.04195777</v>
      </c>
      <c r="I50" s="18" t="s">
        <v>431</v>
      </c>
      <c r="J50" s="20" t="s">
        <v>431</v>
      </c>
      <c r="K50" s="18" t="n">
        <v>2.60917213</v>
      </c>
      <c r="L50" s="20" t="n">
        <v>1.00325486</v>
      </c>
      <c r="M50" s="18" t="n">
        <v>0</v>
      </c>
      <c r="N50" s="20" t="n">
        <v>0</v>
      </c>
      <c r="O50" s="18" t="n">
        <v>0</v>
      </c>
      <c r="P50" s="20" t="n">
        <v>0</v>
      </c>
      <c r="Q50" s="18" t="n">
        <v>1.0945109</v>
      </c>
      <c r="R50" s="20" t="n">
        <v>0.43807262</v>
      </c>
    </row>
    <row r="51" spans="1:18">
      <c r="A51" s="15" t="s">
        <v>475</v>
      </c>
      <c r="B51" s="17" t="n">
        <v>3372</v>
      </c>
      <c r="C51" s="18">
        <f>(3013.0/B51*100)</f>
        <v/>
      </c>
      <c r="D51" s="19" t="n">
        <v>359</v>
      </c>
      <c r="E51" s="18" t="n">
        <v>61.35889571</v>
      </c>
      <c r="F51" s="20" t="n">
        <v>2.55459796</v>
      </c>
      <c r="G51" s="18" t="n">
        <v>37.52406484</v>
      </c>
      <c r="H51" s="20" t="n">
        <v>2.53724523</v>
      </c>
      <c r="I51" s="18" t="s">
        <v>431</v>
      </c>
      <c r="J51" s="20" t="s">
        <v>431</v>
      </c>
      <c r="K51" s="18" t="n">
        <v>1.00185588</v>
      </c>
      <c r="L51" s="20" t="n">
        <v>0.50694494</v>
      </c>
      <c r="M51" s="18" t="n">
        <v>0</v>
      </c>
      <c r="N51" s="20" t="n">
        <v>0</v>
      </c>
      <c r="O51" s="18" t="n">
        <v>0</v>
      </c>
      <c r="P51" s="20" t="n">
        <v>0</v>
      </c>
      <c r="Q51" s="18" t="n">
        <v>0.11518357</v>
      </c>
      <c r="R51" s="20" t="n">
        <v>0.1161197</v>
      </c>
    </row>
    <row r="52" spans="1:18">
      <c r="A52" s="15" t="s">
        <v>476</v>
      </c>
      <c r="B52" s="17" t="n">
        <v>2796</v>
      </c>
      <c r="C52" s="18">
        <f>(2431.0/B52*100)</f>
        <v/>
      </c>
      <c r="D52" s="19" t="n">
        <v>365</v>
      </c>
      <c r="E52" s="18" t="n">
        <v>42.4964841</v>
      </c>
      <c r="F52" s="20" t="n">
        <v>2.59619599</v>
      </c>
      <c r="G52" s="18" t="n">
        <v>56.74687622</v>
      </c>
      <c r="H52" s="20" t="n">
        <v>2.64953771</v>
      </c>
      <c r="I52" s="18" t="s">
        <v>431</v>
      </c>
      <c r="J52" s="20" t="s">
        <v>431</v>
      </c>
      <c r="K52" s="18" t="n">
        <v>0</v>
      </c>
      <c r="L52" s="20" t="n">
        <v>0</v>
      </c>
      <c r="M52" s="18" t="n">
        <v>0</v>
      </c>
      <c r="N52" s="20" t="n">
        <v>0</v>
      </c>
      <c r="O52" s="18" t="n">
        <v>0</v>
      </c>
      <c r="P52" s="20" t="n">
        <v>0</v>
      </c>
      <c r="Q52" s="18" t="n">
        <v>0.75663969</v>
      </c>
      <c r="R52" s="20" t="n">
        <v>0.44651983</v>
      </c>
    </row>
    <row r="53" spans="1:18">
      <c r="A53" s="15" t="s">
        <v>477</v>
      </c>
      <c r="B53" s="17" t="n">
        <v>2811</v>
      </c>
      <c r="C53" s="18">
        <f>(2481.0/B53*100)</f>
        <v/>
      </c>
      <c r="D53" s="19" t="n">
        <v>330</v>
      </c>
      <c r="E53" s="18" t="n">
        <v>58.53186778</v>
      </c>
      <c r="F53" s="20" t="n">
        <v>2.99309778</v>
      </c>
      <c r="G53" s="18" t="n">
        <v>38.69010348</v>
      </c>
      <c r="H53" s="20" t="n">
        <v>3.00197232</v>
      </c>
      <c r="I53" s="18" t="s">
        <v>431</v>
      </c>
      <c r="J53" s="20" t="s">
        <v>431</v>
      </c>
      <c r="K53" s="18" t="n">
        <v>0</v>
      </c>
      <c r="L53" s="20" t="n">
        <v>0</v>
      </c>
      <c r="M53" s="18" t="n">
        <v>0</v>
      </c>
      <c r="N53" s="20" t="n">
        <v>0</v>
      </c>
      <c r="O53" s="18" t="n">
        <v>0</v>
      </c>
      <c r="P53" s="20" t="n">
        <v>0</v>
      </c>
      <c r="Q53" s="18" t="n">
        <v>2.77802874</v>
      </c>
      <c r="R53" s="20" t="n">
        <v>0.7738745</v>
      </c>
    </row>
    <row r="54" spans="1:18">
      <c r="A54" s="15" t="s">
        <v>478</v>
      </c>
      <c r="B54" s="17" t="n">
        <v>2266</v>
      </c>
      <c r="C54" s="18">
        <f>(1880.0/B54*100)</f>
        <v/>
      </c>
      <c r="D54" s="19" t="n">
        <v>386</v>
      </c>
      <c r="E54" s="18" t="n">
        <v>69.58497576000001</v>
      </c>
      <c r="F54" s="20" t="n">
        <v>2.41657465</v>
      </c>
      <c r="G54" s="18" t="n">
        <v>14.39397713</v>
      </c>
      <c r="H54" s="20" t="n">
        <v>1.68872891</v>
      </c>
      <c r="I54" s="18" t="s">
        <v>431</v>
      </c>
      <c r="J54" s="20" t="s">
        <v>431</v>
      </c>
      <c r="K54" s="18" t="n">
        <v>14.54776624</v>
      </c>
      <c r="L54" s="20" t="n">
        <v>1.98771595</v>
      </c>
      <c r="M54" s="18" t="n">
        <v>0</v>
      </c>
      <c r="N54" s="20" t="n">
        <v>0</v>
      </c>
      <c r="O54" s="18" t="n">
        <v>0</v>
      </c>
      <c r="P54" s="20" t="n">
        <v>0</v>
      </c>
      <c r="Q54" s="18" t="n">
        <v>1.47328087</v>
      </c>
      <c r="R54" s="20" t="n">
        <v>0.57824802</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(2344.0/B56*100)</f>
        <v/>
      </c>
      <c r="D56" s="19" t="n">
        <v>340</v>
      </c>
      <c r="E56" s="18" t="n">
        <v>39.64038404</v>
      </c>
      <c r="F56" s="20" t="n">
        <v>2.49062626</v>
      </c>
      <c r="G56" s="18" t="n">
        <v>59.17706412</v>
      </c>
      <c r="H56" s="20" t="n">
        <v>2.51647183</v>
      </c>
      <c r="I56" s="18" t="s">
        <v>431</v>
      </c>
      <c r="J56" s="20" t="s">
        <v>431</v>
      </c>
      <c r="K56" s="18" t="n">
        <v>0.65720711</v>
      </c>
      <c r="L56" s="20" t="n">
        <v>0.48462054</v>
      </c>
      <c r="M56" s="18" t="n">
        <v>0</v>
      </c>
      <c r="N56" s="20" t="n">
        <v>0</v>
      </c>
      <c r="O56" s="18" t="n">
        <v>0</v>
      </c>
      <c r="P56" s="20" t="n">
        <v>0</v>
      </c>
      <c r="Q56" s="18" t="n">
        <v>0.52534472</v>
      </c>
      <c r="R56" s="20" t="n">
        <v>0.37304764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(2923.0/B61*100)</f>
        <v/>
      </c>
      <c r="D61" s="19" t="n">
        <v>401</v>
      </c>
      <c r="E61" s="18" t="n">
        <v>60.38370497</v>
      </c>
      <c r="F61" s="20" t="n">
        <v>2.59459422</v>
      </c>
      <c r="G61" s="18" t="n">
        <v>39.07707043</v>
      </c>
      <c r="H61" s="20" t="n">
        <v>2.55538395</v>
      </c>
      <c r="I61" s="18" t="s">
        <v>431</v>
      </c>
      <c r="J61" s="20" t="s">
        <v>431</v>
      </c>
      <c r="K61" s="18" t="n">
        <v>0</v>
      </c>
      <c r="L61" s="20" t="n">
        <v>0</v>
      </c>
      <c r="M61" s="18" t="n">
        <v>0</v>
      </c>
      <c r="N61" s="20" t="n">
        <v>0</v>
      </c>
      <c r="O61" s="18" t="n">
        <v>0</v>
      </c>
      <c r="P61" s="20" t="n">
        <v>0</v>
      </c>
      <c r="Q61" s="18" t="n">
        <v>0.5392246000000001</v>
      </c>
      <c r="R61" s="20" t="n">
        <v>0.3504247</v>
      </c>
    </row>
    <row r="62" spans="1:18">
      <c r="A62" s="15" t="s">
        <v>486</v>
      </c>
      <c r="B62" s="17" t="n">
        <v>2246</v>
      </c>
      <c r="C62" s="18">
        <f>(1979.0/B62*100)</f>
        <v/>
      </c>
      <c r="D62" s="19" t="n">
        <v>267</v>
      </c>
      <c r="E62" s="18" t="n">
        <v>56.927662</v>
      </c>
      <c r="F62" s="20" t="n">
        <v>3.1537951</v>
      </c>
      <c r="G62" s="18" t="n">
        <v>43.072338</v>
      </c>
      <c r="H62" s="20" t="n">
        <v>3.1537951</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(2549.0/B66*100)</f>
        <v/>
      </c>
      <c r="D66" s="19" t="n">
        <v>345</v>
      </c>
      <c r="E66" s="18" t="n">
        <v>64.55545918</v>
      </c>
      <c r="F66" s="20" t="n">
        <v>2.84751084</v>
      </c>
      <c r="G66" s="18" t="n">
        <v>32.62266285</v>
      </c>
      <c r="H66" s="20" t="n">
        <v>2.54013698</v>
      </c>
      <c r="I66" s="18" t="s">
        <v>431</v>
      </c>
      <c r="J66" s="20" t="s">
        <v>431</v>
      </c>
      <c r="K66" s="18" t="n">
        <v>0.24447299</v>
      </c>
      <c r="L66" s="20" t="n">
        <v>0.24714489</v>
      </c>
      <c r="M66" s="18" t="n">
        <v>0</v>
      </c>
      <c r="N66" s="20" t="n">
        <v>0</v>
      </c>
      <c r="O66" s="18" t="n">
        <v>0</v>
      </c>
      <c r="P66" s="20" t="n">
        <v>0</v>
      </c>
      <c r="Q66" s="18" t="n">
        <v>2.57740498</v>
      </c>
      <c r="R66" s="20" t="n">
        <v>0.86706527</v>
      </c>
    </row>
    <row r="67" spans="1:18">
      <c r="A67" s="15" t="s">
        <v>491</v>
      </c>
      <c r="B67" s="17" t="n">
        <v>3511</v>
      </c>
      <c r="C67" s="18">
        <f>(3106.0/B67*100)</f>
        <v/>
      </c>
      <c r="D67" s="19" t="n">
        <v>405</v>
      </c>
      <c r="E67" s="18" t="n">
        <v>60.3314861</v>
      </c>
      <c r="F67" s="20" t="n">
        <v>2.61899987</v>
      </c>
      <c r="G67" s="18" t="n">
        <v>39.0211242</v>
      </c>
      <c r="H67" s="20" t="n">
        <v>2.6489056</v>
      </c>
      <c r="I67" s="18" t="s">
        <v>431</v>
      </c>
      <c r="J67" s="20" t="s">
        <v>431</v>
      </c>
      <c r="K67" s="18" t="n">
        <v>0.17153301</v>
      </c>
      <c r="L67" s="20" t="n">
        <v>0.16970949</v>
      </c>
      <c r="M67" s="18" t="n">
        <v>0</v>
      </c>
      <c r="N67" s="20" t="n">
        <v>0</v>
      </c>
      <c r="O67" s="18" t="n">
        <v>0</v>
      </c>
      <c r="P67" s="20" t="n">
        <v>0</v>
      </c>
      <c r="Q67" s="18" t="n">
        <v>0.47585669</v>
      </c>
      <c r="R67" s="20" t="n">
        <v>0.33871278</v>
      </c>
    </row>
    <row r="68" spans="1:18">
      <c r="A68" s="15" t="s">
        <v>492</v>
      </c>
      <c r="B68" s="17" t="n">
        <v>6049</v>
      </c>
      <c r="C68" s="18">
        <f>(5047.0/B68*100)</f>
        <v/>
      </c>
      <c r="D68" s="19" t="n">
        <v>1002</v>
      </c>
      <c r="E68" s="18" t="n">
        <v>66.36432793</v>
      </c>
      <c r="F68" s="20" t="n">
        <v>1.41815322</v>
      </c>
      <c r="G68" s="18" t="n">
        <v>27.29898988</v>
      </c>
      <c r="H68" s="20" t="n">
        <v>1.37830876</v>
      </c>
      <c r="I68" s="18" t="s">
        <v>431</v>
      </c>
      <c r="J68" s="20" t="s">
        <v>431</v>
      </c>
      <c r="K68" s="18" t="n">
        <v>2.76754589</v>
      </c>
      <c r="L68" s="20" t="n">
        <v>0.56381939</v>
      </c>
      <c r="M68" s="18" t="n">
        <v>0</v>
      </c>
      <c r="N68" s="20" t="n">
        <v>0</v>
      </c>
      <c r="O68" s="18" t="n">
        <v>0</v>
      </c>
      <c r="P68" s="20" t="n">
        <v>0</v>
      </c>
      <c r="Q68" s="18" t="n">
        <v>3.5691363</v>
      </c>
      <c r="R68" s="20" t="n">
        <v>0.55383006</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(2563.0/B70*100)</f>
        <v/>
      </c>
      <c r="D70" s="19" t="n">
        <v>366</v>
      </c>
      <c r="E70" s="18" t="n">
        <v>51.96287644</v>
      </c>
      <c r="F70" s="20" t="n">
        <v>3.161754</v>
      </c>
      <c r="G70" s="18" t="n">
        <v>47.04808847</v>
      </c>
      <c r="H70" s="20" t="n">
        <v>3.13397631</v>
      </c>
      <c r="I70" s="18" t="s">
        <v>431</v>
      </c>
      <c r="J70" s="20" t="s">
        <v>431</v>
      </c>
      <c r="K70" s="18" t="n">
        <v>0</v>
      </c>
      <c r="L70" s="20" t="n">
        <v>0</v>
      </c>
      <c r="M70" s="18" t="n">
        <v>0</v>
      </c>
      <c r="N70" s="20" t="n">
        <v>0</v>
      </c>
      <c r="O70" s="18" t="n">
        <v>0</v>
      </c>
      <c r="P70" s="20" t="n">
        <v>0</v>
      </c>
      <c r="Q70" s="18" t="n">
        <v>0.98903509</v>
      </c>
      <c r="R70" s="20" t="n">
        <v>0.44265158</v>
      </c>
    </row>
    <row r="71" spans="1:18">
      <c r="A71" s="15" t="s">
        <v>495</v>
      </c>
      <c r="B71" s="17" t="n">
        <v>3142</v>
      </c>
      <c r="C71" s="18">
        <f>(2759.0/B71*100)</f>
        <v/>
      </c>
      <c r="D71" s="19" t="n">
        <v>383</v>
      </c>
      <c r="E71" s="18" t="n">
        <v>46.97101391</v>
      </c>
      <c r="F71" s="20" t="n">
        <v>2.80470762</v>
      </c>
      <c r="G71" s="18" t="n">
        <v>52.79129757</v>
      </c>
      <c r="H71" s="20" t="n">
        <v>2.81966806</v>
      </c>
      <c r="I71" s="18" t="s">
        <v>431</v>
      </c>
      <c r="J71" s="20" t="s">
        <v>431</v>
      </c>
      <c r="K71" s="18" t="n">
        <v>0.23768852</v>
      </c>
      <c r="L71" s="20" t="n">
        <v>0.236413</v>
      </c>
      <c r="M71" s="18" t="n">
        <v>0</v>
      </c>
      <c r="N71" s="20" t="n">
        <v>0</v>
      </c>
      <c r="O71" s="18" t="n">
        <v>0</v>
      </c>
      <c r="P71" s="20" t="n">
        <v>0</v>
      </c>
      <c r="Q71" s="18" t="n">
        <v>0</v>
      </c>
      <c r="R71" s="20" t="n">
        <v>0</v>
      </c>
    </row>
    <row r="72" spans="1:18">
      <c r="A72" s="15" t="s">
        <v>496</v>
      </c>
      <c r="B72" s="17" t="n">
        <v>3889</v>
      </c>
      <c r="C72" s="18">
        <f>(3397.0/B72*100)</f>
        <v/>
      </c>
      <c r="D72" s="19" t="n">
        <v>492</v>
      </c>
      <c r="E72" s="18" t="n">
        <v>62.40649731</v>
      </c>
      <c r="F72" s="20" t="n">
        <v>2.42782661</v>
      </c>
      <c r="G72" s="18" t="n">
        <v>37.29971492</v>
      </c>
      <c r="H72" s="20" t="n">
        <v>2.40578775</v>
      </c>
      <c r="I72" s="18" t="s">
        <v>431</v>
      </c>
      <c r="J72" s="20" t="s">
        <v>431</v>
      </c>
      <c r="K72" s="18" t="n">
        <v>0.14090157</v>
      </c>
      <c r="L72" s="20" t="n">
        <v>0.14368853</v>
      </c>
      <c r="M72" s="18" t="n">
        <v>0</v>
      </c>
      <c r="N72" s="20" t="n">
        <v>0</v>
      </c>
      <c r="O72" s="18" t="n">
        <v>0</v>
      </c>
      <c r="P72" s="20" t="n">
        <v>0</v>
      </c>
      <c r="Q72" s="18" t="n">
        <v>0.15288619</v>
      </c>
      <c r="R72" s="20" t="n">
        <v>0.15177093</v>
      </c>
    </row>
    <row r="73" spans="1:18">
      <c r="A73" s="15" t="s">
        <v>497</v>
      </c>
      <c r="B73" s="17" t="n">
        <v>3597</v>
      </c>
      <c r="C73" s="18">
        <f>(3192.0/B73*100)</f>
        <v/>
      </c>
      <c r="D73" s="19" t="n">
        <v>405</v>
      </c>
      <c r="E73" s="18" t="n">
        <v>82.28522563</v>
      </c>
      <c r="F73" s="20" t="n">
        <v>2.43040053</v>
      </c>
      <c r="G73" s="18" t="n">
        <v>17.01102693</v>
      </c>
      <c r="H73" s="20" t="n">
        <v>2.37349972</v>
      </c>
      <c r="I73" s="18" t="s">
        <v>431</v>
      </c>
      <c r="J73" s="20" t="s">
        <v>431</v>
      </c>
      <c r="K73" s="18" t="n">
        <v>0</v>
      </c>
      <c r="L73" s="20" t="n">
        <v>0</v>
      </c>
      <c r="M73" s="18" t="n">
        <v>0</v>
      </c>
      <c r="N73" s="20" t="n">
        <v>0</v>
      </c>
      <c r="O73" s="18" t="n">
        <v>0</v>
      </c>
      <c r="P73" s="20" t="n">
        <v>0</v>
      </c>
      <c r="Q73" s="18" t="n">
        <v>0.7037474500000001</v>
      </c>
      <c r="R73" s="20" t="n">
        <v>0.50190153</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(2137.0/B75*100)</f>
        <v/>
      </c>
      <c r="D75" s="19" t="n">
        <v>269</v>
      </c>
      <c r="E75" s="18" t="n">
        <v>79.77247404000001</v>
      </c>
      <c r="F75" s="20" t="n">
        <v>2.39132342</v>
      </c>
      <c r="G75" s="18" t="n">
        <v>14.46923586</v>
      </c>
      <c r="H75" s="20" t="n">
        <v>2.15304092</v>
      </c>
      <c r="I75" s="18" t="s">
        <v>431</v>
      </c>
      <c r="J75" s="20" t="s">
        <v>431</v>
      </c>
      <c r="K75" s="18" t="n">
        <v>3.86335319</v>
      </c>
      <c r="L75" s="20" t="n">
        <v>1.16149659</v>
      </c>
      <c r="M75" s="18" t="n">
        <v>0</v>
      </c>
      <c r="N75" s="20" t="n">
        <v>0</v>
      </c>
      <c r="O75" s="18" t="n">
        <v>0</v>
      </c>
      <c r="P75" s="20" t="n">
        <v>0</v>
      </c>
      <c r="Q75" s="18" t="n">
        <v>1.89493692</v>
      </c>
      <c r="R75" s="20" t="n">
        <v>0.99217126</v>
      </c>
    </row>
    <row r="76" spans="1:18">
      <c r="A76" s="15" t="s">
        <v>500</v>
      </c>
      <c r="B76" s="17" t="n">
        <v>7052</v>
      </c>
      <c r="C76" s="18">
        <f>(6201.0/B76*100)</f>
        <v/>
      </c>
      <c r="D76" s="19" t="n">
        <v>851</v>
      </c>
      <c r="E76" s="18" t="n">
        <v>67.51128137000001</v>
      </c>
      <c r="F76" s="20" t="n">
        <v>2.29082415</v>
      </c>
      <c r="G76" s="18" t="n">
        <v>30.2288824</v>
      </c>
      <c r="H76" s="20" t="n">
        <v>2.25263801</v>
      </c>
      <c r="I76" s="18" t="s">
        <v>431</v>
      </c>
      <c r="J76" s="20" t="s">
        <v>431</v>
      </c>
      <c r="K76" s="18" t="n">
        <v>0.67461205</v>
      </c>
      <c r="L76" s="20" t="n">
        <v>0.33202097</v>
      </c>
      <c r="M76" s="18" t="n">
        <v>0</v>
      </c>
      <c r="N76" s="20" t="n">
        <v>0</v>
      </c>
      <c r="O76" s="18" t="n">
        <v>0</v>
      </c>
      <c r="P76" s="20" t="n">
        <v>0</v>
      </c>
      <c r="Q76" s="18" t="n">
        <v>1.58522418</v>
      </c>
      <c r="R76" s="20" t="n">
        <v>0.49379555</v>
      </c>
    </row>
    <row r="77" spans="1:18">
      <c r="A77" s="15" t="s">
        <v>501</v>
      </c>
      <c r="B77" s="17" t="n">
        <v>2908</v>
      </c>
      <c r="C77" s="18">
        <f>(2559.0/B77*100)</f>
        <v/>
      </c>
      <c r="D77" s="19" t="n">
        <v>349</v>
      </c>
      <c r="E77" s="18" t="n">
        <v>58.91335883</v>
      </c>
      <c r="F77" s="20" t="n">
        <v>2.66913557</v>
      </c>
      <c r="G77" s="18" t="n">
        <v>38.4340536</v>
      </c>
      <c r="H77" s="20" t="n">
        <v>2.67993332</v>
      </c>
      <c r="I77" s="18" t="s">
        <v>431</v>
      </c>
      <c r="J77" s="20" t="s">
        <v>431</v>
      </c>
      <c r="K77" s="18" t="n">
        <v>0.8562878</v>
      </c>
      <c r="L77" s="20" t="n">
        <v>0.50270047</v>
      </c>
      <c r="M77" s="18" t="n">
        <v>0</v>
      </c>
      <c r="N77" s="20" t="n">
        <v>0</v>
      </c>
      <c r="O77" s="18" t="n">
        <v>0</v>
      </c>
      <c r="P77" s="20" t="n">
        <v>0</v>
      </c>
      <c r="Q77" s="18" t="n">
        <v>1.79629977</v>
      </c>
      <c r="R77" s="20" t="n">
        <v>0.67621273</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(3629.0/B81*100)</f>
        <v/>
      </c>
      <c r="D81" s="19" t="n">
        <v>534</v>
      </c>
      <c r="E81" s="18" t="n">
        <v>75.097447</v>
      </c>
      <c r="F81" s="20" t="n">
        <v>2.3907968</v>
      </c>
      <c r="G81" s="18" t="n">
        <v>24.44984184</v>
      </c>
      <c r="H81" s="20" t="n">
        <v>2.35785624</v>
      </c>
      <c r="I81" s="18" t="s">
        <v>431</v>
      </c>
      <c r="J81" s="20" t="s">
        <v>431</v>
      </c>
      <c r="K81" s="18" t="n">
        <v>0.18078972</v>
      </c>
      <c r="L81" s="20" t="n">
        <v>0.17506931</v>
      </c>
      <c r="M81" s="18" t="n">
        <v>0</v>
      </c>
      <c r="N81" s="20" t="n">
        <v>0</v>
      </c>
      <c r="O81" s="18" t="n">
        <v>0</v>
      </c>
      <c r="P81" s="20" t="n">
        <v>0</v>
      </c>
      <c r="Q81" s="18" t="n">
        <v>0.27192145</v>
      </c>
      <c r="R81" s="20" t="n">
        <v>0.28509721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(6457.0/B7*100)</f>
        <v/>
      </c>
      <c r="D7" s="19" t="n">
        <v>910</v>
      </c>
      <c r="E7" s="18" t="n">
        <v>12.73603604</v>
      </c>
      <c r="F7" s="20" t="n">
        <v>1.23026924</v>
      </c>
      <c r="G7" s="18" t="n">
        <v>82.03625176</v>
      </c>
      <c r="H7" s="20" t="n">
        <v>1.47382655</v>
      </c>
      <c r="I7" s="18" t="s">
        <v>431</v>
      </c>
      <c r="J7" s="20" t="s">
        <v>431</v>
      </c>
      <c r="K7" s="18" t="n">
        <v>0.4150559</v>
      </c>
      <c r="L7" s="20" t="n">
        <v>0.29688731</v>
      </c>
      <c r="M7" s="18" t="n">
        <v>0.0520615</v>
      </c>
      <c r="N7" s="20" t="n">
        <v>0.04049837</v>
      </c>
      <c r="O7" s="18" t="n">
        <v>0</v>
      </c>
      <c r="P7" s="20" t="n">
        <v>0</v>
      </c>
      <c r="Q7" s="18" t="n">
        <v>4.76059479</v>
      </c>
      <c r="R7" s="20" t="n">
        <v>0.78411435</v>
      </c>
    </row>
    <row r="8" spans="1:18">
      <c r="A8" s="15" t="s">
        <v>432</v>
      </c>
      <c r="B8" s="17" t="n">
        <v>3564</v>
      </c>
      <c r="C8" s="18">
        <f>(3139.0/B8*100)</f>
        <v/>
      </c>
      <c r="D8" s="19" t="n">
        <v>425</v>
      </c>
      <c r="E8" s="18" t="n">
        <v>19.43254672</v>
      </c>
      <c r="F8" s="20" t="n">
        <v>2.02377885</v>
      </c>
      <c r="G8" s="18" t="n">
        <v>65.23940329</v>
      </c>
      <c r="H8" s="20" t="n">
        <v>2.62530616</v>
      </c>
      <c r="I8" s="18" t="s">
        <v>431</v>
      </c>
      <c r="J8" s="20" t="s">
        <v>431</v>
      </c>
      <c r="K8" s="18" t="n">
        <v>0</v>
      </c>
      <c r="L8" s="20" t="n">
        <v>0</v>
      </c>
      <c r="M8" s="18" t="n">
        <v>0</v>
      </c>
      <c r="N8" s="20" t="n">
        <v>0</v>
      </c>
      <c r="O8" s="18" t="n">
        <v>0</v>
      </c>
      <c r="P8" s="20" t="n">
        <v>0</v>
      </c>
      <c r="Q8" s="18" t="n">
        <v>15.32804999</v>
      </c>
      <c r="R8" s="20" t="n">
        <v>1.87726489</v>
      </c>
    </row>
    <row r="9" spans="1:18">
      <c r="A9" s="15" t="s">
        <v>433</v>
      </c>
      <c r="B9" s="17" t="n">
        <v>4899</v>
      </c>
      <c r="C9" s="18">
        <f>(4324.0/B9*100)</f>
        <v/>
      </c>
      <c r="D9" s="19" t="n">
        <v>575</v>
      </c>
      <c r="E9" s="18" t="n">
        <v>17.93007895</v>
      </c>
      <c r="F9" s="20" t="n">
        <v>1.7590217</v>
      </c>
      <c r="G9" s="18" t="n">
        <v>75.04089071</v>
      </c>
      <c r="H9" s="20" t="n">
        <v>1.85309044</v>
      </c>
      <c r="I9" s="18" t="s">
        <v>431</v>
      </c>
      <c r="J9" s="20" t="s">
        <v>431</v>
      </c>
      <c r="K9" s="18" t="n">
        <v>0</v>
      </c>
      <c r="L9" s="20" t="n">
        <v>0</v>
      </c>
      <c r="M9" s="18" t="n">
        <v>0.12749565</v>
      </c>
      <c r="N9" s="20" t="n">
        <v>0.12981607</v>
      </c>
      <c r="O9" s="18" t="n">
        <v>0</v>
      </c>
      <c r="P9" s="20" t="n">
        <v>0</v>
      </c>
      <c r="Q9" s="18" t="n">
        <v>6.90153469</v>
      </c>
      <c r="R9" s="20" t="n">
        <v>1.16523115</v>
      </c>
    </row>
    <row r="10" spans="1:18">
      <c r="A10" s="15" t="s">
        <v>434</v>
      </c>
      <c r="B10" s="17" t="n">
        <v>10036</v>
      </c>
      <c r="C10" s="18">
        <f>(8785.0/B10*100)</f>
        <v/>
      </c>
      <c r="D10" s="19" t="n">
        <v>1251</v>
      </c>
      <c r="E10" s="18" t="n">
        <v>11.98202439</v>
      </c>
      <c r="F10" s="20" t="n">
        <v>1.1501277</v>
      </c>
      <c r="G10" s="18" t="n">
        <v>83.21575926</v>
      </c>
      <c r="H10" s="20" t="n">
        <v>1.47121825</v>
      </c>
      <c r="I10" s="18" t="s">
        <v>431</v>
      </c>
      <c r="J10" s="20" t="s">
        <v>431</v>
      </c>
      <c r="K10" s="18" t="n">
        <v>0.53617585</v>
      </c>
      <c r="L10" s="20" t="n">
        <v>0.29160379</v>
      </c>
      <c r="M10" s="18" t="n">
        <v>0</v>
      </c>
      <c r="N10" s="20" t="n">
        <v>0</v>
      </c>
      <c r="O10" s="18" t="n">
        <v>0</v>
      </c>
      <c r="P10" s="20" t="n">
        <v>0</v>
      </c>
      <c r="Q10" s="18" t="n">
        <v>4.2660405</v>
      </c>
      <c r="R10" s="20" t="n">
        <v>0.78939824</v>
      </c>
    </row>
    <row r="11" spans="1:18">
      <c r="A11" s="15" t="s">
        <v>435</v>
      </c>
      <c r="B11" s="17" t="n">
        <v>3553</v>
      </c>
      <c r="C11" s="18">
        <f>(3127.0/B11*100)</f>
        <v/>
      </c>
      <c r="D11" s="19" t="n">
        <v>426</v>
      </c>
      <c r="E11" s="18" t="n">
        <v>22.02616287</v>
      </c>
      <c r="F11" s="20" t="n">
        <v>2.48948337</v>
      </c>
      <c r="G11" s="18" t="n">
        <v>64.59784835000001</v>
      </c>
      <c r="H11" s="20" t="n">
        <v>2.88577868</v>
      </c>
      <c r="I11" s="18" t="s">
        <v>431</v>
      </c>
      <c r="J11" s="20" t="s">
        <v>431</v>
      </c>
      <c r="K11" s="18" t="n">
        <v>1.34981041</v>
      </c>
      <c r="L11" s="20" t="n">
        <v>0.65440707</v>
      </c>
      <c r="M11" s="18" t="n">
        <v>0</v>
      </c>
      <c r="N11" s="20" t="n">
        <v>0</v>
      </c>
      <c r="O11" s="18" t="n">
        <v>0</v>
      </c>
      <c r="P11" s="20" t="n">
        <v>0</v>
      </c>
      <c r="Q11" s="18" t="n">
        <v>12.02617837</v>
      </c>
      <c r="R11" s="20" t="n">
        <v>1.79658534</v>
      </c>
    </row>
    <row r="12" spans="1:18">
      <c r="A12" s="15" t="s">
        <v>436</v>
      </c>
      <c r="B12" s="17" t="n">
        <v>3472</v>
      </c>
      <c r="C12" s="18">
        <f>(3061.0/B12*100)</f>
        <v/>
      </c>
      <c r="D12" s="19" t="n">
        <v>411</v>
      </c>
      <c r="E12" s="18" t="n">
        <v>30.93011154</v>
      </c>
      <c r="F12" s="20" t="n">
        <v>2.3339913</v>
      </c>
      <c r="G12" s="18" t="n">
        <v>52.18112115</v>
      </c>
      <c r="H12" s="20" t="n">
        <v>2.47431521</v>
      </c>
      <c r="I12" s="18" t="s">
        <v>431</v>
      </c>
      <c r="J12" s="20" t="s">
        <v>431</v>
      </c>
      <c r="K12" s="18" t="n">
        <v>0</v>
      </c>
      <c r="L12" s="20" t="n">
        <v>0</v>
      </c>
      <c r="M12" s="18" t="n">
        <v>0</v>
      </c>
      <c r="N12" s="20" t="n">
        <v>0</v>
      </c>
      <c r="O12" s="18" t="n">
        <v>0</v>
      </c>
      <c r="P12" s="20" t="n">
        <v>0</v>
      </c>
      <c r="Q12" s="18" t="n">
        <v>16.88876731</v>
      </c>
      <c r="R12" s="20" t="n">
        <v>2.11906862</v>
      </c>
    </row>
    <row r="13" spans="1:18">
      <c r="A13" s="15" t="s">
        <v>437</v>
      </c>
      <c r="B13" s="17" t="n">
        <v>3559</v>
      </c>
      <c r="C13" s="18">
        <f>(3153.0/B13*100)</f>
        <v/>
      </c>
      <c r="D13" s="19" t="n">
        <v>406</v>
      </c>
      <c r="E13" s="18" t="n">
        <v>18.27301064</v>
      </c>
      <c r="F13" s="20" t="n">
        <v>2.11872212</v>
      </c>
      <c r="G13" s="18" t="n">
        <v>77.72198165</v>
      </c>
      <c r="H13" s="20" t="n">
        <v>2.49152503</v>
      </c>
      <c r="I13" s="18" t="s">
        <v>431</v>
      </c>
      <c r="J13" s="20" t="s">
        <v>431</v>
      </c>
      <c r="K13" s="18" t="n">
        <v>0</v>
      </c>
      <c r="L13" s="20" t="n">
        <v>0</v>
      </c>
      <c r="M13" s="18" t="n">
        <v>0</v>
      </c>
      <c r="N13" s="20" t="n">
        <v>0</v>
      </c>
      <c r="O13" s="18" t="n">
        <v>0</v>
      </c>
      <c r="P13" s="20" t="n">
        <v>0</v>
      </c>
      <c r="Q13" s="18" t="n">
        <v>4.00500771</v>
      </c>
      <c r="R13" s="20" t="n">
        <v>1.029354</v>
      </c>
    </row>
    <row r="14" spans="1:18">
      <c r="A14" s="15" t="s">
        <v>438</v>
      </c>
      <c r="B14" s="17" t="n">
        <v>2799</v>
      </c>
      <c r="C14" s="18">
        <f>(2450.0/B14*100)</f>
        <v/>
      </c>
      <c r="D14" s="19" t="n">
        <v>349</v>
      </c>
      <c r="E14" s="18" t="n">
        <v>37.8453011</v>
      </c>
      <c r="F14" s="20" t="n">
        <v>3.21965714</v>
      </c>
      <c r="G14" s="18" t="n">
        <v>53.96754025</v>
      </c>
      <c r="H14" s="20" t="n">
        <v>3.14663277</v>
      </c>
      <c r="I14" s="18" t="s">
        <v>431</v>
      </c>
      <c r="J14" s="20" t="s">
        <v>431</v>
      </c>
      <c r="K14" s="18" t="n">
        <v>0.31127729</v>
      </c>
      <c r="L14" s="20" t="n">
        <v>0.31163027</v>
      </c>
      <c r="M14" s="18" t="n">
        <v>0</v>
      </c>
      <c r="N14" s="20" t="n">
        <v>0</v>
      </c>
      <c r="O14" s="18" t="n">
        <v>0</v>
      </c>
      <c r="P14" s="20" t="n">
        <v>0</v>
      </c>
      <c r="Q14" s="18" t="n">
        <v>7.87588136</v>
      </c>
      <c r="R14" s="20" t="n">
        <v>1.64770717</v>
      </c>
    </row>
    <row r="15" spans="1:18">
      <c r="A15" s="15" t="s">
        <v>439</v>
      </c>
      <c r="B15" s="17" t="n">
        <v>3019</v>
      </c>
      <c r="C15" s="18">
        <f>(2649.0/B15*100)</f>
        <v/>
      </c>
      <c r="D15" s="19" t="n">
        <v>370</v>
      </c>
      <c r="E15" s="18" t="n">
        <v>20.37874638</v>
      </c>
      <c r="F15" s="20" t="n">
        <v>2.16641587</v>
      </c>
      <c r="G15" s="18" t="n">
        <v>70.9823645</v>
      </c>
      <c r="H15" s="20" t="n">
        <v>2.62015577</v>
      </c>
      <c r="I15" s="18" t="s">
        <v>431</v>
      </c>
      <c r="J15" s="20" t="s">
        <v>431</v>
      </c>
      <c r="K15" s="18" t="n">
        <v>0</v>
      </c>
      <c r="L15" s="20" t="n">
        <v>0</v>
      </c>
      <c r="M15" s="18" t="n">
        <v>0</v>
      </c>
      <c r="N15" s="20" t="n">
        <v>0</v>
      </c>
      <c r="O15" s="18" t="n">
        <v>0</v>
      </c>
      <c r="P15" s="20" t="n">
        <v>0</v>
      </c>
      <c r="Q15" s="18" t="n">
        <v>8.63888912</v>
      </c>
      <c r="R15" s="20" t="n">
        <v>1.49179982</v>
      </c>
    </row>
    <row r="16" spans="1:18">
      <c r="A16" s="15" t="s">
        <v>440</v>
      </c>
      <c r="B16" s="17" t="n">
        <v>2997</v>
      </c>
      <c r="C16" s="18">
        <f>(2643.0/B16*100)</f>
        <v/>
      </c>
      <c r="D16" s="19" t="n">
        <v>354</v>
      </c>
      <c r="E16" s="18" t="n">
        <v>19.55389264</v>
      </c>
      <c r="F16" s="20" t="n">
        <v>2.21658301</v>
      </c>
      <c r="G16" s="18" t="n">
        <v>66.94873294</v>
      </c>
      <c r="H16" s="20" t="n">
        <v>2.25664962</v>
      </c>
      <c r="I16" s="18" t="s">
        <v>431</v>
      </c>
      <c r="J16" s="20" t="s">
        <v>431</v>
      </c>
      <c r="K16" s="18" t="n">
        <v>0.25021177</v>
      </c>
      <c r="L16" s="20" t="n">
        <v>0.25028766</v>
      </c>
      <c r="M16" s="18" t="n">
        <v>0.30978603</v>
      </c>
      <c r="N16" s="20" t="n">
        <v>0.31009197</v>
      </c>
      <c r="O16" s="18" t="n">
        <v>0</v>
      </c>
      <c r="P16" s="20" t="n">
        <v>0</v>
      </c>
      <c r="Q16" s="18" t="n">
        <v>12.93737662</v>
      </c>
      <c r="R16" s="20" t="n">
        <v>1.73492333</v>
      </c>
    </row>
    <row r="17" spans="1:18">
      <c r="A17" s="15" t="s">
        <v>441</v>
      </c>
      <c r="B17" s="17" t="n">
        <v>3307</v>
      </c>
      <c r="C17" s="18">
        <f>(2906.0/B17*100)</f>
        <v/>
      </c>
      <c r="D17" s="19" t="n">
        <v>401</v>
      </c>
      <c r="E17" s="18" t="n">
        <v>11.39748284</v>
      </c>
      <c r="F17" s="20" t="n">
        <v>1.70552552</v>
      </c>
      <c r="G17" s="18" t="n">
        <v>81.87878048</v>
      </c>
      <c r="H17" s="20" t="n">
        <v>2.06589814</v>
      </c>
      <c r="I17" s="18" t="s">
        <v>431</v>
      </c>
      <c r="J17" s="20" t="s">
        <v>431</v>
      </c>
      <c r="K17" s="18" t="n">
        <v>0.75590927</v>
      </c>
      <c r="L17" s="20" t="n">
        <v>0.4484839</v>
      </c>
      <c r="M17" s="18" t="n">
        <v>0</v>
      </c>
      <c r="N17" s="20" t="n">
        <v>0</v>
      </c>
      <c r="O17" s="18" t="n">
        <v>0</v>
      </c>
      <c r="P17" s="20" t="n">
        <v>0</v>
      </c>
      <c r="Q17" s="18" t="n">
        <v>5.96782742</v>
      </c>
      <c r="R17" s="20" t="n">
        <v>1.46896457</v>
      </c>
    </row>
    <row r="18" spans="1:18">
      <c r="A18" s="15" t="s">
        <v>442</v>
      </c>
      <c r="B18" s="17" t="n">
        <v>2826</v>
      </c>
      <c r="C18" s="18">
        <f>(2484.0/B18*100)</f>
        <v/>
      </c>
      <c r="D18" s="19" t="n">
        <v>342</v>
      </c>
      <c r="E18" s="18" t="n">
        <v>12.27777188</v>
      </c>
      <c r="F18" s="20" t="n">
        <v>2.38194391</v>
      </c>
      <c r="G18" s="18" t="n">
        <v>78.04370149</v>
      </c>
      <c r="H18" s="20" t="n">
        <v>2.52734009</v>
      </c>
      <c r="I18" s="18" t="s">
        <v>431</v>
      </c>
      <c r="J18" s="20" t="s">
        <v>431</v>
      </c>
      <c r="K18" s="18" t="n">
        <v>0.49941731</v>
      </c>
      <c r="L18" s="20" t="n">
        <v>0.3510716</v>
      </c>
      <c r="M18" s="18" t="n">
        <v>0</v>
      </c>
      <c r="N18" s="20" t="n">
        <v>0</v>
      </c>
      <c r="O18" s="18" t="n">
        <v>0</v>
      </c>
      <c r="P18" s="20" t="n">
        <v>0</v>
      </c>
      <c r="Q18" s="18" t="n">
        <v>9.17910932</v>
      </c>
      <c r="R18" s="20" t="n">
        <v>1.51653822</v>
      </c>
    </row>
    <row r="19" spans="1:18">
      <c r="A19" s="15" t="s">
        <v>443</v>
      </c>
      <c r="B19" s="17" t="n">
        <v>2808</v>
      </c>
      <c r="C19" s="18">
        <f>(2476.0/B19*100)</f>
        <v/>
      </c>
      <c r="D19" s="19" t="n">
        <v>332</v>
      </c>
      <c r="E19" s="18" t="n">
        <v>24.41567303</v>
      </c>
      <c r="F19" s="20" t="n">
        <v>2.62757169</v>
      </c>
      <c r="G19" s="18" t="n">
        <v>60.75445554</v>
      </c>
      <c r="H19" s="20" t="n">
        <v>2.76491726</v>
      </c>
      <c r="I19" s="18" t="s">
        <v>431</v>
      </c>
      <c r="J19" s="20" t="s">
        <v>431</v>
      </c>
      <c r="K19" s="18" t="n">
        <v>0</v>
      </c>
      <c r="L19" s="20" t="n">
        <v>0</v>
      </c>
      <c r="M19" s="18" t="n">
        <v>0</v>
      </c>
      <c r="N19" s="20" t="n">
        <v>0</v>
      </c>
      <c r="O19" s="18" t="n">
        <v>0</v>
      </c>
      <c r="P19" s="20" t="n">
        <v>0</v>
      </c>
      <c r="Q19" s="18" t="n">
        <v>14.82987143</v>
      </c>
      <c r="R19" s="20" t="n">
        <v>2.11505741</v>
      </c>
    </row>
    <row r="20" spans="1:18">
      <c r="A20" s="15" t="s">
        <v>444</v>
      </c>
      <c r="B20" s="17" t="n">
        <v>1630</v>
      </c>
      <c r="C20" s="18">
        <f>(1438.0/B20*100)</f>
        <v/>
      </c>
      <c r="D20" s="19" t="n">
        <v>192</v>
      </c>
      <c r="E20" s="18" t="n">
        <v>37.13723263</v>
      </c>
      <c r="F20" s="20" t="n">
        <v>3.79318707</v>
      </c>
      <c r="G20" s="18" t="n">
        <v>50.07047673</v>
      </c>
      <c r="H20" s="20" t="n">
        <v>3.9120156</v>
      </c>
      <c r="I20" s="18" t="s">
        <v>431</v>
      </c>
      <c r="J20" s="20" t="s">
        <v>431</v>
      </c>
      <c r="K20" s="18" t="n">
        <v>0.5123400299999999</v>
      </c>
      <c r="L20" s="20" t="n">
        <v>0.50918025</v>
      </c>
      <c r="M20" s="18" t="n">
        <v>0</v>
      </c>
      <c r="N20" s="20" t="n">
        <v>0</v>
      </c>
      <c r="O20" s="18" t="n">
        <v>0</v>
      </c>
      <c r="P20" s="20" t="n">
        <v>0</v>
      </c>
      <c r="Q20" s="18" t="n">
        <v>12.27995061</v>
      </c>
      <c r="R20" s="20" t="n">
        <v>2.29525147</v>
      </c>
    </row>
    <row r="21" spans="1:18">
      <c r="A21" s="15" t="s">
        <v>445</v>
      </c>
      <c r="B21" s="17" t="n">
        <v>2908</v>
      </c>
      <c r="C21" s="18">
        <f>(2430.0/B21*100)</f>
        <v/>
      </c>
      <c r="D21" s="19" t="n">
        <v>478</v>
      </c>
      <c r="E21" s="18" t="n">
        <v>12.91054402</v>
      </c>
      <c r="F21" s="20" t="n">
        <v>1.76036297</v>
      </c>
      <c r="G21" s="18" t="n">
        <v>81.92448376</v>
      </c>
      <c r="H21" s="20" t="n">
        <v>2.3099088</v>
      </c>
      <c r="I21" s="18" t="s">
        <v>431</v>
      </c>
      <c r="J21" s="20" t="s">
        <v>431</v>
      </c>
      <c r="K21" s="18" t="n">
        <v>0.1741123</v>
      </c>
      <c r="L21" s="20" t="n">
        <v>0.12331533</v>
      </c>
      <c r="M21" s="18" t="n">
        <v>0</v>
      </c>
      <c r="N21" s="20" t="n">
        <v>0</v>
      </c>
      <c r="O21" s="18" t="n">
        <v>0</v>
      </c>
      <c r="P21" s="20" t="n">
        <v>0</v>
      </c>
      <c r="Q21" s="18" t="n">
        <v>4.99085992</v>
      </c>
      <c r="R21" s="20" t="n">
        <v>1.38084637</v>
      </c>
    </row>
    <row r="22" spans="1:18">
      <c r="A22" s="15" t="s">
        <v>446</v>
      </c>
      <c r="B22" s="17" t="n">
        <v>2931</v>
      </c>
      <c r="C22" s="18">
        <f>(2603.0/B22*100)</f>
        <v/>
      </c>
      <c r="D22" s="19" t="n">
        <v>328</v>
      </c>
      <c r="E22" s="18" t="n">
        <v>19.98679775</v>
      </c>
      <c r="F22" s="20" t="n">
        <v>2.28011569</v>
      </c>
      <c r="G22" s="18" t="n">
        <v>72.34768997</v>
      </c>
      <c r="H22" s="20" t="n">
        <v>2.3229037</v>
      </c>
      <c r="I22" s="18" t="s">
        <v>431</v>
      </c>
      <c r="J22" s="20" t="s">
        <v>431</v>
      </c>
      <c r="K22" s="18" t="n">
        <v>0.49480228</v>
      </c>
      <c r="L22" s="20" t="n">
        <v>0.35021742</v>
      </c>
      <c r="M22" s="18" t="n">
        <v>0</v>
      </c>
      <c r="N22" s="20" t="n">
        <v>0</v>
      </c>
      <c r="O22" s="18" t="n">
        <v>0</v>
      </c>
      <c r="P22" s="20" t="n">
        <v>0</v>
      </c>
      <c r="Q22" s="18" t="n">
        <v>7.17071</v>
      </c>
      <c r="R22" s="20" t="n">
        <v>1.43004384</v>
      </c>
    </row>
    <row r="23" spans="1:18">
      <c r="A23" s="15" t="s">
        <v>447</v>
      </c>
      <c r="B23" s="17" t="n">
        <v>5791</v>
      </c>
      <c r="C23" s="18">
        <f>(5049.0/B23*100)</f>
        <v/>
      </c>
      <c r="D23" s="19" t="n">
        <v>742</v>
      </c>
      <c r="E23" s="18" t="n">
        <v>32.12028719</v>
      </c>
      <c r="F23" s="20" t="n">
        <v>2.28285483</v>
      </c>
      <c r="G23" s="18" t="n">
        <v>54.15853466</v>
      </c>
      <c r="H23" s="20" t="n">
        <v>2.21308176</v>
      </c>
      <c r="I23" s="18" t="s">
        <v>431</v>
      </c>
      <c r="J23" s="20" t="s">
        <v>431</v>
      </c>
      <c r="K23" s="18" t="n">
        <v>0</v>
      </c>
      <c r="L23" s="20" t="n">
        <v>0</v>
      </c>
      <c r="M23" s="18" t="n">
        <v>0.20320725</v>
      </c>
      <c r="N23" s="20" t="n">
        <v>0.23473127</v>
      </c>
      <c r="O23" s="18" t="n">
        <v>0</v>
      </c>
      <c r="P23" s="20" t="n">
        <v>0</v>
      </c>
      <c r="Q23" s="18" t="n">
        <v>13.51797091</v>
      </c>
      <c r="R23" s="20" t="n">
        <v>1.53394352</v>
      </c>
    </row>
    <row r="24" spans="1:18">
      <c r="A24" s="15" t="s">
        <v>448</v>
      </c>
      <c r="B24" s="17" t="n">
        <v>3338</v>
      </c>
      <c r="C24" s="18">
        <f>(2940.0/B24*100)</f>
        <v/>
      </c>
      <c r="D24" s="19" t="n">
        <v>398</v>
      </c>
      <c r="E24" s="18" t="n">
        <v>17.61300793</v>
      </c>
      <c r="F24" s="20" t="n">
        <v>1.95419433</v>
      </c>
      <c r="G24" s="18" t="n">
        <v>73.92061657000001</v>
      </c>
      <c r="H24" s="20" t="n">
        <v>2.51887274</v>
      </c>
      <c r="I24" s="18" t="s">
        <v>431</v>
      </c>
      <c r="J24" s="20" t="s">
        <v>431</v>
      </c>
      <c r="K24" s="18" t="n">
        <v>0.46181361</v>
      </c>
      <c r="L24" s="20" t="n">
        <v>0.32480377</v>
      </c>
      <c r="M24" s="18" t="n">
        <v>0</v>
      </c>
      <c r="N24" s="20" t="n">
        <v>0</v>
      </c>
      <c r="O24" s="18" t="n">
        <v>0</v>
      </c>
      <c r="P24" s="20" t="n">
        <v>0</v>
      </c>
      <c r="Q24" s="18" t="n">
        <v>8.00456189</v>
      </c>
      <c r="R24" s="20" t="n">
        <v>1.54961888</v>
      </c>
    </row>
    <row r="25" spans="1:18">
      <c r="A25" s="15" t="s">
        <v>449</v>
      </c>
      <c r="B25" s="17" t="n">
        <v>2912</v>
      </c>
      <c r="C25" s="18">
        <f>(2568.0/B25*100)</f>
        <v/>
      </c>
      <c r="D25" s="19" t="n">
        <v>344</v>
      </c>
      <c r="E25" s="18" t="n">
        <v>17.81828837</v>
      </c>
      <c r="F25" s="20" t="n">
        <v>2.4086856</v>
      </c>
      <c r="G25" s="18" t="n">
        <v>73.87388190999999</v>
      </c>
      <c r="H25" s="20" t="n">
        <v>2.7798844</v>
      </c>
      <c r="I25" s="18" t="s">
        <v>431</v>
      </c>
      <c r="J25" s="20" t="s">
        <v>431</v>
      </c>
      <c r="K25" s="18" t="n">
        <v>0</v>
      </c>
      <c r="L25" s="20" t="n">
        <v>0</v>
      </c>
      <c r="M25" s="18" t="n">
        <v>0</v>
      </c>
      <c r="N25" s="20" t="n">
        <v>0</v>
      </c>
      <c r="O25" s="18" t="n">
        <v>0</v>
      </c>
      <c r="P25" s="20" t="n">
        <v>0</v>
      </c>
      <c r="Q25" s="18" t="n">
        <v>8.307829720000001</v>
      </c>
      <c r="R25" s="20" t="n">
        <v>1.49903373</v>
      </c>
    </row>
    <row r="26" spans="1:18">
      <c r="A26" s="15" t="s">
        <v>450</v>
      </c>
      <c r="B26" s="17" t="n">
        <v>2450</v>
      </c>
      <c r="C26" s="18">
        <f>(2136.0/B26*100)</f>
        <v/>
      </c>
      <c r="D26" s="19" t="n">
        <v>314</v>
      </c>
      <c r="E26" s="18" t="n">
        <v>30.90985172</v>
      </c>
      <c r="F26" s="20" t="n">
        <v>2.6042906</v>
      </c>
      <c r="G26" s="18" t="n">
        <v>62.56557561</v>
      </c>
      <c r="H26" s="20" t="n">
        <v>2.44240995</v>
      </c>
      <c r="I26" s="18" t="s">
        <v>431</v>
      </c>
      <c r="J26" s="20" t="s">
        <v>431</v>
      </c>
      <c r="K26" s="18" t="n">
        <v>0</v>
      </c>
      <c r="L26" s="20" t="n">
        <v>0</v>
      </c>
      <c r="M26" s="18" t="n">
        <v>0.6345721600000001</v>
      </c>
      <c r="N26" s="20" t="n">
        <v>0.64216124</v>
      </c>
      <c r="O26" s="18" t="n">
        <v>0</v>
      </c>
      <c r="P26" s="20" t="n">
        <v>0</v>
      </c>
      <c r="Q26" s="18" t="n">
        <v>5.89000052</v>
      </c>
      <c r="R26" s="20" t="n">
        <v>1.41296777</v>
      </c>
    </row>
    <row r="27" spans="1:18">
      <c r="A27" s="15" t="s">
        <v>451</v>
      </c>
      <c r="B27" s="17" t="n">
        <v>2616</v>
      </c>
      <c r="C27" s="18">
        <f>(2298.0/B27*100)</f>
        <v/>
      </c>
      <c r="D27" s="19" t="n">
        <v>318</v>
      </c>
      <c r="E27" s="18" t="n">
        <v>18.76040222</v>
      </c>
      <c r="F27" s="20" t="n">
        <v>1.94737573</v>
      </c>
      <c r="G27" s="18" t="n">
        <v>66.67671321</v>
      </c>
      <c r="H27" s="20" t="n">
        <v>2.24917384</v>
      </c>
      <c r="I27" s="18" t="s">
        <v>431</v>
      </c>
      <c r="J27" s="20" t="s">
        <v>431</v>
      </c>
      <c r="K27" s="18" t="n">
        <v>0.32398531</v>
      </c>
      <c r="L27" s="20" t="n">
        <v>0.32281434</v>
      </c>
      <c r="M27" s="18" t="n">
        <v>0</v>
      </c>
      <c r="N27" s="20" t="n">
        <v>0</v>
      </c>
      <c r="O27" s="18" t="n">
        <v>0</v>
      </c>
      <c r="P27" s="20" t="n">
        <v>0</v>
      </c>
      <c r="Q27" s="18" t="n">
        <v>14.23889927</v>
      </c>
      <c r="R27" s="20" t="n">
        <v>2.08131507</v>
      </c>
    </row>
    <row r="28" spans="1:18">
      <c r="A28" s="15" t="s">
        <v>452</v>
      </c>
      <c r="B28" s="17" t="n">
        <v>3765</v>
      </c>
      <c r="C28" s="18">
        <f>(3309.0/B28*100)</f>
        <v/>
      </c>
      <c r="D28" s="19" t="n">
        <v>456</v>
      </c>
      <c r="E28" s="18" t="n">
        <v>31.76972329</v>
      </c>
      <c r="F28" s="20" t="n">
        <v>2.66944103</v>
      </c>
      <c r="G28" s="18" t="n">
        <v>63.19182834</v>
      </c>
      <c r="H28" s="20" t="n">
        <v>2.79062587</v>
      </c>
      <c r="I28" s="18" t="s">
        <v>431</v>
      </c>
      <c r="J28" s="20" t="s">
        <v>431</v>
      </c>
      <c r="K28" s="18" t="n">
        <v>1.42742623</v>
      </c>
      <c r="L28" s="20" t="n">
        <v>0.68127214</v>
      </c>
      <c r="M28" s="18" t="n">
        <v>0</v>
      </c>
      <c r="N28" s="20" t="n">
        <v>0</v>
      </c>
      <c r="O28" s="18" t="n">
        <v>0</v>
      </c>
      <c r="P28" s="20" t="n">
        <v>0</v>
      </c>
      <c r="Q28" s="18" t="n">
        <v>3.61102214</v>
      </c>
      <c r="R28" s="20" t="n">
        <v>1.1934118</v>
      </c>
    </row>
    <row r="29" spans="1:18">
      <c r="A29" s="15" t="s">
        <v>453</v>
      </c>
      <c r="B29" s="17" t="n">
        <v>2685</v>
      </c>
      <c r="C29" s="18">
        <f>(2346.0/B29*100)</f>
        <v/>
      </c>
      <c r="D29" s="19" t="n">
        <v>339</v>
      </c>
      <c r="E29" s="18" t="n">
        <v>19.75129604</v>
      </c>
      <c r="F29" s="20" t="n">
        <v>2.26346656</v>
      </c>
      <c r="G29" s="18" t="n">
        <v>77.37100350999999</v>
      </c>
      <c r="H29" s="20" t="n">
        <v>2.20780494</v>
      </c>
      <c r="I29" s="18" t="s">
        <v>431</v>
      </c>
      <c r="J29" s="20" t="s">
        <v>431</v>
      </c>
      <c r="K29" s="18" t="n">
        <v>0.17456224</v>
      </c>
      <c r="L29" s="20" t="n">
        <v>0.17548825</v>
      </c>
      <c r="M29" s="18" t="n">
        <v>0</v>
      </c>
      <c r="N29" s="20" t="n">
        <v>0</v>
      </c>
      <c r="O29" s="18" t="n">
        <v>0</v>
      </c>
      <c r="P29" s="20" t="n">
        <v>0</v>
      </c>
      <c r="Q29" s="18" t="n">
        <v>2.70313821</v>
      </c>
      <c r="R29" s="20" t="n">
        <v>1.18253968</v>
      </c>
    </row>
    <row r="30" spans="1:18">
      <c r="A30" s="15" t="s">
        <v>454</v>
      </c>
      <c r="B30" s="17" t="n">
        <v>2263</v>
      </c>
      <c r="C30" s="18">
        <f>(1973.0/B30*100)</f>
        <v/>
      </c>
      <c r="D30" s="19" t="n">
        <v>290</v>
      </c>
      <c r="E30" s="18" t="n">
        <v>16.6162335</v>
      </c>
      <c r="F30" s="20" t="n">
        <v>2.60381665</v>
      </c>
      <c r="G30" s="18" t="n">
        <v>73.70596516000001</v>
      </c>
      <c r="H30" s="20" t="n">
        <v>2.88804722</v>
      </c>
      <c r="I30" s="18" t="s">
        <v>431</v>
      </c>
      <c r="J30" s="20" t="s">
        <v>431</v>
      </c>
      <c r="K30" s="18" t="n">
        <v>0.54845237</v>
      </c>
      <c r="L30" s="20" t="n">
        <v>0.37516838</v>
      </c>
      <c r="M30" s="18" t="n">
        <v>0.77621708</v>
      </c>
      <c r="N30" s="20" t="n">
        <v>0.55746774</v>
      </c>
      <c r="O30" s="18" t="n">
        <v>0</v>
      </c>
      <c r="P30" s="20" t="n">
        <v>0</v>
      </c>
      <c r="Q30" s="18" t="n">
        <v>8.353131899999999</v>
      </c>
      <c r="R30" s="20" t="n">
        <v>1.50645888</v>
      </c>
    </row>
    <row r="31" spans="1:18">
      <c r="A31" s="15" t="s">
        <v>455</v>
      </c>
      <c r="B31" s="17" t="n">
        <v>2750</v>
      </c>
      <c r="C31" s="18">
        <f>(2416.0/B31*100)</f>
        <v/>
      </c>
      <c r="D31" s="19" t="n">
        <v>334</v>
      </c>
      <c r="E31" s="18" t="n">
        <v>15.17596274</v>
      </c>
      <c r="F31" s="20" t="n">
        <v>1.90219071</v>
      </c>
      <c r="G31" s="18" t="n">
        <v>77.02656577</v>
      </c>
      <c r="H31" s="20" t="n">
        <v>2.52909374</v>
      </c>
      <c r="I31" s="18" t="s">
        <v>431</v>
      </c>
      <c r="J31" s="20" t="s">
        <v>431</v>
      </c>
      <c r="K31" s="18" t="n">
        <v>0.29936509</v>
      </c>
      <c r="L31" s="20" t="n">
        <v>0.28934654</v>
      </c>
      <c r="M31" s="18" t="n">
        <v>0</v>
      </c>
      <c r="N31" s="20" t="n">
        <v>0</v>
      </c>
      <c r="O31" s="18" t="n">
        <v>0</v>
      </c>
      <c r="P31" s="20" t="n">
        <v>0</v>
      </c>
      <c r="Q31" s="18" t="n">
        <v>7.49810639</v>
      </c>
      <c r="R31" s="20" t="n">
        <v>1.68400305</v>
      </c>
    </row>
    <row r="32" spans="1:18">
      <c r="A32" s="15" t="s">
        <v>456</v>
      </c>
      <c r="B32" s="17" t="n">
        <v>2269</v>
      </c>
      <c r="C32" s="18">
        <f>(1918.0/B32*100)</f>
        <v/>
      </c>
      <c r="D32" s="19" t="n">
        <v>351</v>
      </c>
      <c r="E32" s="18" t="n">
        <v>23.90266817</v>
      </c>
      <c r="F32" s="20" t="n">
        <v>2.25625535</v>
      </c>
      <c r="G32" s="18" t="n">
        <v>65.2173777</v>
      </c>
      <c r="H32" s="20" t="n">
        <v>2.55009547</v>
      </c>
      <c r="I32" s="18" t="s">
        <v>431</v>
      </c>
      <c r="J32" s="20" t="s">
        <v>431</v>
      </c>
      <c r="K32" s="18" t="n">
        <v>0</v>
      </c>
      <c r="L32" s="20" t="n">
        <v>0</v>
      </c>
      <c r="M32" s="18" t="n">
        <v>0</v>
      </c>
      <c r="N32" s="20" t="n">
        <v>0</v>
      </c>
      <c r="O32" s="18" t="n">
        <v>0</v>
      </c>
      <c r="P32" s="20" t="n">
        <v>0</v>
      </c>
      <c r="Q32" s="18" t="n">
        <v>10.87995413</v>
      </c>
      <c r="R32" s="20" t="n">
        <v>1.4710094</v>
      </c>
    </row>
    <row r="33" spans="1:18">
      <c r="A33" s="15" t="s">
        <v>457</v>
      </c>
      <c r="B33" s="17" t="n">
        <v>3674</v>
      </c>
      <c r="C33" s="18">
        <f>(3227.0/B33*100)</f>
        <v/>
      </c>
      <c r="D33" s="19" t="n">
        <v>447</v>
      </c>
      <c r="E33" s="18" t="n">
        <v>21.36147593</v>
      </c>
      <c r="F33" s="20" t="n">
        <v>2.36402503</v>
      </c>
      <c r="G33" s="18" t="n">
        <v>69.54133</v>
      </c>
      <c r="H33" s="20" t="n">
        <v>2.47306075</v>
      </c>
      <c r="I33" s="18" t="s">
        <v>431</v>
      </c>
      <c r="J33" s="20" t="s">
        <v>431</v>
      </c>
      <c r="K33" s="18" t="n">
        <v>0.08447621</v>
      </c>
      <c r="L33" s="20" t="n">
        <v>0.10410973</v>
      </c>
      <c r="M33" s="18" t="n">
        <v>0.24270701</v>
      </c>
      <c r="N33" s="20" t="n">
        <v>0.16921936</v>
      </c>
      <c r="O33" s="18" t="n">
        <v>0</v>
      </c>
      <c r="P33" s="20" t="n">
        <v>0</v>
      </c>
      <c r="Q33" s="18" t="n">
        <v>8.77001085</v>
      </c>
      <c r="R33" s="20" t="n">
        <v>1.37674514</v>
      </c>
    </row>
    <row r="34" spans="1:18">
      <c r="A34" s="15" t="s">
        <v>458</v>
      </c>
      <c r="B34" s="17" t="n">
        <v>3315</v>
      </c>
      <c r="C34" s="18">
        <f>(2929.0/B34*100)</f>
        <v/>
      </c>
      <c r="D34" s="19" t="n">
        <v>386</v>
      </c>
      <c r="E34" s="18" t="n">
        <v>35.91596674</v>
      </c>
      <c r="F34" s="20" t="n">
        <v>2.74666161</v>
      </c>
      <c r="G34" s="18" t="n">
        <v>45.75288832</v>
      </c>
      <c r="H34" s="20" t="n">
        <v>2.68125807</v>
      </c>
      <c r="I34" s="18" t="s">
        <v>431</v>
      </c>
      <c r="J34" s="20" t="s">
        <v>431</v>
      </c>
      <c r="K34" s="18" t="n">
        <v>0.41630574</v>
      </c>
      <c r="L34" s="20" t="n">
        <v>0.41418664</v>
      </c>
      <c r="M34" s="18" t="n">
        <v>0</v>
      </c>
      <c r="N34" s="20" t="n">
        <v>0</v>
      </c>
      <c r="O34" s="18" t="n">
        <v>0</v>
      </c>
      <c r="P34" s="20" t="n">
        <v>0</v>
      </c>
      <c r="Q34" s="18" t="n">
        <v>17.9148392</v>
      </c>
      <c r="R34" s="20" t="n">
        <v>2.07149285</v>
      </c>
    </row>
    <row r="35" spans="1:18">
      <c r="A35" s="15" t="s">
        <v>459</v>
      </c>
      <c r="B35" s="17" t="n">
        <v>3505</v>
      </c>
      <c r="C35" s="18">
        <f>(3100.0/B35*100)</f>
        <v/>
      </c>
      <c r="D35" s="19" t="n">
        <v>405</v>
      </c>
      <c r="E35" s="18" t="n">
        <v>29.46290966</v>
      </c>
      <c r="F35" s="20" t="n">
        <v>3.15916657</v>
      </c>
      <c r="G35" s="18" t="n">
        <v>54.33154693</v>
      </c>
      <c r="H35" s="20" t="n">
        <v>3.3344253</v>
      </c>
      <c r="I35" s="18" t="s">
        <v>431</v>
      </c>
      <c r="J35" s="20" t="s">
        <v>431</v>
      </c>
      <c r="K35" s="18" t="n">
        <v>0</v>
      </c>
      <c r="L35" s="20" t="n">
        <v>0</v>
      </c>
      <c r="M35" s="18" t="n">
        <v>0.4449875</v>
      </c>
      <c r="N35" s="20" t="n">
        <v>0.44533069</v>
      </c>
      <c r="O35" s="18" t="n">
        <v>0</v>
      </c>
      <c r="P35" s="20" t="n">
        <v>0</v>
      </c>
      <c r="Q35" s="18" t="n">
        <v>15.76055591</v>
      </c>
      <c r="R35" s="20" t="n">
        <v>2.21517169</v>
      </c>
    </row>
    <row r="36" spans="1:18">
      <c r="A36" s="15" t="s">
        <v>460</v>
      </c>
      <c r="B36" s="17" t="n">
        <v>3332</v>
      </c>
      <c r="C36" s="18">
        <f>(2933.0/B36*100)</f>
        <v/>
      </c>
      <c r="D36" s="19" t="n">
        <v>399</v>
      </c>
      <c r="E36" s="18" t="n">
        <v>14.45995411</v>
      </c>
      <c r="F36" s="20" t="n">
        <v>1.95955905</v>
      </c>
      <c r="G36" s="18" t="n">
        <v>80.08031434999999</v>
      </c>
      <c r="H36" s="20" t="n">
        <v>2.27135547</v>
      </c>
      <c r="I36" s="18" t="s">
        <v>431</v>
      </c>
      <c r="J36" s="20" t="s">
        <v>431</v>
      </c>
      <c r="K36" s="18" t="n">
        <v>0.64166147</v>
      </c>
      <c r="L36" s="20" t="n">
        <v>0.47705392</v>
      </c>
      <c r="M36" s="18" t="n">
        <v>0</v>
      </c>
      <c r="N36" s="20" t="n">
        <v>0</v>
      </c>
      <c r="O36" s="18" t="n">
        <v>0</v>
      </c>
      <c r="P36" s="20" t="n">
        <v>0</v>
      </c>
      <c r="Q36" s="18" t="n">
        <v>4.81807008</v>
      </c>
      <c r="R36" s="20" t="n">
        <v>1.17527032</v>
      </c>
    </row>
    <row r="37" spans="1:18">
      <c r="A37" s="15" t="s">
        <v>461</v>
      </c>
      <c r="B37" s="17" t="n">
        <v>2727</v>
      </c>
      <c r="C37" s="18">
        <f>(2382.0/B37*100)</f>
        <v/>
      </c>
      <c r="D37" s="19" t="n">
        <v>345</v>
      </c>
      <c r="E37" s="18" t="n">
        <v>19.17456088</v>
      </c>
      <c r="F37" s="20" t="n">
        <v>2.23624967</v>
      </c>
      <c r="G37" s="18" t="n">
        <v>66.97892340999999</v>
      </c>
      <c r="H37" s="20" t="n">
        <v>2.43234648</v>
      </c>
      <c r="I37" s="18" t="s">
        <v>431</v>
      </c>
      <c r="J37" s="20" t="s">
        <v>431</v>
      </c>
      <c r="K37" s="18" t="n">
        <v>0.23720341</v>
      </c>
      <c r="L37" s="20" t="n">
        <v>0.23872882</v>
      </c>
      <c r="M37" s="18" t="n">
        <v>0</v>
      </c>
      <c r="N37" s="20" t="n">
        <v>0</v>
      </c>
      <c r="O37" s="18" t="n">
        <v>0</v>
      </c>
      <c r="P37" s="20" t="n">
        <v>0</v>
      </c>
      <c r="Q37" s="18" t="n">
        <v>13.6093123</v>
      </c>
      <c r="R37" s="20" t="n">
        <v>1.83150817</v>
      </c>
    </row>
    <row r="38" spans="1:18">
      <c r="A38" s="15" t="s">
        <v>462</v>
      </c>
      <c r="B38" s="17" t="n">
        <v>3053</v>
      </c>
      <c r="C38" s="18">
        <f>(2572.0/B38*100)</f>
        <v/>
      </c>
      <c r="D38" s="19" t="n">
        <v>481</v>
      </c>
      <c r="E38" s="18" t="n">
        <v>15.33816791</v>
      </c>
      <c r="F38" s="20" t="n">
        <v>2.01994344</v>
      </c>
      <c r="G38" s="18" t="n">
        <v>73.62863625999999</v>
      </c>
      <c r="H38" s="20" t="n">
        <v>2.27357014</v>
      </c>
      <c r="I38" s="18" t="s">
        <v>431</v>
      </c>
      <c r="J38" s="20" t="s">
        <v>431</v>
      </c>
      <c r="K38" s="18" t="n">
        <v>0.5964825</v>
      </c>
      <c r="L38" s="20" t="n">
        <v>0.57697318</v>
      </c>
      <c r="M38" s="18" t="n">
        <v>0.43717722</v>
      </c>
      <c r="N38" s="20" t="n">
        <v>0.31484757</v>
      </c>
      <c r="O38" s="18" t="n">
        <v>0</v>
      </c>
      <c r="P38" s="20" t="n">
        <v>0</v>
      </c>
      <c r="Q38" s="18" t="n">
        <v>9.999536109999999</v>
      </c>
      <c r="R38" s="20" t="n">
        <v>1.56165578</v>
      </c>
    </row>
    <row r="39" spans="1:18">
      <c r="A39" s="15" t="s">
        <v>463</v>
      </c>
      <c r="B39" s="17" t="n">
        <v>2957</v>
      </c>
      <c r="C39" s="18">
        <f>(2588.0/B39*100)</f>
        <v/>
      </c>
      <c r="D39" s="19" t="n">
        <v>369</v>
      </c>
      <c r="E39" s="18" t="n">
        <v>44.56187229</v>
      </c>
      <c r="F39" s="20" t="n">
        <v>3.23002564</v>
      </c>
      <c r="G39" s="18" t="n">
        <v>43.45307048</v>
      </c>
      <c r="H39" s="20" t="n">
        <v>3.03239609</v>
      </c>
      <c r="I39" s="18" t="s">
        <v>431</v>
      </c>
      <c r="J39" s="20" t="s">
        <v>431</v>
      </c>
      <c r="K39" s="18" t="n">
        <v>0.43196517</v>
      </c>
      <c r="L39" s="20" t="n">
        <v>0.38094483</v>
      </c>
      <c r="M39" s="18" t="n">
        <v>0</v>
      </c>
      <c r="N39" s="20" t="n">
        <v>0</v>
      </c>
      <c r="O39" s="18" t="n">
        <v>0</v>
      </c>
      <c r="P39" s="20" t="n">
        <v>0</v>
      </c>
      <c r="Q39" s="18" t="n">
        <v>11.55309206</v>
      </c>
      <c r="R39" s="20" t="n">
        <v>1.98672234</v>
      </c>
    </row>
    <row r="40" spans="1:18">
      <c r="A40" s="15" t="s">
        <v>464</v>
      </c>
      <c r="B40" s="17" t="n">
        <v>7235</v>
      </c>
      <c r="C40" s="18">
        <f>(6351.0/B40*100)</f>
        <v/>
      </c>
      <c r="D40" s="19" t="n">
        <v>884</v>
      </c>
      <c r="E40" s="18" t="n">
        <v>18.97929734</v>
      </c>
      <c r="F40" s="20" t="n">
        <v>2.2001563</v>
      </c>
      <c r="G40" s="18" t="n">
        <v>72.44935492</v>
      </c>
      <c r="H40" s="20" t="n">
        <v>2.29777735</v>
      </c>
      <c r="I40" s="18" t="s">
        <v>431</v>
      </c>
      <c r="J40" s="20" t="s">
        <v>431</v>
      </c>
      <c r="K40" s="18" t="n">
        <v>0.07447342999999999</v>
      </c>
      <c r="L40" s="20" t="n">
        <v>0.04343624</v>
      </c>
      <c r="M40" s="18" t="n">
        <v>0.5593626</v>
      </c>
      <c r="N40" s="20" t="n">
        <v>0.44102394</v>
      </c>
      <c r="O40" s="18" t="n">
        <v>0</v>
      </c>
      <c r="P40" s="20" t="n">
        <v>0</v>
      </c>
      <c r="Q40" s="18" t="n">
        <v>7.93751171</v>
      </c>
      <c r="R40" s="20" t="n">
        <v>1.29710125</v>
      </c>
    </row>
    <row r="41" spans="1:18">
      <c r="A41" s="15" t="s">
        <v>465</v>
      </c>
      <c r="B41" s="17" t="n">
        <v>2858</v>
      </c>
      <c r="C41" s="18">
        <f>(2515.0/B41*100)</f>
        <v/>
      </c>
      <c r="D41" s="19" t="n">
        <v>343</v>
      </c>
      <c r="E41" s="18" t="n">
        <v>20.24732852</v>
      </c>
      <c r="F41" s="20" t="n">
        <v>2.41799811</v>
      </c>
      <c r="G41" s="18" t="n">
        <v>77.78916789</v>
      </c>
      <c r="H41" s="20" t="n">
        <v>2.55613213</v>
      </c>
      <c r="I41" s="18" t="s">
        <v>431</v>
      </c>
      <c r="J41" s="20" t="s">
        <v>431</v>
      </c>
      <c r="K41" s="18" t="n">
        <v>0</v>
      </c>
      <c r="L41" s="20" t="n">
        <v>0</v>
      </c>
      <c r="M41" s="18" t="n">
        <v>0</v>
      </c>
      <c r="N41" s="20" t="n">
        <v>0</v>
      </c>
      <c r="O41" s="18" t="n">
        <v>0</v>
      </c>
      <c r="P41" s="20" t="n">
        <v>0</v>
      </c>
      <c r="Q41" s="18" t="n">
        <v>1.9635036</v>
      </c>
      <c r="R41" s="20" t="n">
        <v>0.72746216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(9935.0/B46*100)</f>
        <v/>
      </c>
      <c r="D46" s="19" t="n">
        <v>1133</v>
      </c>
      <c r="E46" s="18" t="n">
        <v>35.06622339</v>
      </c>
      <c r="F46" s="20" t="n">
        <v>1.6304938</v>
      </c>
      <c r="G46" s="18" t="n">
        <v>47.66724962</v>
      </c>
      <c r="H46" s="20" t="n">
        <v>1.99739341</v>
      </c>
      <c r="I46" s="18" t="s">
        <v>431</v>
      </c>
      <c r="J46" s="20" t="s">
        <v>431</v>
      </c>
      <c r="K46" s="18" t="n">
        <v>1.36711308</v>
      </c>
      <c r="L46" s="20" t="n">
        <v>0.46057046</v>
      </c>
      <c r="M46" s="18" t="n">
        <v>0.30393575</v>
      </c>
      <c r="N46" s="20" t="n">
        <v>0.20350517</v>
      </c>
      <c r="O46" s="18" t="n">
        <v>0</v>
      </c>
      <c r="P46" s="20" t="n">
        <v>0</v>
      </c>
      <c r="Q46" s="18" t="n">
        <v>15.59547815</v>
      </c>
      <c r="R46" s="20" t="n">
        <v>1.55836292</v>
      </c>
    </row>
    <row r="47" spans="1:18">
      <c r="A47" s="15" t="s">
        <v>471</v>
      </c>
      <c r="B47" s="17" t="n">
        <v>3105</v>
      </c>
      <c r="C47" s="18">
        <f>(2698.0/B47*100)</f>
        <v/>
      </c>
      <c r="D47" s="19" t="n">
        <v>407</v>
      </c>
      <c r="E47" s="18" t="n">
        <v>33.57792206</v>
      </c>
      <c r="F47" s="20" t="n">
        <v>2.31311854</v>
      </c>
      <c r="G47" s="18" t="n">
        <v>36.99893834</v>
      </c>
      <c r="H47" s="20" t="n">
        <v>2.87590013</v>
      </c>
      <c r="I47" s="18" t="s">
        <v>431</v>
      </c>
      <c r="J47" s="20" t="s">
        <v>431</v>
      </c>
      <c r="K47" s="18" t="n">
        <v>0</v>
      </c>
      <c r="L47" s="20" t="n">
        <v>0</v>
      </c>
      <c r="M47" s="18" t="n">
        <v>0</v>
      </c>
      <c r="N47" s="20" t="n">
        <v>0</v>
      </c>
      <c r="O47" s="18" t="n">
        <v>0</v>
      </c>
      <c r="P47" s="20" t="n">
        <v>0</v>
      </c>
      <c r="Q47" s="18" t="n">
        <v>29.4231396</v>
      </c>
      <c r="R47" s="20" t="n">
        <v>2.34325104</v>
      </c>
    </row>
    <row r="48" spans="1:18">
      <c r="A48" s="15" t="s">
        <v>472</v>
      </c>
      <c r="B48" s="17" t="n">
        <v>5159</v>
      </c>
      <c r="C48" s="18">
        <f>(4532.0/B48*100)</f>
        <v/>
      </c>
      <c r="D48" s="19" t="n">
        <v>627</v>
      </c>
      <c r="E48" s="18" t="n">
        <v>18.24506072</v>
      </c>
      <c r="F48" s="20" t="n">
        <v>2.03907549</v>
      </c>
      <c r="G48" s="18" t="n">
        <v>73.17046611000001</v>
      </c>
      <c r="H48" s="20" t="n">
        <v>2.14571455</v>
      </c>
      <c r="I48" s="18" t="s">
        <v>431</v>
      </c>
      <c r="J48" s="20" t="s">
        <v>431</v>
      </c>
      <c r="K48" s="18" t="n">
        <v>0.64374656</v>
      </c>
      <c r="L48" s="20" t="n">
        <v>0.46242066</v>
      </c>
      <c r="M48" s="18" t="n">
        <v>0</v>
      </c>
      <c r="N48" s="20" t="n">
        <v>0</v>
      </c>
      <c r="O48" s="18" t="n">
        <v>0</v>
      </c>
      <c r="P48" s="20" t="n">
        <v>0</v>
      </c>
      <c r="Q48" s="18" t="n">
        <v>7.94072661</v>
      </c>
      <c r="R48" s="20" t="n">
        <v>1.36745289</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(4971.0/B50*100)</f>
        <v/>
      </c>
      <c r="D50" s="19" t="n">
        <v>666</v>
      </c>
      <c r="E50" s="18" t="n">
        <v>41.52540007</v>
      </c>
      <c r="F50" s="20" t="n">
        <v>2.66170043</v>
      </c>
      <c r="G50" s="18" t="n">
        <v>48.75223812</v>
      </c>
      <c r="H50" s="20" t="n">
        <v>2.67896499</v>
      </c>
      <c r="I50" s="18" t="s">
        <v>431</v>
      </c>
      <c r="J50" s="20" t="s">
        <v>431</v>
      </c>
      <c r="K50" s="18" t="n">
        <v>2.62345102</v>
      </c>
      <c r="L50" s="20" t="n">
        <v>1.00890917</v>
      </c>
      <c r="M50" s="18" t="n">
        <v>0.008376949999999999</v>
      </c>
      <c r="N50" s="20" t="n">
        <v>0.008428369999999999</v>
      </c>
      <c r="O50" s="18" t="n">
        <v>0</v>
      </c>
      <c r="P50" s="20" t="n">
        <v>0</v>
      </c>
      <c r="Q50" s="18" t="n">
        <v>7.09053385</v>
      </c>
      <c r="R50" s="20" t="n">
        <v>1.54156253</v>
      </c>
    </row>
    <row r="51" spans="1:18">
      <c r="A51" s="15" t="s">
        <v>475</v>
      </c>
      <c r="B51" s="17" t="n">
        <v>3372</v>
      </c>
      <c r="C51" s="18">
        <f>(3016.0/B51*100)</f>
        <v/>
      </c>
      <c r="D51" s="19" t="n">
        <v>356</v>
      </c>
      <c r="E51" s="18" t="n">
        <v>54.91195195</v>
      </c>
      <c r="F51" s="20" t="n">
        <v>2.79667171</v>
      </c>
      <c r="G51" s="18" t="n">
        <v>36.61204598</v>
      </c>
      <c r="H51" s="20" t="n">
        <v>2.65693289</v>
      </c>
      <c r="I51" s="18" t="s">
        <v>431</v>
      </c>
      <c r="J51" s="20" t="s">
        <v>431</v>
      </c>
      <c r="K51" s="18" t="n">
        <v>1.01029255</v>
      </c>
      <c r="L51" s="20" t="n">
        <v>0.51204011</v>
      </c>
      <c r="M51" s="18" t="n">
        <v>0</v>
      </c>
      <c r="N51" s="20" t="n">
        <v>0</v>
      </c>
      <c r="O51" s="18" t="n">
        <v>0</v>
      </c>
      <c r="P51" s="20" t="n">
        <v>0</v>
      </c>
      <c r="Q51" s="18" t="n">
        <v>7.46570953</v>
      </c>
      <c r="R51" s="20" t="n">
        <v>1.35962372</v>
      </c>
    </row>
    <row r="52" spans="1:18">
      <c r="A52" s="15" t="s">
        <v>476</v>
      </c>
      <c r="B52" s="17" t="n">
        <v>2796</v>
      </c>
      <c r="C52" s="18">
        <f>(2431.0/B52*100)</f>
        <v/>
      </c>
      <c r="D52" s="19" t="n">
        <v>365</v>
      </c>
      <c r="E52" s="18" t="n">
        <v>29.36810226</v>
      </c>
      <c r="F52" s="20" t="n">
        <v>2.19011258</v>
      </c>
      <c r="G52" s="18" t="n">
        <v>51.33465209</v>
      </c>
      <c r="H52" s="20" t="n">
        <v>2.73431562</v>
      </c>
      <c r="I52" s="18" t="s">
        <v>431</v>
      </c>
      <c r="J52" s="20" t="s">
        <v>431</v>
      </c>
      <c r="K52" s="18" t="n">
        <v>0</v>
      </c>
      <c r="L52" s="20" t="n">
        <v>0</v>
      </c>
      <c r="M52" s="18" t="n">
        <v>0</v>
      </c>
      <c r="N52" s="20" t="n">
        <v>0</v>
      </c>
      <c r="O52" s="18" t="n">
        <v>0</v>
      </c>
      <c r="P52" s="20" t="n">
        <v>0</v>
      </c>
      <c r="Q52" s="18" t="n">
        <v>19.29724565</v>
      </c>
      <c r="R52" s="20" t="n">
        <v>2.17824395</v>
      </c>
    </row>
    <row r="53" spans="1:18">
      <c r="A53" s="15" t="s">
        <v>477</v>
      </c>
      <c r="B53" s="17" t="n">
        <v>2811</v>
      </c>
      <c r="C53" s="18">
        <f>(2481.0/B53*100)</f>
        <v/>
      </c>
      <c r="D53" s="19" t="n">
        <v>330</v>
      </c>
      <c r="E53" s="18" t="n">
        <v>17.75148561</v>
      </c>
      <c r="F53" s="20" t="n">
        <v>2.09140141</v>
      </c>
      <c r="G53" s="18" t="n">
        <v>65.60785434</v>
      </c>
      <c r="H53" s="20" t="n">
        <v>2.80863152</v>
      </c>
      <c r="I53" s="18" t="s">
        <v>431</v>
      </c>
      <c r="J53" s="20" t="s">
        <v>431</v>
      </c>
      <c r="K53" s="18" t="n">
        <v>0</v>
      </c>
      <c r="L53" s="20" t="n">
        <v>0</v>
      </c>
      <c r="M53" s="18" t="n">
        <v>0</v>
      </c>
      <c r="N53" s="20" t="n">
        <v>0</v>
      </c>
      <c r="O53" s="18" t="n">
        <v>0</v>
      </c>
      <c r="P53" s="20" t="n">
        <v>0</v>
      </c>
      <c r="Q53" s="18" t="n">
        <v>16.64066004</v>
      </c>
      <c r="R53" s="20" t="n">
        <v>1.8140157</v>
      </c>
    </row>
    <row r="54" spans="1:18">
      <c r="A54" s="15" t="s">
        <v>478</v>
      </c>
      <c r="B54" s="17" t="n">
        <v>2266</v>
      </c>
      <c r="C54" s="18">
        <f>(1880.0/B54*100)</f>
        <v/>
      </c>
      <c r="D54" s="19" t="n">
        <v>386</v>
      </c>
      <c r="E54" s="18" t="n">
        <v>38.07154276</v>
      </c>
      <c r="F54" s="20" t="n">
        <v>2.83766787</v>
      </c>
      <c r="G54" s="18" t="n">
        <v>28.82742931</v>
      </c>
      <c r="H54" s="20" t="n">
        <v>2.39376136</v>
      </c>
      <c r="I54" s="18" t="s">
        <v>431</v>
      </c>
      <c r="J54" s="20" t="s">
        <v>431</v>
      </c>
      <c r="K54" s="18" t="n">
        <v>15.6484872</v>
      </c>
      <c r="L54" s="20" t="n">
        <v>2.07947577</v>
      </c>
      <c r="M54" s="18" t="n">
        <v>0.74906846</v>
      </c>
      <c r="N54" s="20" t="n">
        <v>0.5493449500000001</v>
      </c>
      <c r="O54" s="18" t="n">
        <v>0</v>
      </c>
      <c r="P54" s="20" t="n">
        <v>0</v>
      </c>
      <c r="Q54" s="18" t="n">
        <v>16.70347227</v>
      </c>
      <c r="R54" s="20" t="n">
        <v>1.79351855</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(2344.0/B56*100)</f>
        <v/>
      </c>
      <c r="D56" s="19" t="n">
        <v>340</v>
      </c>
      <c r="E56" s="18" t="n">
        <v>11.46991524</v>
      </c>
      <c r="F56" s="20" t="n">
        <v>1.92042087</v>
      </c>
      <c r="G56" s="18" t="n">
        <v>83.00313996</v>
      </c>
      <c r="H56" s="20" t="n">
        <v>2.10133175</v>
      </c>
      <c r="I56" s="18" t="s">
        <v>431</v>
      </c>
      <c r="J56" s="20" t="s">
        <v>431</v>
      </c>
      <c r="K56" s="18" t="n">
        <v>0.65720711</v>
      </c>
      <c r="L56" s="20" t="n">
        <v>0.48462054</v>
      </c>
      <c r="M56" s="18" t="n">
        <v>0</v>
      </c>
      <c r="N56" s="20" t="n">
        <v>0</v>
      </c>
      <c r="O56" s="18" t="n">
        <v>0</v>
      </c>
      <c r="P56" s="20" t="n">
        <v>0</v>
      </c>
      <c r="Q56" s="18" t="n">
        <v>4.86973769</v>
      </c>
      <c r="R56" s="20" t="n">
        <v>1.01397637</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(2923.0/B61*100)</f>
        <v/>
      </c>
      <c r="D61" s="19" t="n">
        <v>401</v>
      </c>
      <c r="E61" s="18" t="n">
        <v>30.58951843</v>
      </c>
      <c r="F61" s="20" t="n">
        <v>2.57913096</v>
      </c>
      <c r="G61" s="18" t="n">
        <v>53.29937129</v>
      </c>
      <c r="H61" s="20" t="n">
        <v>2.57892917</v>
      </c>
      <c r="I61" s="18" t="s">
        <v>431</v>
      </c>
      <c r="J61" s="20" t="s">
        <v>431</v>
      </c>
      <c r="K61" s="18" t="n">
        <v>0</v>
      </c>
      <c r="L61" s="20" t="n">
        <v>0</v>
      </c>
      <c r="M61" s="18" t="n">
        <v>0</v>
      </c>
      <c r="N61" s="20" t="n">
        <v>0</v>
      </c>
      <c r="O61" s="18" t="n">
        <v>0</v>
      </c>
      <c r="P61" s="20" t="n">
        <v>0</v>
      </c>
      <c r="Q61" s="18" t="n">
        <v>16.11111029</v>
      </c>
      <c r="R61" s="20" t="n">
        <v>2.0044787</v>
      </c>
    </row>
    <row r="62" spans="1:18">
      <c r="A62" s="15" t="s">
        <v>486</v>
      </c>
      <c r="B62" s="17" t="n">
        <v>2246</v>
      </c>
      <c r="C62" s="18">
        <f>(1982.0/B62*100)</f>
        <v/>
      </c>
      <c r="D62" s="19" t="n">
        <v>264</v>
      </c>
      <c r="E62" s="18" t="n">
        <v>22.7541761</v>
      </c>
      <c r="F62" s="20" t="n">
        <v>3.05258341</v>
      </c>
      <c r="G62" s="18" t="n">
        <v>74.97814791</v>
      </c>
      <c r="H62" s="20" t="n">
        <v>3.1013168</v>
      </c>
      <c r="I62" s="18" t="s">
        <v>431</v>
      </c>
      <c r="J62" s="20" t="s">
        <v>431</v>
      </c>
      <c r="K62" s="18" t="n">
        <v>0</v>
      </c>
      <c r="L62" s="20" t="n">
        <v>0</v>
      </c>
      <c r="M62" s="18" t="n">
        <v>0</v>
      </c>
      <c r="N62" s="20" t="n">
        <v>0</v>
      </c>
      <c r="O62" s="18" t="n">
        <v>0</v>
      </c>
      <c r="P62" s="20" t="n">
        <v>0</v>
      </c>
      <c r="Q62" s="18" t="n">
        <v>2.26767599</v>
      </c>
      <c r="R62" s="20" t="n">
        <v>0.91730193</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(2548.0/B66*100)</f>
        <v/>
      </c>
      <c r="D66" s="19" t="n">
        <v>346</v>
      </c>
      <c r="E66" s="18" t="n">
        <v>24.59000972</v>
      </c>
      <c r="F66" s="20" t="n">
        <v>2.4273026</v>
      </c>
      <c r="G66" s="18" t="n">
        <v>38.91420891</v>
      </c>
      <c r="H66" s="20" t="n">
        <v>2.87226333</v>
      </c>
      <c r="I66" s="18" t="s">
        <v>431</v>
      </c>
      <c r="J66" s="20" t="s">
        <v>431</v>
      </c>
      <c r="K66" s="18" t="n">
        <v>0.24376346</v>
      </c>
      <c r="L66" s="20" t="n">
        <v>0.24642468</v>
      </c>
      <c r="M66" s="18" t="n">
        <v>0.52523394</v>
      </c>
      <c r="N66" s="20" t="n">
        <v>0.37234105</v>
      </c>
      <c r="O66" s="18" t="n">
        <v>0</v>
      </c>
      <c r="P66" s="20" t="n">
        <v>0</v>
      </c>
      <c r="Q66" s="18" t="n">
        <v>35.72678397</v>
      </c>
      <c r="R66" s="20" t="n">
        <v>2.84673949</v>
      </c>
    </row>
    <row r="67" spans="1:18">
      <c r="A67" s="15" t="s">
        <v>491</v>
      </c>
      <c r="B67" s="17" t="n">
        <v>3511</v>
      </c>
      <c r="C67" s="18">
        <f>(3109.0/B67*100)</f>
        <v/>
      </c>
      <c r="D67" s="19" t="n">
        <v>402</v>
      </c>
      <c r="E67" s="18" t="n">
        <v>46.12649905</v>
      </c>
      <c r="F67" s="20" t="n">
        <v>3.03075162</v>
      </c>
      <c r="G67" s="18" t="n">
        <v>43.01127674</v>
      </c>
      <c r="H67" s="20" t="n">
        <v>3.13631819</v>
      </c>
      <c r="I67" s="18" t="s">
        <v>431</v>
      </c>
      <c r="J67" s="20" t="s">
        <v>431</v>
      </c>
      <c r="K67" s="18" t="n">
        <v>0.17266423</v>
      </c>
      <c r="L67" s="20" t="n">
        <v>0.17080342</v>
      </c>
      <c r="M67" s="18" t="n">
        <v>0.27369375</v>
      </c>
      <c r="N67" s="20" t="n">
        <v>0.27343972</v>
      </c>
      <c r="O67" s="18" t="n">
        <v>0</v>
      </c>
      <c r="P67" s="20" t="n">
        <v>0</v>
      </c>
      <c r="Q67" s="18" t="n">
        <v>10.41586623</v>
      </c>
      <c r="R67" s="20" t="n">
        <v>1.67397923</v>
      </c>
    </row>
    <row r="68" spans="1:18">
      <c r="A68" s="15" t="s">
        <v>492</v>
      </c>
      <c r="B68" s="17" t="n">
        <v>6049</v>
      </c>
      <c r="C68" s="18">
        <f>(5046.0/B68*100)</f>
        <v/>
      </c>
      <c r="D68" s="19" t="n">
        <v>1003</v>
      </c>
      <c r="E68" s="18" t="n">
        <v>35.42022882</v>
      </c>
      <c r="F68" s="20" t="n">
        <v>1.49612218</v>
      </c>
      <c r="G68" s="18" t="n">
        <v>39.58437265</v>
      </c>
      <c r="H68" s="20" t="n">
        <v>1.39065201</v>
      </c>
      <c r="I68" s="18" t="s">
        <v>431</v>
      </c>
      <c r="J68" s="20" t="s">
        <v>431</v>
      </c>
      <c r="K68" s="18" t="n">
        <v>3.04629491</v>
      </c>
      <c r="L68" s="20" t="n">
        <v>0.58366744</v>
      </c>
      <c r="M68" s="18" t="n">
        <v>0</v>
      </c>
      <c r="N68" s="20" t="n">
        <v>0</v>
      </c>
      <c r="O68" s="18" t="n">
        <v>0</v>
      </c>
      <c r="P68" s="20" t="n">
        <v>0</v>
      </c>
      <c r="Q68" s="18" t="n">
        <v>21.94910362</v>
      </c>
      <c r="R68" s="20" t="n">
        <v>1.29657297</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(2565.0/B70*100)</f>
        <v/>
      </c>
      <c r="D70" s="19" t="n">
        <v>364</v>
      </c>
      <c r="E70" s="18" t="n">
        <v>40.00748497</v>
      </c>
      <c r="F70" s="20" t="n">
        <v>3.38492443</v>
      </c>
      <c r="G70" s="18" t="n">
        <v>48.6814104</v>
      </c>
      <c r="H70" s="20" t="n">
        <v>3.1991334</v>
      </c>
      <c r="I70" s="18" t="s">
        <v>431</v>
      </c>
      <c r="J70" s="20" t="s">
        <v>431</v>
      </c>
      <c r="K70" s="18" t="n">
        <v>0</v>
      </c>
      <c r="L70" s="20" t="n">
        <v>0</v>
      </c>
      <c r="M70" s="18" t="n">
        <v>0</v>
      </c>
      <c r="N70" s="20" t="n">
        <v>0</v>
      </c>
      <c r="O70" s="18" t="n">
        <v>0</v>
      </c>
      <c r="P70" s="20" t="n">
        <v>0</v>
      </c>
      <c r="Q70" s="18" t="n">
        <v>11.31110462</v>
      </c>
      <c r="R70" s="20" t="n">
        <v>2.06578806</v>
      </c>
    </row>
    <row r="71" spans="1:18">
      <c r="A71" s="15" t="s">
        <v>495</v>
      </c>
      <c r="B71" s="17" t="n">
        <v>3142</v>
      </c>
      <c r="C71" s="18">
        <f>(2759.0/B71*100)</f>
        <v/>
      </c>
      <c r="D71" s="19" t="n">
        <v>383</v>
      </c>
      <c r="E71" s="18" t="n">
        <v>17.83028421</v>
      </c>
      <c r="F71" s="20" t="n">
        <v>2.32432839</v>
      </c>
      <c r="G71" s="18" t="n">
        <v>79.16871849</v>
      </c>
      <c r="H71" s="20" t="n">
        <v>2.41459661</v>
      </c>
      <c r="I71" s="18" t="s">
        <v>431</v>
      </c>
      <c r="J71" s="20" t="s">
        <v>431</v>
      </c>
      <c r="K71" s="18" t="n">
        <v>0.23768852</v>
      </c>
      <c r="L71" s="20" t="n">
        <v>0.236413</v>
      </c>
      <c r="M71" s="18" t="n">
        <v>0.16078068</v>
      </c>
      <c r="N71" s="20" t="n">
        <v>0.16021089</v>
      </c>
      <c r="O71" s="18" t="n">
        <v>0</v>
      </c>
      <c r="P71" s="20" t="n">
        <v>0</v>
      </c>
      <c r="Q71" s="18" t="n">
        <v>2.60252811</v>
      </c>
      <c r="R71" s="20" t="n">
        <v>0.78809566</v>
      </c>
    </row>
    <row r="72" spans="1:18">
      <c r="A72" s="15" t="s">
        <v>496</v>
      </c>
      <c r="B72" s="17" t="n">
        <v>3889</v>
      </c>
      <c r="C72" s="18">
        <f>(3397.0/B72*100)</f>
        <v/>
      </c>
      <c r="D72" s="19" t="n">
        <v>492</v>
      </c>
      <c r="E72" s="18" t="n">
        <v>19.89798219</v>
      </c>
      <c r="F72" s="20" t="n">
        <v>1.85766954</v>
      </c>
      <c r="G72" s="18" t="n">
        <v>72.27134719999999</v>
      </c>
      <c r="H72" s="20" t="n">
        <v>2.0945328</v>
      </c>
      <c r="I72" s="18" t="s">
        <v>431</v>
      </c>
      <c r="J72" s="20" t="s">
        <v>431</v>
      </c>
      <c r="K72" s="18" t="n">
        <v>0.14090157</v>
      </c>
      <c r="L72" s="20" t="n">
        <v>0.14368853</v>
      </c>
      <c r="M72" s="18" t="n">
        <v>0</v>
      </c>
      <c r="N72" s="20" t="n">
        <v>0</v>
      </c>
      <c r="O72" s="18" t="n">
        <v>0</v>
      </c>
      <c r="P72" s="20" t="n">
        <v>0</v>
      </c>
      <c r="Q72" s="18" t="n">
        <v>7.68976903</v>
      </c>
      <c r="R72" s="20" t="n">
        <v>1.10125878</v>
      </c>
    </row>
    <row r="73" spans="1:18">
      <c r="A73" s="15" t="s">
        <v>497</v>
      </c>
      <c r="B73" s="17" t="n">
        <v>3597</v>
      </c>
      <c r="C73" s="18">
        <f>(3192.0/B73*100)</f>
        <v/>
      </c>
      <c r="D73" s="19" t="n">
        <v>405</v>
      </c>
      <c r="E73" s="18" t="n">
        <v>51.06693204</v>
      </c>
      <c r="F73" s="20" t="n">
        <v>3.56290416</v>
      </c>
      <c r="G73" s="18" t="n">
        <v>44.94119239</v>
      </c>
      <c r="H73" s="20" t="n">
        <v>3.46390772</v>
      </c>
      <c r="I73" s="18" t="s">
        <v>431</v>
      </c>
      <c r="J73" s="20" t="s">
        <v>431</v>
      </c>
      <c r="K73" s="18" t="n">
        <v>0</v>
      </c>
      <c r="L73" s="20" t="n">
        <v>0</v>
      </c>
      <c r="M73" s="18" t="n">
        <v>0</v>
      </c>
      <c r="N73" s="20" t="n">
        <v>0</v>
      </c>
      <c r="O73" s="18" t="n">
        <v>0</v>
      </c>
      <c r="P73" s="20" t="n">
        <v>0</v>
      </c>
      <c r="Q73" s="18" t="n">
        <v>3.99187558</v>
      </c>
      <c r="R73" s="20" t="n">
        <v>1.3432874</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(2139.0/B75*100)</f>
        <v/>
      </c>
      <c r="D75" s="19" t="n">
        <v>267</v>
      </c>
      <c r="E75" s="18" t="n">
        <v>45.18072233</v>
      </c>
      <c r="F75" s="20" t="n">
        <v>2.91351432</v>
      </c>
      <c r="G75" s="18" t="n">
        <v>16.93483239</v>
      </c>
      <c r="H75" s="20" t="n">
        <v>2.14798586</v>
      </c>
      <c r="I75" s="18" t="s">
        <v>431</v>
      </c>
      <c r="J75" s="20" t="s">
        <v>431</v>
      </c>
      <c r="K75" s="18" t="n">
        <v>4.21022593</v>
      </c>
      <c r="L75" s="20" t="n">
        <v>1.22203466</v>
      </c>
      <c r="M75" s="18" t="n">
        <v>1.19372385</v>
      </c>
      <c r="N75" s="20" t="n">
        <v>0.88708912</v>
      </c>
      <c r="O75" s="18" t="n">
        <v>0</v>
      </c>
      <c r="P75" s="20" t="n">
        <v>0</v>
      </c>
      <c r="Q75" s="18" t="n">
        <v>32.48049549</v>
      </c>
      <c r="R75" s="20" t="n">
        <v>2.99775654</v>
      </c>
    </row>
    <row r="76" spans="1:18">
      <c r="A76" s="15" t="s">
        <v>500</v>
      </c>
      <c r="B76" s="17" t="n">
        <v>7052</v>
      </c>
      <c r="C76" s="18">
        <f>(6199.0/B76*100)</f>
        <v/>
      </c>
      <c r="D76" s="19" t="n">
        <v>853</v>
      </c>
      <c r="E76" s="18" t="n">
        <v>47.01942471</v>
      </c>
      <c r="F76" s="20" t="n">
        <v>2.28505535</v>
      </c>
      <c r="G76" s="18" t="n">
        <v>39.53628876</v>
      </c>
      <c r="H76" s="20" t="n">
        <v>2.34469939</v>
      </c>
      <c r="I76" s="18" t="s">
        <v>431</v>
      </c>
      <c r="J76" s="20" t="s">
        <v>431</v>
      </c>
      <c r="K76" s="18" t="n">
        <v>0.74691374</v>
      </c>
      <c r="L76" s="20" t="n">
        <v>0.3385921</v>
      </c>
      <c r="M76" s="18" t="n">
        <v>0.42488813</v>
      </c>
      <c r="N76" s="20" t="n">
        <v>0.36454125</v>
      </c>
      <c r="O76" s="18" t="n">
        <v>0</v>
      </c>
      <c r="P76" s="20" t="n">
        <v>0</v>
      </c>
      <c r="Q76" s="18" t="n">
        <v>12.27248467</v>
      </c>
      <c r="R76" s="20" t="n">
        <v>1.3777518</v>
      </c>
    </row>
    <row r="77" spans="1:18">
      <c r="A77" s="15" t="s">
        <v>501</v>
      </c>
      <c r="B77" s="17" t="n">
        <v>2908</v>
      </c>
      <c r="C77" s="18">
        <f>(2560.0/B77*100)</f>
        <v/>
      </c>
      <c r="D77" s="19" t="n">
        <v>348</v>
      </c>
      <c r="E77" s="18" t="n">
        <v>26.53525051</v>
      </c>
      <c r="F77" s="20" t="n">
        <v>2.81555225</v>
      </c>
      <c r="G77" s="18" t="n">
        <v>53.01032426</v>
      </c>
      <c r="H77" s="20" t="n">
        <v>3.05721403</v>
      </c>
      <c r="I77" s="18" t="s">
        <v>431</v>
      </c>
      <c r="J77" s="20" t="s">
        <v>431</v>
      </c>
      <c r="K77" s="18" t="n">
        <v>1.25097071</v>
      </c>
      <c r="L77" s="20" t="n">
        <v>0.6026130200000001</v>
      </c>
      <c r="M77" s="18" t="n">
        <v>0</v>
      </c>
      <c r="N77" s="20" t="n">
        <v>0</v>
      </c>
      <c r="O77" s="18" t="n">
        <v>0</v>
      </c>
      <c r="P77" s="20" t="n">
        <v>0</v>
      </c>
      <c r="Q77" s="18" t="n">
        <v>19.20345453</v>
      </c>
      <c r="R77" s="20" t="n">
        <v>2.63278856</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(3629.0/B81*100)</f>
        <v/>
      </c>
      <c r="D81" s="19" t="n">
        <v>534</v>
      </c>
      <c r="E81" s="18" t="n">
        <v>56.23903352</v>
      </c>
      <c r="F81" s="20" t="n">
        <v>2.61828026</v>
      </c>
      <c r="G81" s="18" t="n">
        <v>39.09921998</v>
      </c>
      <c r="H81" s="20" t="n">
        <v>2.71684335</v>
      </c>
      <c r="I81" s="18" t="s">
        <v>431</v>
      </c>
      <c r="J81" s="20" t="s">
        <v>431</v>
      </c>
      <c r="K81" s="18" t="n">
        <v>0.18078972</v>
      </c>
      <c r="L81" s="20" t="n">
        <v>0.17506931</v>
      </c>
      <c r="M81" s="18" t="n">
        <v>0</v>
      </c>
      <c r="N81" s="20" t="n">
        <v>0</v>
      </c>
      <c r="O81" s="18" t="n">
        <v>0</v>
      </c>
      <c r="P81" s="20" t="n">
        <v>0</v>
      </c>
      <c r="Q81" s="18" t="n">
        <v>4.48095677</v>
      </c>
      <c r="R81" s="20" t="n">
        <v>1.28825643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(6465.0/B7*100)</f>
        <v/>
      </c>
      <c r="D7" s="19" t="n">
        <v>902</v>
      </c>
      <c r="E7" s="18" t="n">
        <v>10.27477192</v>
      </c>
      <c r="F7" s="20" t="n">
        <v>1.31342812</v>
      </c>
      <c r="G7" s="18" t="n">
        <v>88.47218092</v>
      </c>
      <c r="H7" s="20" t="n">
        <v>1.31159049</v>
      </c>
      <c r="I7" s="18" t="s">
        <v>431</v>
      </c>
      <c r="J7" s="20" t="s">
        <v>431</v>
      </c>
      <c r="K7" s="18" t="n">
        <v>0.41717573</v>
      </c>
      <c r="L7" s="20" t="n">
        <v>0.29839685</v>
      </c>
      <c r="M7" s="18" t="n">
        <v>0</v>
      </c>
      <c r="N7" s="20" t="n">
        <v>0</v>
      </c>
      <c r="O7" s="18" t="n">
        <v>0</v>
      </c>
      <c r="P7" s="20" t="n">
        <v>0</v>
      </c>
      <c r="Q7" s="18" t="n">
        <v>0.83587143</v>
      </c>
      <c r="R7" s="20" t="n">
        <v>0.37262497</v>
      </c>
    </row>
    <row r="8" spans="1:18">
      <c r="A8" s="15" t="s">
        <v>432</v>
      </c>
      <c r="B8" s="17" t="n">
        <v>3564</v>
      </c>
      <c r="C8" s="18">
        <f>(3143.0/B8*100)</f>
        <v/>
      </c>
      <c r="D8" s="19" t="n">
        <v>421</v>
      </c>
      <c r="E8" s="18" t="n">
        <v>15.36629125</v>
      </c>
      <c r="F8" s="20" t="n">
        <v>1.40177267</v>
      </c>
      <c r="G8" s="18" t="n">
        <v>84.01728783999999</v>
      </c>
      <c r="H8" s="20" t="n">
        <v>1.41777739</v>
      </c>
      <c r="I8" s="18" t="s">
        <v>431</v>
      </c>
      <c r="J8" s="20" t="s">
        <v>431</v>
      </c>
      <c r="K8" s="18" t="n">
        <v>0</v>
      </c>
      <c r="L8" s="20" t="n">
        <v>0</v>
      </c>
      <c r="M8" s="18" t="n">
        <v>0</v>
      </c>
      <c r="N8" s="20" t="n">
        <v>0</v>
      </c>
      <c r="O8" s="18" t="n">
        <v>0</v>
      </c>
      <c r="P8" s="20" t="n">
        <v>0</v>
      </c>
      <c r="Q8" s="18" t="n">
        <v>0.61642092</v>
      </c>
      <c r="R8" s="20" t="n">
        <v>0.46891955</v>
      </c>
    </row>
    <row r="9" spans="1:18">
      <c r="A9" s="15" t="s">
        <v>433</v>
      </c>
      <c r="B9" s="17" t="n">
        <v>4899</v>
      </c>
      <c r="C9" s="18">
        <f>(4327.0/B9*100)</f>
        <v/>
      </c>
      <c r="D9" s="19" t="n">
        <v>572</v>
      </c>
      <c r="E9" s="18" t="n">
        <v>17.63469132</v>
      </c>
      <c r="F9" s="20" t="n">
        <v>1.83512937</v>
      </c>
      <c r="G9" s="18" t="n">
        <v>81.55107522</v>
      </c>
      <c r="H9" s="20" t="n">
        <v>1.82047381</v>
      </c>
      <c r="I9" s="18" t="s">
        <v>431</v>
      </c>
      <c r="J9" s="20" t="s">
        <v>431</v>
      </c>
      <c r="K9" s="18" t="n">
        <v>0</v>
      </c>
      <c r="L9" s="20" t="n">
        <v>0</v>
      </c>
      <c r="M9" s="18" t="n">
        <v>0</v>
      </c>
      <c r="N9" s="20" t="n">
        <v>0</v>
      </c>
      <c r="O9" s="18" t="n">
        <v>0</v>
      </c>
      <c r="P9" s="20" t="n">
        <v>0</v>
      </c>
      <c r="Q9" s="18" t="n">
        <v>0.81423346</v>
      </c>
      <c r="R9" s="20" t="n">
        <v>0.36576755</v>
      </c>
    </row>
    <row r="10" spans="1:18">
      <c r="A10" s="15" t="s">
        <v>434</v>
      </c>
      <c r="B10" s="17" t="n">
        <v>10036</v>
      </c>
      <c r="C10" s="18">
        <f>(8791.0/B10*100)</f>
        <v/>
      </c>
      <c r="D10" s="19" t="n">
        <v>1245</v>
      </c>
      <c r="E10" s="18" t="n">
        <v>9.24271158</v>
      </c>
      <c r="F10" s="20" t="n">
        <v>0.97690571</v>
      </c>
      <c r="G10" s="18" t="n">
        <v>89.85411924</v>
      </c>
      <c r="H10" s="20" t="n">
        <v>1.07512261</v>
      </c>
      <c r="I10" s="18" t="s">
        <v>431</v>
      </c>
      <c r="J10" s="20" t="s">
        <v>431</v>
      </c>
      <c r="K10" s="18" t="n">
        <v>0.53744092</v>
      </c>
      <c r="L10" s="20" t="n">
        <v>0.2923307</v>
      </c>
      <c r="M10" s="18" t="n">
        <v>0</v>
      </c>
      <c r="N10" s="20" t="n">
        <v>0</v>
      </c>
      <c r="O10" s="18" t="n">
        <v>0</v>
      </c>
      <c r="P10" s="20" t="n">
        <v>0</v>
      </c>
      <c r="Q10" s="18" t="n">
        <v>0.36572826</v>
      </c>
      <c r="R10" s="20" t="n">
        <v>0.24094714</v>
      </c>
    </row>
    <row r="11" spans="1:18">
      <c r="A11" s="15" t="s">
        <v>435</v>
      </c>
      <c r="B11" s="17" t="n">
        <v>3553</v>
      </c>
      <c r="C11" s="18">
        <f>(3133.0/B11*100)</f>
        <v/>
      </c>
      <c r="D11" s="19" t="n">
        <v>420</v>
      </c>
      <c r="E11" s="18" t="n">
        <v>24.24649224</v>
      </c>
      <c r="F11" s="20" t="n">
        <v>2.7300926</v>
      </c>
      <c r="G11" s="18" t="n">
        <v>73.05064243</v>
      </c>
      <c r="H11" s="20" t="n">
        <v>2.96908476</v>
      </c>
      <c r="I11" s="18" t="s">
        <v>431</v>
      </c>
      <c r="J11" s="20" t="s">
        <v>431</v>
      </c>
      <c r="K11" s="18" t="n">
        <v>1.37632656</v>
      </c>
      <c r="L11" s="20" t="n">
        <v>0.67083245</v>
      </c>
      <c r="M11" s="18" t="n">
        <v>0</v>
      </c>
      <c r="N11" s="20" t="n">
        <v>0</v>
      </c>
      <c r="O11" s="18" t="n">
        <v>0</v>
      </c>
      <c r="P11" s="20" t="n">
        <v>0</v>
      </c>
      <c r="Q11" s="18" t="n">
        <v>1.32653878</v>
      </c>
      <c r="R11" s="20" t="n">
        <v>0.6446228899999999</v>
      </c>
    </row>
    <row r="12" spans="1:18">
      <c r="A12" s="15" t="s">
        <v>436</v>
      </c>
      <c r="B12" s="17" t="n">
        <v>3472</v>
      </c>
      <c r="C12" s="18">
        <f>(3110.0/B12*100)</f>
        <v/>
      </c>
      <c r="D12" s="19" t="n">
        <v>362</v>
      </c>
      <c r="E12" s="18" t="n">
        <v>20.85896807</v>
      </c>
      <c r="F12" s="20" t="n">
        <v>2.29533594</v>
      </c>
      <c r="G12" s="18" t="n">
        <v>78.79037556</v>
      </c>
      <c r="H12" s="20" t="n">
        <v>2.36670403</v>
      </c>
      <c r="I12" s="18" t="s">
        <v>431</v>
      </c>
      <c r="J12" s="20" t="s">
        <v>431</v>
      </c>
      <c r="K12" s="18" t="n">
        <v>0</v>
      </c>
      <c r="L12" s="20" t="n">
        <v>0</v>
      </c>
      <c r="M12" s="18" t="n">
        <v>0</v>
      </c>
      <c r="N12" s="20" t="n">
        <v>0</v>
      </c>
      <c r="O12" s="18" t="n">
        <v>0</v>
      </c>
      <c r="P12" s="20" t="n">
        <v>0</v>
      </c>
      <c r="Q12" s="18" t="n">
        <v>0.35065638</v>
      </c>
      <c r="R12" s="20" t="n">
        <v>0.32410148</v>
      </c>
    </row>
    <row r="13" spans="1:18">
      <c r="A13" s="15" t="s">
        <v>437</v>
      </c>
      <c r="B13" s="17" t="n">
        <v>3559</v>
      </c>
      <c r="C13" s="18">
        <f>(3153.0/B13*100)</f>
        <v/>
      </c>
      <c r="D13" s="19" t="n">
        <v>406</v>
      </c>
      <c r="E13" s="18" t="n">
        <v>15.77058664</v>
      </c>
      <c r="F13" s="20" t="n">
        <v>2.20294274</v>
      </c>
      <c r="G13" s="18" t="n">
        <v>84.10393246</v>
      </c>
      <c r="H13" s="20" t="n">
        <v>2.20358169</v>
      </c>
      <c r="I13" s="18" t="s">
        <v>431</v>
      </c>
      <c r="J13" s="20" t="s">
        <v>431</v>
      </c>
      <c r="K13" s="18" t="n">
        <v>0</v>
      </c>
      <c r="L13" s="20" t="n">
        <v>0</v>
      </c>
      <c r="M13" s="18" t="n">
        <v>0</v>
      </c>
      <c r="N13" s="20" t="n">
        <v>0</v>
      </c>
      <c r="O13" s="18" t="n">
        <v>0</v>
      </c>
      <c r="P13" s="20" t="n">
        <v>0</v>
      </c>
      <c r="Q13" s="18" t="n">
        <v>0.1254809</v>
      </c>
      <c r="R13" s="20" t="n">
        <v>0.09062814</v>
      </c>
    </row>
    <row r="14" spans="1:18">
      <c r="A14" s="15" t="s">
        <v>438</v>
      </c>
      <c r="B14" s="17" t="n">
        <v>2799</v>
      </c>
      <c r="C14" s="18">
        <f>(2451.0/B14*100)</f>
        <v/>
      </c>
      <c r="D14" s="19" t="n">
        <v>348</v>
      </c>
      <c r="E14" s="18" t="n">
        <v>15.53565664</v>
      </c>
      <c r="F14" s="20" t="n">
        <v>2.04312687</v>
      </c>
      <c r="G14" s="18" t="n">
        <v>83.44523649999999</v>
      </c>
      <c r="H14" s="20" t="n">
        <v>2.13945151</v>
      </c>
      <c r="I14" s="18" t="s">
        <v>431</v>
      </c>
      <c r="J14" s="20" t="s">
        <v>431</v>
      </c>
      <c r="K14" s="18" t="n">
        <v>0.31219807</v>
      </c>
      <c r="L14" s="20" t="n">
        <v>0.31254451</v>
      </c>
      <c r="M14" s="18" t="n">
        <v>0</v>
      </c>
      <c r="N14" s="20" t="n">
        <v>0</v>
      </c>
      <c r="O14" s="18" t="n">
        <v>0</v>
      </c>
      <c r="P14" s="20" t="n">
        <v>0</v>
      </c>
      <c r="Q14" s="18" t="n">
        <v>0.70690879</v>
      </c>
      <c r="R14" s="20" t="n">
        <v>0.72219751</v>
      </c>
    </row>
    <row r="15" spans="1:18">
      <c r="A15" s="15" t="s">
        <v>439</v>
      </c>
      <c r="B15" s="17" t="n">
        <v>3019</v>
      </c>
      <c r="C15" s="18">
        <f>(2649.0/B15*100)</f>
        <v/>
      </c>
      <c r="D15" s="19" t="n">
        <v>370</v>
      </c>
      <c r="E15" s="18" t="n">
        <v>16.55697187</v>
      </c>
      <c r="F15" s="20" t="n">
        <v>2.18643414</v>
      </c>
      <c r="G15" s="18" t="n">
        <v>82.41751606</v>
      </c>
      <c r="H15" s="20" t="n">
        <v>2.235605</v>
      </c>
      <c r="I15" s="18" t="s">
        <v>431</v>
      </c>
      <c r="J15" s="20" t="s">
        <v>431</v>
      </c>
      <c r="K15" s="18" t="n">
        <v>0</v>
      </c>
      <c r="L15" s="20" t="n">
        <v>0</v>
      </c>
      <c r="M15" s="18" t="n">
        <v>0</v>
      </c>
      <c r="N15" s="20" t="n">
        <v>0</v>
      </c>
      <c r="O15" s="18" t="n">
        <v>0</v>
      </c>
      <c r="P15" s="20" t="n">
        <v>0</v>
      </c>
      <c r="Q15" s="18" t="n">
        <v>1.02551207</v>
      </c>
      <c r="R15" s="20" t="n">
        <v>0.51264161</v>
      </c>
    </row>
    <row r="16" spans="1:18">
      <c r="A16" s="15" t="s">
        <v>440</v>
      </c>
      <c r="B16" s="17" t="n">
        <v>2997</v>
      </c>
      <c r="C16" s="18">
        <f>(2645.0/B16*100)</f>
        <v/>
      </c>
      <c r="D16" s="19" t="n">
        <v>352</v>
      </c>
      <c r="E16" s="18" t="n">
        <v>16.30379222</v>
      </c>
      <c r="F16" s="20" t="n">
        <v>1.90964899</v>
      </c>
      <c r="G16" s="18" t="n">
        <v>82.56147208</v>
      </c>
      <c r="H16" s="20" t="n">
        <v>1.98256331</v>
      </c>
      <c r="I16" s="18" t="s">
        <v>431</v>
      </c>
      <c r="J16" s="20" t="s">
        <v>431</v>
      </c>
      <c r="K16" s="18" t="n">
        <v>0.25174339</v>
      </c>
      <c r="L16" s="20" t="n">
        <v>0.25184034</v>
      </c>
      <c r="M16" s="18" t="n">
        <v>0</v>
      </c>
      <c r="N16" s="20" t="n">
        <v>0</v>
      </c>
      <c r="O16" s="18" t="n">
        <v>0</v>
      </c>
      <c r="P16" s="20" t="n">
        <v>0</v>
      </c>
      <c r="Q16" s="18" t="n">
        <v>0.8829923200000001</v>
      </c>
      <c r="R16" s="20" t="n">
        <v>0.50719752</v>
      </c>
    </row>
    <row r="17" spans="1:18">
      <c r="A17" s="15" t="s">
        <v>441</v>
      </c>
      <c r="B17" s="17" t="n">
        <v>3307</v>
      </c>
      <c r="C17" s="18">
        <f>(2909.0/B17*100)</f>
        <v/>
      </c>
      <c r="D17" s="19" t="n">
        <v>398</v>
      </c>
      <c r="E17" s="18" t="n">
        <v>13.97949869</v>
      </c>
      <c r="F17" s="20" t="n">
        <v>2.49587866</v>
      </c>
      <c r="G17" s="18" t="n">
        <v>84.21840515</v>
      </c>
      <c r="H17" s="20" t="n">
        <v>2.58644406</v>
      </c>
      <c r="I17" s="18" t="s">
        <v>431</v>
      </c>
      <c r="J17" s="20" t="s">
        <v>431</v>
      </c>
      <c r="K17" s="18" t="n">
        <v>1.00000796</v>
      </c>
      <c r="L17" s="20" t="n">
        <v>0.50889816</v>
      </c>
      <c r="M17" s="18" t="n">
        <v>0</v>
      </c>
      <c r="N17" s="20" t="n">
        <v>0</v>
      </c>
      <c r="O17" s="18" t="n">
        <v>0</v>
      </c>
      <c r="P17" s="20" t="n">
        <v>0</v>
      </c>
      <c r="Q17" s="18" t="n">
        <v>0.8020882</v>
      </c>
      <c r="R17" s="20" t="n">
        <v>0.48323463</v>
      </c>
    </row>
    <row r="18" spans="1:18">
      <c r="A18" s="15" t="s">
        <v>442</v>
      </c>
      <c r="B18" s="17" t="n">
        <v>2826</v>
      </c>
      <c r="C18" s="18">
        <f>(2485.0/B18*100)</f>
        <v/>
      </c>
      <c r="D18" s="19" t="n">
        <v>341</v>
      </c>
      <c r="E18" s="18" t="n">
        <v>24.46006654</v>
      </c>
      <c r="F18" s="20" t="n">
        <v>2.54362928</v>
      </c>
      <c r="G18" s="18" t="n">
        <v>73.94339499</v>
      </c>
      <c r="H18" s="20" t="n">
        <v>2.58466355</v>
      </c>
      <c r="I18" s="18" t="s">
        <v>431</v>
      </c>
      <c r="J18" s="20" t="s">
        <v>431</v>
      </c>
      <c r="K18" s="18" t="n">
        <v>0.72157248</v>
      </c>
      <c r="L18" s="20" t="n">
        <v>0.41824867</v>
      </c>
      <c r="M18" s="18" t="n">
        <v>0</v>
      </c>
      <c r="N18" s="20" t="n">
        <v>0</v>
      </c>
      <c r="O18" s="18" t="n">
        <v>0</v>
      </c>
      <c r="P18" s="20" t="n">
        <v>0</v>
      </c>
      <c r="Q18" s="18" t="n">
        <v>0.87496598</v>
      </c>
      <c r="R18" s="20" t="n">
        <v>0.51826566</v>
      </c>
    </row>
    <row r="19" spans="1:18">
      <c r="A19" s="15" t="s">
        <v>443</v>
      </c>
      <c r="B19" s="17" t="n">
        <v>2808</v>
      </c>
      <c r="C19" s="18">
        <f>(2477.0/B19*100)</f>
        <v/>
      </c>
      <c r="D19" s="19" t="n">
        <v>331</v>
      </c>
      <c r="E19" s="18" t="n">
        <v>21.0638757</v>
      </c>
      <c r="F19" s="20" t="n">
        <v>2.36326327</v>
      </c>
      <c r="G19" s="18" t="n">
        <v>78.64945577</v>
      </c>
      <c r="H19" s="20" t="n">
        <v>2.34267764</v>
      </c>
      <c r="I19" s="18" t="s">
        <v>431</v>
      </c>
      <c r="J19" s="20" t="s">
        <v>431</v>
      </c>
      <c r="K19" s="18" t="n">
        <v>0</v>
      </c>
      <c r="L19" s="20" t="n">
        <v>0</v>
      </c>
      <c r="M19" s="18" t="n">
        <v>0</v>
      </c>
      <c r="N19" s="20" t="n">
        <v>0</v>
      </c>
      <c r="O19" s="18" t="n">
        <v>0</v>
      </c>
      <c r="P19" s="20" t="n">
        <v>0</v>
      </c>
      <c r="Q19" s="18" t="n">
        <v>0.28666853</v>
      </c>
      <c r="R19" s="20" t="n">
        <v>0.28556685</v>
      </c>
    </row>
    <row r="20" spans="1:18">
      <c r="A20" s="15" t="s">
        <v>444</v>
      </c>
      <c r="B20" s="17" t="n">
        <v>1630</v>
      </c>
      <c r="C20" s="18">
        <f>(1439.0/B20*100)</f>
        <v/>
      </c>
      <c r="D20" s="19" t="n">
        <v>191</v>
      </c>
      <c r="E20" s="18" t="n">
        <v>15.41086385</v>
      </c>
      <c r="F20" s="20" t="n">
        <v>2.99610476</v>
      </c>
      <c r="G20" s="18" t="n">
        <v>83.63152189</v>
      </c>
      <c r="H20" s="20" t="n">
        <v>3.05313159</v>
      </c>
      <c r="I20" s="18" t="s">
        <v>431</v>
      </c>
      <c r="J20" s="20" t="s">
        <v>431</v>
      </c>
      <c r="K20" s="18" t="n">
        <v>0.95761427</v>
      </c>
      <c r="L20" s="20" t="n">
        <v>0.67563594</v>
      </c>
      <c r="M20" s="18" t="n">
        <v>0</v>
      </c>
      <c r="N20" s="20" t="n">
        <v>0</v>
      </c>
      <c r="O20" s="18" t="n">
        <v>0</v>
      </c>
      <c r="P20" s="20" t="n">
        <v>0</v>
      </c>
      <c r="Q20" s="18" t="n">
        <v>0</v>
      </c>
      <c r="R20" s="20" t="n">
        <v>0</v>
      </c>
    </row>
    <row r="21" spans="1:18">
      <c r="A21" s="15" t="s">
        <v>445</v>
      </c>
      <c r="B21" s="17" t="n">
        <v>2908</v>
      </c>
      <c r="C21" s="18">
        <f>(2430.0/B21*100)</f>
        <v/>
      </c>
      <c r="D21" s="19" t="n">
        <v>478</v>
      </c>
      <c r="E21" s="18" t="n">
        <v>7.93427985</v>
      </c>
      <c r="F21" s="20" t="n">
        <v>1.17512939</v>
      </c>
      <c r="G21" s="18" t="n">
        <v>91.47538124</v>
      </c>
      <c r="H21" s="20" t="n">
        <v>1.09977902</v>
      </c>
      <c r="I21" s="18" t="s">
        <v>431</v>
      </c>
      <c r="J21" s="20" t="s">
        <v>431</v>
      </c>
      <c r="K21" s="18" t="n">
        <v>0.1741123</v>
      </c>
      <c r="L21" s="20" t="n">
        <v>0.12331533</v>
      </c>
      <c r="M21" s="18" t="n">
        <v>0</v>
      </c>
      <c r="N21" s="20" t="n">
        <v>0</v>
      </c>
      <c r="O21" s="18" t="n">
        <v>0</v>
      </c>
      <c r="P21" s="20" t="n">
        <v>0</v>
      </c>
      <c r="Q21" s="18" t="n">
        <v>0.41622661</v>
      </c>
      <c r="R21" s="20" t="n">
        <v>0.29499159</v>
      </c>
    </row>
    <row r="22" spans="1:18">
      <c r="A22" s="15" t="s">
        <v>446</v>
      </c>
      <c r="B22" s="17" t="n">
        <v>2931</v>
      </c>
      <c r="C22" s="18">
        <f>(2592.0/B22*100)</f>
        <v/>
      </c>
      <c r="D22" s="19" t="n">
        <v>339</v>
      </c>
      <c r="E22" s="18" t="n">
        <v>22.95045919</v>
      </c>
      <c r="F22" s="20" t="n">
        <v>3.08131322</v>
      </c>
      <c r="G22" s="18" t="n">
        <v>73.42596517</v>
      </c>
      <c r="H22" s="20" t="n">
        <v>3.02925663</v>
      </c>
      <c r="I22" s="18" t="s">
        <v>431</v>
      </c>
      <c r="J22" s="20" t="s">
        <v>431</v>
      </c>
      <c r="K22" s="18" t="n">
        <v>0.4611943</v>
      </c>
      <c r="L22" s="20" t="n">
        <v>0.32675031</v>
      </c>
      <c r="M22" s="18" t="n">
        <v>0</v>
      </c>
      <c r="N22" s="20" t="n">
        <v>0</v>
      </c>
      <c r="O22" s="18" t="n">
        <v>0</v>
      </c>
      <c r="P22" s="20" t="n">
        <v>0</v>
      </c>
      <c r="Q22" s="18" t="n">
        <v>3.16238134</v>
      </c>
      <c r="R22" s="20" t="n">
        <v>1.38669945</v>
      </c>
    </row>
    <row r="23" spans="1:18">
      <c r="A23" s="15" t="s">
        <v>447</v>
      </c>
      <c r="B23" s="17" t="n">
        <v>5791</v>
      </c>
      <c r="C23" s="18">
        <f>(5054.0/B23*100)</f>
        <v/>
      </c>
      <c r="D23" s="19" t="n">
        <v>737</v>
      </c>
      <c r="E23" s="18" t="n">
        <v>19.50944012</v>
      </c>
      <c r="F23" s="20" t="n">
        <v>2.13537406</v>
      </c>
      <c r="G23" s="18" t="n">
        <v>78.57242585</v>
      </c>
      <c r="H23" s="20" t="n">
        <v>2.4306842</v>
      </c>
      <c r="I23" s="18" t="s">
        <v>431</v>
      </c>
      <c r="J23" s="20" t="s">
        <v>431</v>
      </c>
      <c r="K23" s="18" t="n">
        <v>0</v>
      </c>
      <c r="L23" s="20" t="n">
        <v>0</v>
      </c>
      <c r="M23" s="18" t="n">
        <v>0</v>
      </c>
      <c r="N23" s="20" t="n">
        <v>0</v>
      </c>
      <c r="O23" s="18" t="n">
        <v>0</v>
      </c>
      <c r="P23" s="20" t="n">
        <v>0</v>
      </c>
      <c r="Q23" s="18" t="n">
        <v>1.91813403</v>
      </c>
      <c r="R23" s="20" t="n">
        <v>1.01683142</v>
      </c>
    </row>
    <row r="24" spans="1:18">
      <c r="A24" s="15" t="s">
        <v>448</v>
      </c>
      <c r="B24" s="17" t="n">
        <v>3338</v>
      </c>
      <c r="C24" s="18">
        <f>(2941.0/B24*100)</f>
        <v/>
      </c>
      <c r="D24" s="19" t="n">
        <v>397</v>
      </c>
      <c r="E24" s="18" t="n">
        <v>27.64987521</v>
      </c>
      <c r="F24" s="20" t="n">
        <v>2.92286029</v>
      </c>
      <c r="G24" s="18" t="n">
        <v>71.65887257</v>
      </c>
      <c r="H24" s="20" t="n">
        <v>2.92153427</v>
      </c>
      <c r="I24" s="18" t="s">
        <v>431</v>
      </c>
      <c r="J24" s="20" t="s">
        <v>431</v>
      </c>
      <c r="K24" s="18" t="n">
        <v>0.46293915</v>
      </c>
      <c r="L24" s="20" t="n">
        <v>0.32559343</v>
      </c>
      <c r="M24" s="18" t="n">
        <v>0</v>
      </c>
      <c r="N24" s="20" t="n">
        <v>0</v>
      </c>
      <c r="O24" s="18" t="n">
        <v>0</v>
      </c>
      <c r="P24" s="20" t="n">
        <v>0</v>
      </c>
      <c r="Q24" s="18" t="n">
        <v>0.22831307</v>
      </c>
      <c r="R24" s="20" t="n">
        <v>0.23389129</v>
      </c>
    </row>
    <row r="25" spans="1:18">
      <c r="A25" s="15" t="s">
        <v>449</v>
      </c>
      <c r="B25" s="17" t="n">
        <v>2912</v>
      </c>
      <c r="C25" s="18">
        <f>(2569.0/B25*100)</f>
        <v/>
      </c>
      <c r="D25" s="19" t="n">
        <v>343</v>
      </c>
      <c r="E25" s="18" t="n">
        <v>15.23674819</v>
      </c>
      <c r="F25" s="20" t="n">
        <v>2.22550688</v>
      </c>
      <c r="G25" s="18" t="n">
        <v>84.76325181</v>
      </c>
      <c r="H25" s="20" t="n">
        <v>2.22550688</v>
      </c>
      <c r="I25" s="18" t="s">
        <v>431</v>
      </c>
      <c r="J25" s="20" t="s">
        <v>431</v>
      </c>
      <c r="K25" s="18" t="n">
        <v>0</v>
      </c>
      <c r="L25" s="20" t="n">
        <v>0</v>
      </c>
      <c r="M25" s="18" t="n">
        <v>0</v>
      </c>
      <c r="N25" s="20" t="n">
        <v>0</v>
      </c>
      <c r="O25" s="18" t="n">
        <v>0</v>
      </c>
      <c r="P25" s="20" t="n">
        <v>0</v>
      </c>
      <c r="Q25" s="18" t="n">
        <v>0</v>
      </c>
      <c r="R25" s="20" t="n">
        <v>0</v>
      </c>
    </row>
    <row r="26" spans="1:18">
      <c r="A26" s="15" t="s">
        <v>450</v>
      </c>
      <c r="B26" s="17" t="n">
        <v>2450</v>
      </c>
      <c r="C26" s="18">
        <f>(2139.0/B26*100)</f>
        <v/>
      </c>
      <c r="D26" s="19" t="n">
        <v>311</v>
      </c>
      <c r="E26" s="18" t="n">
        <v>19.35220471</v>
      </c>
      <c r="F26" s="20" t="n">
        <v>2.4877047</v>
      </c>
      <c r="G26" s="18" t="n">
        <v>79.42019105</v>
      </c>
      <c r="H26" s="20" t="n">
        <v>2.45499984</v>
      </c>
      <c r="I26" s="18" t="s">
        <v>431</v>
      </c>
      <c r="J26" s="20" t="s">
        <v>431</v>
      </c>
      <c r="K26" s="18" t="n">
        <v>0</v>
      </c>
      <c r="L26" s="20" t="n">
        <v>0</v>
      </c>
      <c r="M26" s="18" t="n">
        <v>0</v>
      </c>
      <c r="N26" s="20" t="n">
        <v>0</v>
      </c>
      <c r="O26" s="18" t="n">
        <v>0</v>
      </c>
      <c r="P26" s="20" t="n">
        <v>0</v>
      </c>
      <c r="Q26" s="18" t="n">
        <v>1.22760425</v>
      </c>
      <c r="R26" s="20" t="n">
        <v>0.83370594</v>
      </c>
    </row>
    <row r="27" spans="1:18">
      <c r="A27" s="15" t="s">
        <v>451</v>
      </c>
      <c r="B27" s="17" t="n">
        <v>2616</v>
      </c>
      <c r="C27" s="18">
        <f>(2301.0/B27*100)</f>
        <v/>
      </c>
      <c r="D27" s="19" t="n">
        <v>315</v>
      </c>
      <c r="E27" s="18" t="n">
        <v>14.87397184</v>
      </c>
      <c r="F27" s="20" t="n">
        <v>1.89510978</v>
      </c>
      <c r="G27" s="18" t="n">
        <v>84.47723121999999</v>
      </c>
      <c r="H27" s="20" t="n">
        <v>1.95912165</v>
      </c>
      <c r="I27" s="18" t="s">
        <v>431</v>
      </c>
      <c r="J27" s="20" t="s">
        <v>431</v>
      </c>
      <c r="K27" s="18" t="n">
        <v>0.32704816</v>
      </c>
      <c r="L27" s="20" t="n">
        <v>0.32583294</v>
      </c>
      <c r="M27" s="18" t="n">
        <v>0</v>
      </c>
      <c r="N27" s="20" t="n">
        <v>0</v>
      </c>
      <c r="O27" s="18" t="n">
        <v>0</v>
      </c>
      <c r="P27" s="20" t="n">
        <v>0</v>
      </c>
      <c r="Q27" s="18" t="n">
        <v>0.32174877</v>
      </c>
      <c r="R27" s="20" t="n">
        <v>0.31675723</v>
      </c>
    </row>
    <row r="28" spans="1:18">
      <c r="A28" s="15" t="s">
        <v>452</v>
      </c>
      <c r="B28" s="17" t="n">
        <v>3765</v>
      </c>
      <c r="C28" s="18">
        <f>(3314.0/B28*100)</f>
        <v/>
      </c>
      <c r="D28" s="19" t="n">
        <v>451</v>
      </c>
      <c r="E28" s="18" t="n">
        <v>23.72327554</v>
      </c>
      <c r="F28" s="20" t="n">
        <v>2.10478154</v>
      </c>
      <c r="G28" s="18" t="n">
        <v>74.23916814</v>
      </c>
      <c r="H28" s="20" t="n">
        <v>2.25244284</v>
      </c>
      <c r="I28" s="18" t="s">
        <v>431</v>
      </c>
      <c r="J28" s="20" t="s">
        <v>431</v>
      </c>
      <c r="K28" s="18" t="n">
        <v>1.57361133</v>
      </c>
      <c r="L28" s="20" t="n">
        <v>0.70270359</v>
      </c>
      <c r="M28" s="18" t="n">
        <v>0</v>
      </c>
      <c r="N28" s="20" t="n">
        <v>0</v>
      </c>
      <c r="O28" s="18" t="n">
        <v>0</v>
      </c>
      <c r="P28" s="20" t="n">
        <v>0</v>
      </c>
      <c r="Q28" s="18" t="n">
        <v>0.46394499</v>
      </c>
      <c r="R28" s="20" t="n">
        <v>0.32851234</v>
      </c>
    </row>
    <row r="29" spans="1:18">
      <c r="A29" s="15" t="s">
        <v>453</v>
      </c>
      <c r="B29" s="17" t="n">
        <v>2685</v>
      </c>
      <c r="C29" s="18">
        <f>(2346.0/B29*100)</f>
        <v/>
      </c>
      <c r="D29" s="19" t="n">
        <v>339</v>
      </c>
      <c r="E29" s="18" t="n">
        <v>14.42644401</v>
      </c>
      <c r="F29" s="20" t="n">
        <v>1.84638656</v>
      </c>
      <c r="G29" s="18" t="n">
        <v>85.18730107</v>
      </c>
      <c r="H29" s="20" t="n">
        <v>1.89358069</v>
      </c>
      <c r="I29" s="18" t="s">
        <v>431</v>
      </c>
      <c r="J29" s="20" t="s">
        <v>431</v>
      </c>
      <c r="K29" s="18" t="n">
        <v>0.17456224</v>
      </c>
      <c r="L29" s="20" t="n">
        <v>0.17548825</v>
      </c>
      <c r="M29" s="18" t="n">
        <v>0</v>
      </c>
      <c r="N29" s="20" t="n">
        <v>0</v>
      </c>
      <c r="O29" s="18" t="n">
        <v>0</v>
      </c>
      <c r="P29" s="20" t="n">
        <v>0</v>
      </c>
      <c r="Q29" s="18" t="n">
        <v>0.21169268</v>
      </c>
      <c r="R29" s="20" t="n">
        <v>0.24786677</v>
      </c>
    </row>
    <row r="30" spans="1:18">
      <c r="A30" s="15" t="s">
        <v>454</v>
      </c>
      <c r="B30" s="17" t="n">
        <v>2263</v>
      </c>
      <c r="C30" s="18">
        <f>(1976.0/B30*100)</f>
        <v/>
      </c>
      <c r="D30" s="19" t="n">
        <v>287</v>
      </c>
      <c r="E30" s="18" t="n">
        <v>11.63959401</v>
      </c>
      <c r="F30" s="20" t="n">
        <v>2.21438922</v>
      </c>
      <c r="G30" s="18" t="n">
        <v>86.15785440000001</v>
      </c>
      <c r="H30" s="20" t="n">
        <v>2.50566961</v>
      </c>
      <c r="I30" s="18" t="s">
        <v>431</v>
      </c>
      <c r="J30" s="20" t="s">
        <v>431</v>
      </c>
      <c r="K30" s="18" t="n">
        <v>1.27280082</v>
      </c>
      <c r="L30" s="20" t="n">
        <v>0.64370541</v>
      </c>
      <c r="M30" s="18" t="n">
        <v>0</v>
      </c>
      <c r="N30" s="20" t="n">
        <v>0</v>
      </c>
      <c r="O30" s="18" t="n">
        <v>0</v>
      </c>
      <c r="P30" s="20" t="n">
        <v>0</v>
      </c>
      <c r="Q30" s="18" t="n">
        <v>0.9297507699999999</v>
      </c>
      <c r="R30" s="20" t="n">
        <v>0.54015957</v>
      </c>
    </row>
    <row r="31" spans="1:18">
      <c r="A31" s="15" t="s">
        <v>455</v>
      </c>
      <c r="B31" s="17" t="n">
        <v>2750</v>
      </c>
      <c r="C31" s="18">
        <f>(2417.0/B31*100)</f>
        <v/>
      </c>
      <c r="D31" s="19" t="n">
        <v>333</v>
      </c>
      <c r="E31" s="18" t="n">
        <v>10.91177666</v>
      </c>
      <c r="F31" s="20" t="n">
        <v>1.82606421</v>
      </c>
      <c r="G31" s="18" t="n">
        <v>87.57540336</v>
      </c>
      <c r="H31" s="20" t="n">
        <v>1.80990988</v>
      </c>
      <c r="I31" s="18" t="s">
        <v>431</v>
      </c>
      <c r="J31" s="20" t="s">
        <v>431</v>
      </c>
      <c r="K31" s="18" t="n">
        <v>0.30015321</v>
      </c>
      <c r="L31" s="20" t="n">
        <v>0.29010426</v>
      </c>
      <c r="M31" s="18" t="n">
        <v>0</v>
      </c>
      <c r="N31" s="20" t="n">
        <v>0</v>
      </c>
      <c r="O31" s="18" t="n">
        <v>0</v>
      </c>
      <c r="P31" s="20" t="n">
        <v>0</v>
      </c>
      <c r="Q31" s="18" t="n">
        <v>1.21266676</v>
      </c>
      <c r="R31" s="20" t="n">
        <v>0.59107677</v>
      </c>
    </row>
    <row r="32" spans="1:18">
      <c r="A32" s="15" t="s">
        <v>456</v>
      </c>
      <c r="B32" s="17" t="n">
        <v>2269</v>
      </c>
      <c r="C32" s="18">
        <f>(1917.0/B32*100)</f>
        <v/>
      </c>
      <c r="D32" s="19" t="n">
        <v>352</v>
      </c>
      <c r="E32" s="18" t="n">
        <v>18.69899864</v>
      </c>
      <c r="F32" s="20" t="n">
        <v>2.29689255</v>
      </c>
      <c r="G32" s="18" t="n">
        <v>80.91570758</v>
      </c>
      <c r="H32" s="20" t="n">
        <v>2.29160703</v>
      </c>
      <c r="I32" s="18" t="s">
        <v>431</v>
      </c>
      <c r="J32" s="20" t="s">
        <v>431</v>
      </c>
      <c r="K32" s="18" t="n">
        <v>0</v>
      </c>
      <c r="L32" s="20" t="n">
        <v>0</v>
      </c>
      <c r="M32" s="18" t="n">
        <v>0</v>
      </c>
      <c r="N32" s="20" t="n">
        <v>0</v>
      </c>
      <c r="O32" s="18" t="n">
        <v>0</v>
      </c>
      <c r="P32" s="20" t="n">
        <v>0</v>
      </c>
      <c r="Q32" s="18" t="n">
        <v>0.38529378</v>
      </c>
      <c r="R32" s="20" t="n">
        <v>0.37803406</v>
      </c>
    </row>
    <row r="33" spans="1:18">
      <c r="A33" s="15" t="s">
        <v>457</v>
      </c>
      <c r="B33" s="17" t="n">
        <v>3674</v>
      </c>
      <c r="C33" s="18">
        <f>(3233.0/B33*100)</f>
        <v/>
      </c>
      <c r="D33" s="19" t="n">
        <v>441</v>
      </c>
      <c r="E33" s="18" t="n">
        <v>24.57837003</v>
      </c>
      <c r="F33" s="20" t="n">
        <v>2.43660939</v>
      </c>
      <c r="G33" s="18" t="n">
        <v>74.2573091</v>
      </c>
      <c r="H33" s="20" t="n">
        <v>2.43127857</v>
      </c>
      <c r="I33" s="18" t="s">
        <v>431</v>
      </c>
      <c r="J33" s="20" t="s">
        <v>431</v>
      </c>
      <c r="K33" s="18" t="n">
        <v>0.08565447</v>
      </c>
      <c r="L33" s="20" t="n">
        <v>0.10609033</v>
      </c>
      <c r="M33" s="18" t="n">
        <v>0</v>
      </c>
      <c r="N33" s="20" t="n">
        <v>0</v>
      </c>
      <c r="O33" s="18" t="n">
        <v>0</v>
      </c>
      <c r="P33" s="20" t="n">
        <v>0</v>
      </c>
      <c r="Q33" s="18" t="n">
        <v>1.0786664</v>
      </c>
      <c r="R33" s="20" t="n">
        <v>0.47631747</v>
      </c>
    </row>
    <row r="34" spans="1:18">
      <c r="A34" s="15" t="s">
        <v>458</v>
      </c>
      <c r="B34" s="17" t="n">
        <v>3315</v>
      </c>
      <c r="C34" s="18">
        <f>(2930.0/B34*100)</f>
        <v/>
      </c>
      <c r="D34" s="19" t="n">
        <v>385</v>
      </c>
      <c r="E34" s="18" t="n">
        <v>23.71964428</v>
      </c>
      <c r="F34" s="20" t="n">
        <v>2.16991327</v>
      </c>
      <c r="G34" s="18" t="n">
        <v>75.17420106</v>
      </c>
      <c r="H34" s="20" t="n">
        <v>2.15630258</v>
      </c>
      <c r="I34" s="18" t="s">
        <v>431</v>
      </c>
      <c r="J34" s="20" t="s">
        <v>431</v>
      </c>
      <c r="K34" s="18" t="n">
        <v>0.41717281</v>
      </c>
      <c r="L34" s="20" t="n">
        <v>0.41503889</v>
      </c>
      <c r="M34" s="18" t="n">
        <v>0</v>
      </c>
      <c r="N34" s="20" t="n">
        <v>0</v>
      </c>
      <c r="O34" s="18" t="n">
        <v>0</v>
      </c>
      <c r="P34" s="20" t="n">
        <v>0</v>
      </c>
      <c r="Q34" s="18" t="n">
        <v>0.68898184</v>
      </c>
      <c r="R34" s="20" t="n">
        <v>0.51604922</v>
      </c>
    </row>
    <row r="35" spans="1:18">
      <c r="A35" s="15" t="s">
        <v>459</v>
      </c>
      <c r="B35" s="17" t="n">
        <v>3505</v>
      </c>
      <c r="C35" s="18">
        <f>(3100.0/B35*100)</f>
        <v/>
      </c>
      <c r="D35" s="19" t="n">
        <v>405</v>
      </c>
      <c r="E35" s="18" t="n">
        <v>16.85812045</v>
      </c>
      <c r="F35" s="20" t="n">
        <v>2.53632936</v>
      </c>
      <c r="G35" s="18" t="n">
        <v>82.63920668</v>
      </c>
      <c r="H35" s="20" t="n">
        <v>2.50976272</v>
      </c>
      <c r="I35" s="18" t="s">
        <v>431</v>
      </c>
      <c r="J35" s="20" t="s">
        <v>431</v>
      </c>
      <c r="K35" s="18" t="n">
        <v>0</v>
      </c>
      <c r="L35" s="20" t="n">
        <v>0</v>
      </c>
      <c r="M35" s="18" t="n">
        <v>0</v>
      </c>
      <c r="N35" s="20" t="n">
        <v>0</v>
      </c>
      <c r="O35" s="18" t="n">
        <v>0</v>
      </c>
      <c r="P35" s="20" t="n">
        <v>0</v>
      </c>
      <c r="Q35" s="18" t="n">
        <v>0.50267287</v>
      </c>
      <c r="R35" s="20" t="n">
        <v>0.42050631</v>
      </c>
    </row>
    <row r="36" spans="1:18">
      <c r="A36" s="15" t="s">
        <v>460</v>
      </c>
      <c r="B36" s="17" t="n">
        <v>3332</v>
      </c>
      <c r="C36" s="18">
        <f>(2936.0/B36*100)</f>
        <v/>
      </c>
      <c r="D36" s="19" t="n">
        <v>396</v>
      </c>
      <c r="E36" s="18" t="n">
        <v>20.66737922</v>
      </c>
      <c r="F36" s="20" t="n">
        <v>2.47301823</v>
      </c>
      <c r="G36" s="18" t="n">
        <v>77.94215493</v>
      </c>
      <c r="H36" s="20" t="n">
        <v>2.49047215</v>
      </c>
      <c r="I36" s="18" t="s">
        <v>431</v>
      </c>
      <c r="J36" s="20" t="s">
        <v>431</v>
      </c>
      <c r="K36" s="18" t="n">
        <v>0.64750416</v>
      </c>
      <c r="L36" s="20" t="n">
        <v>0.47981012</v>
      </c>
      <c r="M36" s="18" t="n">
        <v>0</v>
      </c>
      <c r="N36" s="20" t="n">
        <v>0</v>
      </c>
      <c r="O36" s="18" t="n">
        <v>0</v>
      </c>
      <c r="P36" s="20" t="n">
        <v>0</v>
      </c>
      <c r="Q36" s="18" t="n">
        <v>0.7429616999999999</v>
      </c>
      <c r="R36" s="20" t="n">
        <v>0.32770688</v>
      </c>
    </row>
    <row r="37" spans="1:18">
      <c r="A37" s="15" t="s">
        <v>461</v>
      </c>
      <c r="B37" s="17" t="n">
        <v>2727</v>
      </c>
      <c r="C37" s="18">
        <f>(2384.0/B37*100)</f>
        <v/>
      </c>
      <c r="D37" s="19" t="n">
        <v>343</v>
      </c>
      <c r="E37" s="18" t="n">
        <v>13.53128358</v>
      </c>
      <c r="F37" s="20" t="n">
        <v>1.99510587</v>
      </c>
      <c r="G37" s="18" t="n">
        <v>85.09730767000001</v>
      </c>
      <c r="H37" s="20" t="n">
        <v>2.12027408</v>
      </c>
      <c r="I37" s="18" t="s">
        <v>431</v>
      </c>
      <c r="J37" s="20" t="s">
        <v>431</v>
      </c>
      <c r="K37" s="18" t="n">
        <v>0.2389326</v>
      </c>
      <c r="L37" s="20" t="n">
        <v>0.24047439</v>
      </c>
      <c r="M37" s="18" t="n">
        <v>0</v>
      </c>
      <c r="N37" s="20" t="n">
        <v>0</v>
      </c>
      <c r="O37" s="18" t="n">
        <v>0</v>
      </c>
      <c r="P37" s="20" t="n">
        <v>0</v>
      </c>
      <c r="Q37" s="18" t="n">
        <v>1.13247614</v>
      </c>
      <c r="R37" s="20" t="n">
        <v>0.56974426</v>
      </c>
    </row>
    <row r="38" spans="1:18">
      <c r="A38" s="15" t="s">
        <v>462</v>
      </c>
      <c r="B38" s="17" t="n">
        <v>3053</v>
      </c>
      <c r="C38" s="18">
        <f>(2572.0/B38*100)</f>
        <v/>
      </c>
      <c r="D38" s="19" t="n">
        <v>481</v>
      </c>
      <c r="E38" s="18" t="n">
        <v>19.31647354</v>
      </c>
      <c r="F38" s="20" t="n">
        <v>2.22591256</v>
      </c>
      <c r="G38" s="18" t="n">
        <v>79.10580811</v>
      </c>
      <c r="H38" s="20" t="n">
        <v>2.28657103</v>
      </c>
      <c r="I38" s="18" t="s">
        <v>431</v>
      </c>
      <c r="J38" s="20" t="s">
        <v>431</v>
      </c>
      <c r="K38" s="18" t="n">
        <v>0.86595239</v>
      </c>
      <c r="L38" s="20" t="n">
        <v>0.6085475</v>
      </c>
      <c r="M38" s="18" t="n">
        <v>0</v>
      </c>
      <c r="N38" s="20" t="n">
        <v>0</v>
      </c>
      <c r="O38" s="18" t="n">
        <v>0</v>
      </c>
      <c r="P38" s="20" t="n">
        <v>0</v>
      </c>
      <c r="Q38" s="18" t="n">
        <v>0.71176596</v>
      </c>
      <c r="R38" s="20" t="n">
        <v>0.41806726</v>
      </c>
    </row>
    <row r="39" spans="1:18">
      <c r="A39" s="15" t="s">
        <v>463</v>
      </c>
      <c r="B39" s="17" t="n">
        <v>2957</v>
      </c>
      <c r="C39" s="18">
        <f>(2588.0/B39*100)</f>
        <v/>
      </c>
      <c r="D39" s="19" t="n">
        <v>369</v>
      </c>
      <c r="E39" s="18" t="n">
        <v>18.36831646</v>
      </c>
      <c r="F39" s="20" t="n">
        <v>1.87234566</v>
      </c>
      <c r="G39" s="18" t="n">
        <v>79.32386995</v>
      </c>
      <c r="H39" s="20" t="n">
        <v>1.92477594</v>
      </c>
      <c r="I39" s="18" t="s">
        <v>431</v>
      </c>
      <c r="J39" s="20" t="s">
        <v>431</v>
      </c>
      <c r="K39" s="18" t="n">
        <v>0.43196517</v>
      </c>
      <c r="L39" s="20" t="n">
        <v>0.38094483</v>
      </c>
      <c r="M39" s="18" t="n">
        <v>0</v>
      </c>
      <c r="N39" s="20" t="n">
        <v>0</v>
      </c>
      <c r="O39" s="18" t="n">
        <v>0</v>
      </c>
      <c r="P39" s="20" t="n">
        <v>0</v>
      </c>
      <c r="Q39" s="18" t="n">
        <v>1.87584842</v>
      </c>
      <c r="R39" s="20" t="n">
        <v>0.59174607</v>
      </c>
    </row>
    <row r="40" spans="1:18">
      <c r="A40" s="15" t="s">
        <v>464</v>
      </c>
      <c r="B40" s="17" t="n">
        <v>7235</v>
      </c>
      <c r="C40" s="18">
        <f>(6352.0/B40*100)</f>
        <v/>
      </c>
      <c r="D40" s="19" t="n">
        <v>883</v>
      </c>
      <c r="E40" s="18" t="n">
        <v>9.43378731</v>
      </c>
      <c r="F40" s="20" t="n">
        <v>1.49247664</v>
      </c>
      <c r="G40" s="18" t="n">
        <v>89.52772449</v>
      </c>
      <c r="H40" s="20" t="n">
        <v>1.65499272</v>
      </c>
      <c r="I40" s="18" t="s">
        <v>431</v>
      </c>
      <c r="J40" s="20" t="s">
        <v>431</v>
      </c>
      <c r="K40" s="18" t="n">
        <v>0.4625055</v>
      </c>
      <c r="L40" s="20" t="n">
        <v>0.3733444</v>
      </c>
      <c r="M40" s="18" t="n">
        <v>0</v>
      </c>
      <c r="N40" s="20" t="n">
        <v>0</v>
      </c>
      <c r="O40" s="18" t="n">
        <v>0</v>
      </c>
      <c r="P40" s="20" t="n">
        <v>0</v>
      </c>
      <c r="Q40" s="18" t="n">
        <v>0.5759827</v>
      </c>
      <c r="R40" s="20" t="n">
        <v>0.34106917</v>
      </c>
    </row>
    <row r="41" spans="1:18">
      <c r="A41" s="15" t="s">
        <v>465</v>
      </c>
      <c r="B41" s="17" t="n">
        <v>2858</v>
      </c>
      <c r="C41" s="18">
        <f>(2515.0/B41*100)</f>
        <v/>
      </c>
      <c r="D41" s="19" t="n">
        <v>343</v>
      </c>
      <c r="E41" s="18" t="n">
        <v>9.59524854</v>
      </c>
      <c r="F41" s="20" t="n">
        <v>1.68573794</v>
      </c>
      <c r="G41" s="18" t="n">
        <v>90.40475146</v>
      </c>
      <c r="H41" s="20" t="n">
        <v>1.68573794</v>
      </c>
      <c r="I41" s="18" t="s">
        <v>431</v>
      </c>
      <c r="J41" s="20" t="s">
        <v>431</v>
      </c>
      <c r="K41" s="18" t="n">
        <v>0</v>
      </c>
      <c r="L41" s="20" t="n">
        <v>0</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(9975.0/B46*100)</f>
        <v/>
      </c>
      <c r="D46" s="19" t="n">
        <v>1093</v>
      </c>
      <c r="E46" s="18" t="n">
        <v>34.57945348</v>
      </c>
      <c r="F46" s="20" t="n">
        <v>1.85872089</v>
      </c>
      <c r="G46" s="18" t="n">
        <v>62.21290597</v>
      </c>
      <c r="H46" s="20" t="n">
        <v>1.88263118</v>
      </c>
      <c r="I46" s="18" t="s">
        <v>431</v>
      </c>
      <c r="J46" s="20" t="s">
        <v>431</v>
      </c>
      <c r="K46" s="18" t="n">
        <v>1.42072315</v>
      </c>
      <c r="L46" s="20" t="n">
        <v>0.47156847</v>
      </c>
      <c r="M46" s="18" t="n">
        <v>0</v>
      </c>
      <c r="N46" s="20" t="n">
        <v>0</v>
      </c>
      <c r="O46" s="18" t="n">
        <v>0</v>
      </c>
      <c r="P46" s="20" t="n">
        <v>0</v>
      </c>
      <c r="Q46" s="18" t="n">
        <v>1.78691739</v>
      </c>
      <c r="R46" s="20" t="n">
        <v>0.54469736</v>
      </c>
    </row>
    <row r="47" spans="1:18">
      <c r="A47" s="15" t="s">
        <v>471</v>
      </c>
      <c r="B47" s="17" t="n">
        <v>3105</v>
      </c>
      <c r="C47" s="18">
        <f>(2702.0/B47*100)</f>
        <v/>
      </c>
      <c r="D47" s="19" t="n">
        <v>403</v>
      </c>
      <c r="E47" s="18" t="n">
        <v>30.87603625</v>
      </c>
      <c r="F47" s="20" t="n">
        <v>2.3771812</v>
      </c>
      <c r="G47" s="18" t="n">
        <v>66.85724605</v>
      </c>
      <c r="H47" s="20" t="n">
        <v>2.36545724</v>
      </c>
      <c r="I47" s="18" t="s">
        <v>431</v>
      </c>
      <c r="J47" s="20" t="s">
        <v>431</v>
      </c>
      <c r="K47" s="18" t="n">
        <v>0</v>
      </c>
      <c r="L47" s="20" t="n">
        <v>0</v>
      </c>
      <c r="M47" s="18" t="n">
        <v>0</v>
      </c>
      <c r="N47" s="20" t="n">
        <v>0</v>
      </c>
      <c r="O47" s="18" t="n">
        <v>0</v>
      </c>
      <c r="P47" s="20" t="n">
        <v>0</v>
      </c>
      <c r="Q47" s="18" t="n">
        <v>2.2667177</v>
      </c>
      <c r="R47" s="20" t="n">
        <v>0.9728668700000001</v>
      </c>
    </row>
    <row r="48" spans="1:18">
      <c r="A48" s="15" t="s">
        <v>472</v>
      </c>
      <c r="B48" s="17" t="n">
        <v>5159</v>
      </c>
      <c r="C48" s="18">
        <f>(4532.0/B48*100)</f>
        <v/>
      </c>
      <c r="D48" s="19" t="n">
        <v>627</v>
      </c>
      <c r="E48" s="18" t="n">
        <v>18.53939182</v>
      </c>
      <c r="F48" s="20" t="n">
        <v>2.20650242</v>
      </c>
      <c r="G48" s="18" t="n">
        <v>80.55398907</v>
      </c>
      <c r="H48" s="20" t="n">
        <v>2.09530986</v>
      </c>
      <c r="I48" s="18" t="s">
        <v>431</v>
      </c>
      <c r="J48" s="20" t="s">
        <v>431</v>
      </c>
      <c r="K48" s="18" t="n">
        <v>0.64374656</v>
      </c>
      <c r="L48" s="20" t="n">
        <v>0.46242066</v>
      </c>
      <c r="M48" s="18" t="n">
        <v>0</v>
      </c>
      <c r="N48" s="20" t="n">
        <v>0</v>
      </c>
      <c r="O48" s="18" t="n">
        <v>0</v>
      </c>
      <c r="P48" s="20" t="n">
        <v>0</v>
      </c>
      <c r="Q48" s="18" t="n">
        <v>0.26287256</v>
      </c>
      <c r="R48" s="20" t="n">
        <v>0.26411799</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(4976.0/B50*100)</f>
        <v/>
      </c>
      <c r="D50" s="19" t="n">
        <v>661</v>
      </c>
      <c r="E50" s="18" t="n">
        <v>24.94032506</v>
      </c>
      <c r="F50" s="20" t="n">
        <v>2.79333359</v>
      </c>
      <c r="G50" s="18" t="n">
        <v>69.92055003999999</v>
      </c>
      <c r="H50" s="20" t="n">
        <v>3.09435415</v>
      </c>
      <c r="I50" s="18" t="s">
        <v>431</v>
      </c>
      <c r="J50" s="20" t="s">
        <v>431</v>
      </c>
      <c r="K50" s="18" t="n">
        <v>2.64172646</v>
      </c>
      <c r="L50" s="20" t="n">
        <v>1.01590038</v>
      </c>
      <c r="M50" s="18" t="n">
        <v>0</v>
      </c>
      <c r="N50" s="20" t="n">
        <v>0</v>
      </c>
      <c r="O50" s="18" t="n">
        <v>0</v>
      </c>
      <c r="P50" s="20" t="n">
        <v>0</v>
      </c>
      <c r="Q50" s="18" t="n">
        <v>2.49739844</v>
      </c>
      <c r="R50" s="20" t="n">
        <v>0.92106551</v>
      </c>
    </row>
    <row r="51" spans="1:18">
      <c r="A51" s="15" t="s">
        <v>475</v>
      </c>
      <c r="B51" s="17" t="n">
        <v>3372</v>
      </c>
      <c r="C51" s="18">
        <f>(3019.0/B51*100)</f>
        <v/>
      </c>
      <c r="D51" s="19" t="n">
        <v>353</v>
      </c>
      <c r="E51" s="18" t="n">
        <v>27.18762077</v>
      </c>
      <c r="F51" s="20" t="n">
        <v>2.27266645</v>
      </c>
      <c r="G51" s="18" t="n">
        <v>69.36633263</v>
      </c>
      <c r="H51" s="20" t="n">
        <v>2.35262579</v>
      </c>
      <c r="I51" s="18" t="s">
        <v>431</v>
      </c>
      <c r="J51" s="20" t="s">
        <v>431</v>
      </c>
      <c r="K51" s="18" t="n">
        <v>1.01837971</v>
      </c>
      <c r="L51" s="20" t="n">
        <v>0.51629537</v>
      </c>
      <c r="M51" s="18" t="n">
        <v>0</v>
      </c>
      <c r="N51" s="20" t="n">
        <v>0</v>
      </c>
      <c r="O51" s="18" t="n">
        <v>0</v>
      </c>
      <c r="P51" s="20" t="n">
        <v>0</v>
      </c>
      <c r="Q51" s="18" t="n">
        <v>2.42766689</v>
      </c>
      <c r="R51" s="20" t="n">
        <v>0.8943562900000001</v>
      </c>
    </row>
    <row r="52" spans="1:18">
      <c r="A52" s="15" t="s">
        <v>476</v>
      </c>
      <c r="B52" s="17" t="n">
        <v>2796</v>
      </c>
      <c r="C52" s="18">
        <f>(2431.0/B52*100)</f>
        <v/>
      </c>
      <c r="D52" s="19" t="n">
        <v>365</v>
      </c>
      <c r="E52" s="18" t="n">
        <v>12.32275201</v>
      </c>
      <c r="F52" s="20" t="n">
        <v>1.63943572</v>
      </c>
      <c r="G52" s="18" t="n">
        <v>86.67524256</v>
      </c>
      <c r="H52" s="20" t="n">
        <v>1.77130629</v>
      </c>
      <c r="I52" s="18" t="s">
        <v>431</v>
      </c>
      <c r="J52" s="20" t="s">
        <v>431</v>
      </c>
      <c r="K52" s="18" t="n">
        <v>0</v>
      </c>
      <c r="L52" s="20" t="n">
        <v>0</v>
      </c>
      <c r="M52" s="18" t="n">
        <v>0</v>
      </c>
      <c r="N52" s="20" t="n">
        <v>0</v>
      </c>
      <c r="O52" s="18" t="n">
        <v>0</v>
      </c>
      <c r="P52" s="20" t="n">
        <v>0</v>
      </c>
      <c r="Q52" s="18" t="n">
        <v>1.00200543</v>
      </c>
      <c r="R52" s="20" t="n">
        <v>0.50620709</v>
      </c>
    </row>
    <row r="53" spans="1:18">
      <c r="A53" s="15" t="s">
        <v>477</v>
      </c>
      <c r="B53" s="17" t="n">
        <v>2811</v>
      </c>
      <c r="C53" s="18">
        <f>(2481.0/B53*100)</f>
        <v/>
      </c>
      <c r="D53" s="19" t="n">
        <v>330</v>
      </c>
      <c r="E53" s="18" t="n">
        <v>30.83841234</v>
      </c>
      <c r="F53" s="20" t="n">
        <v>2.40988895</v>
      </c>
      <c r="G53" s="18" t="n">
        <v>66.28602005</v>
      </c>
      <c r="H53" s="20" t="n">
        <v>2.45879446</v>
      </c>
      <c r="I53" s="18" t="s">
        <v>431</v>
      </c>
      <c r="J53" s="20" t="s">
        <v>431</v>
      </c>
      <c r="K53" s="18" t="n">
        <v>0</v>
      </c>
      <c r="L53" s="20" t="n">
        <v>0</v>
      </c>
      <c r="M53" s="18" t="n">
        <v>0</v>
      </c>
      <c r="N53" s="20" t="n">
        <v>0</v>
      </c>
      <c r="O53" s="18" t="n">
        <v>0</v>
      </c>
      <c r="P53" s="20" t="n">
        <v>0</v>
      </c>
      <c r="Q53" s="18" t="n">
        <v>2.87556761</v>
      </c>
      <c r="R53" s="20" t="n">
        <v>0.85351791</v>
      </c>
    </row>
    <row r="54" spans="1:18">
      <c r="A54" s="15" t="s">
        <v>478</v>
      </c>
      <c r="B54" s="17" t="n">
        <v>2266</v>
      </c>
      <c r="C54" s="18">
        <f>(1881.0/B54*100)</f>
        <v/>
      </c>
      <c r="D54" s="19" t="n">
        <v>385</v>
      </c>
      <c r="E54" s="18" t="n">
        <v>31.02705258</v>
      </c>
      <c r="F54" s="20" t="n">
        <v>2.09494386</v>
      </c>
      <c r="G54" s="18" t="n">
        <v>47.50953519</v>
      </c>
      <c r="H54" s="20" t="n">
        <v>3.23184461</v>
      </c>
      <c r="I54" s="18" t="s">
        <v>431</v>
      </c>
      <c r="J54" s="20" t="s">
        <v>431</v>
      </c>
      <c r="K54" s="18" t="n">
        <v>16.7651973</v>
      </c>
      <c r="L54" s="20" t="n">
        <v>2.19840001</v>
      </c>
      <c r="M54" s="18" t="n">
        <v>0</v>
      </c>
      <c r="N54" s="20" t="n">
        <v>0</v>
      </c>
      <c r="O54" s="18" t="n">
        <v>0</v>
      </c>
      <c r="P54" s="20" t="n">
        <v>0</v>
      </c>
      <c r="Q54" s="18" t="n">
        <v>4.69821493</v>
      </c>
      <c r="R54" s="20" t="n">
        <v>1.12896285</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(2344.0/B56*100)</f>
        <v/>
      </c>
      <c r="D56" s="19" t="n">
        <v>340</v>
      </c>
      <c r="E56" s="18" t="n">
        <v>9.57602404</v>
      </c>
      <c r="F56" s="20" t="n">
        <v>1.6872489</v>
      </c>
      <c r="G56" s="18" t="n">
        <v>89.24142413</v>
      </c>
      <c r="H56" s="20" t="n">
        <v>1.87102407</v>
      </c>
      <c r="I56" s="18" t="s">
        <v>431</v>
      </c>
      <c r="J56" s="20" t="s">
        <v>431</v>
      </c>
      <c r="K56" s="18" t="n">
        <v>0.65720711</v>
      </c>
      <c r="L56" s="20" t="n">
        <v>0.48462054</v>
      </c>
      <c r="M56" s="18" t="n">
        <v>0</v>
      </c>
      <c r="N56" s="20" t="n">
        <v>0</v>
      </c>
      <c r="O56" s="18" t="n">
        <v>0</v>
      </c>
      <c r="P56" s="20" t="n">
        <v>0</v>
      </c>
      <c r="Q56" s="18" t="n">
        <v>0.52534472</v>
      </c>
      <c r="R56" s="20" t="n">
        <v>0.37304764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(2925.0/B61*100)</f>
        <v/>
      </c>
      <c r="D61" s="19" t="n">
        <v>399</v>
      </c>
      <c r="E61" s="18" t="n">
        <v>22.41421002</v>
      </c>
      <c r="F61" s="20" t="n">
        <v>2.45473171</v>
      </c>
      <c r="G61" s="18" t="n">
        <v>76.58679730999999</v>
      </c>
      <c r="H61" s="20" t="n">
        <v>2.59668095</v>
      </c>
      <c r="I61" s="18" t="s">
        <v>431</v>
      </c>
      <c r="J61" s="20" t="s">
        <v>431</v>
      </c>
      <c r="K61" s="18" t="n">
        <v>0.28677028</v>
      </c>
      <c r="L61" s="20" t="n">
        <v>0.26905552</v>
      </c>
      <c r="M61" s="18" t="n">
        <v>0</v>
      </c>
      <c r="N61" s="20" t="n">
        <v>0</v>
      </c>
      <c r="O61" s="18" t="n">
        <v>0</v>
      </c>
      <c r="P61" s="20" t="n">
        <v>0</v>
      </c>
      <c r="Q61" s="18" t="n">
        <v>0.71222239</v>
      </c>
      <c r="R61" s="20" t="n">
        <v>0.48790841</v>
      </c>
    </row>
    <row r="62" spans="1:18">
      <c r="A62" s="15" t="s">
        <v>486</v>
      </c>
      <c r="B62" s="17" t="n">
        <v>2246</v>
      </c>
      <c r="C62" s="18">
        <f>(1982.0/B62*100)</f>
        <v/>
      </c>
      <c r="D62" s="19" t="n">
        <v>264</v>
      </c>
      <c r="E62" s="18" t="n">
        <v>13.66575746</v>
      </c>
      <c r="F62" s="20" t="n">
        <v>2.34580985</v>
      </c>
      <c r="G62" s="18" t="n">
        <v>86.33424254000001</v>
      </c>
      <c r="H62" s="20" t="n">
        <v>2.34580985</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(2550.0/B66*100)</f>
        <v/>
      </c>
      <c r="D66" s="19" t="n">
        <v>344</v>
      </c>
      <c r="E66" s="18" t="n">
        <v>27.81299084</v>
      </c>
      <c r="F66" s="20" t="n">
        <v>2.51490987</v>
      </c>
      <c r="G66" s="18" t="n">
        <v>69.13341755</v>
      </c>
      <c r="H66" s="20" t="n">
        <v>2.52194471</v>
      </c>
      <c r="I66" s="18" t="s">
        <v>431</v>
      </c>
      <c r="J66" s="20" t="s">
        <v>431</v>
      </c>
      <c r="K66" s="18" t="n">
        <v>0.24495102</v>
      </c>
      <c r="L66" s="20" t="n">
        <v>0.24766741</v>
      </c>
      <c r="M66" s="18" t="n">
        <v>0</v>
      </c>
      <c r="N66" s="20" t="n">
        <v>0</v>
      </c>
      <c r="O66" s="18" t="n">
        <v>0</v>
      </c>
      <c r="P66" s="20" t="n">
        <v>0</v>
      </c>
      <c r="Q66" s="18" t="n">
        <v>2.8086406</v>
      </c>
      <c r="R66" s="20" t="n">
        <v>0.8892514500000001</v>
      </c>
    </row>
    <row r="67" spans="1:18">
      <c r="A67" s="15" t="s">
        <v>491</v>
      </c>
      <c r="B67" s="17" t="n">
        <v>3511</v>
      </c>
      <c r="C67" s="18">
        <f>(3115.0/B67*100)</f>
        <v/>
      </c>
      <c r="D67" s="19" t="n">
        <v>396</v>
      </c>
      <c r="E67" s="18" t="n">
        <v>27.09191333</v>
      </c>
      <c r="F67" s="20" t="n">
        <v>2.71403778</v>
      </c>
      <c r="G67" s="18" t="n">
        <v>71.47894363</v>
      </c>
      <c r="H67" s="20" t="n">
        <v>2.80441128</v>
      </c>
      <c r="I67" s="18" t="s">
        <v>431</v>
      </c>
      <c r="J67" s="20" t="s">
        <v>431</v>
      </c>
      <c r="K67" s="18" t="n">
        <v>0.17597459</v>
      </c>
      <c r="L67" s="20" t="n">
        <v>0.17405407</v>
      </c>
      <c r="M67" s="18" t="n">
        <v>0</v>
      </c>
      <c r="N67" s="20" t="n">
        <v>0</v>
      </c>
      <c r="O67" s="18" t="n">
        <v>0</v>
      </c>
      <c r="P67" s="20" t="n">
        <v>0</v>
      </c>
      <c r="Q67" s="18" t="n">
        <v>1.25316845</v>
      </c>
      <c r="R67" s="20" t="n">
        <v>0.48627072</v>
      </c>
    </row>
    <row r="68" spans="1:18">
      <c r="A68" s="15" t="s">
        <v>492</v>
      </c>
      <c r="B68" s="17" t="n">
        <v>6049</v>
      </c>
      <c r="C68" s="18">
        <f>(5048.0/B68*100)</f>
        <v/>
      </c>
      <c r="D68" s="19" t="n">
        <v>1001</v>
      </c>
      <c r="E68" s="18" t="n">
        <v>22.61006234</v>
      </c>
      <c r="F68" s="20" t="n">
        <v>1.34702271</v>
      </c>
      <c r="G68" s="18" t="n">
        <v>69.45248488999999</v>
      </c>
      <c r="H68" s="20" t="n">
        <v>1.43554385</v>
      </c>
      <c r="I68" s="18" t="s">
        <v>431</v>
      </c>
      <c r="J68" s="20" t="s">
        <v>431</v>
      </c>
      <c r="K68" s="18" t="n">
        <v>3.24970647</v>
      </c>
      <c r="L68" s="20" t="n">
        <v>0.6143007</v>
      </c>
      <c r="M68" s="18" t="n">
        <v>0</v>
      </c>
      <c r="N68" s="20" t="n">
        <v>0</v>
      </c>
      <c r="O68" s="18" t="n">
        <v>0</v>
      </c>
      <c r="P68" s="20" t="n">
        <v>0</v>
      </c>
      <c r="Q68" s="18" t="n">
        <v>4.68774631</v>
      </c>
      <c r="R68" s="20" t="n">
        <v>0.68601992</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(2571.0/B70*100)</f>
        <v/>
      </c>
      <c r="D70" s="19" t="n">
        <v>358</v>
      </c>
      <c r="E70" s="18" t="n">
        <v>18.88949452</v>
      </c>
      <c r="F70" s="20" t="n">
        <v>1.82089732</v>
      </c>
      <c r="G70" s="18" t="n">
        <v>80.91539107</v>
      </c>
      <c r="H70" s="20" t="n">
        <v>1.82080935</v>
      </c>
      <c r="I70" s="18" t="s">
        <v>431</v>
      </c>
      <c r="J70" s="20" t="s">
        <v>431</v>
      </c>
      <c r="K70" s="18" t="n">
        <v>0</v>
      </c>
      <c r="L70" s="20" t="n">
        <v>0</v>
      </c>
      <c r="M70" s="18" t="n">
        <v>0</v>
      </c>
      <c r="N70" s="20" t="n">
        <v>0</v>
      </c>
      <c r="O70" s="18" t="n">
        <v>0</v>
      </c>
      <c r="P70" s="20" t="n">
        <v>0</v>
      </c>
      <c r="Q70" s="18" t="n">
        <v>0.19511441</v>
      </c>
      <c r="R70" s="20" t="n">
        <v>0.19462861</v>
      </c>
    </row>
    <row r="71" spans="1:18">
      <c r="A71" s="15" t="s">
        <v>495</v>
      </c>
      <c r="B71" s="17" t="n">
        <v>3142</v>
      </c>
      <c r="C71" s="18">
        <f>(2759.0/B71*100)</f>
        <v/>
      </c>
      <c r="D71" s="19" t="n">
        <v>383</v>
      </c>
      <c r="E71" s="18" t="n">
        <v>9.64335065</v>
      </c>
      <c r="F71" s="20" t="n">
        <v>1.65115529</v>
      </c>
      <c r="G71" s="18" t="n">
        <v>90.11896083000001</v>
      </c>
      <c r="H71" s="20" t="n">
        <v>1.66299912</v>
      </c>
      <c r="I71" s="18" t="s">
        <v>431</v>
      </c>
      <c r="J71" s="20" t="s">
        <v>431</v>
      </c>
      <c r="K71" s="18" t="n">
        <v>0.23768852</v>
      </c>
      <c r="L71" s="20" t="n">
        <v>0.236413</v>
      </c>
      <c r="M71" s="18" t="n">
        <v>0</v>
      </c>
      <c r="N71" s="20" t="n">
        <v>0</v>
      </c>
      <c r="O71" s="18" t="n">
        <v>0</v>
      </c>
      <c r="P71" s="20" t="n">
        <v>0</v>
      </c>
      <c r="Q71" s="18" t="n">
        <v>0</v>
      </c>
      <c r="R71" s="20" t="n">
        <v>0</v>
      </c>
    </row>
    <row r="72" spans="1:18">
      <c r="A72" s="15" t="s">
        <v>496</v>
      </c>
      <c r="B72" s="17" t="n">
        <v>3889</v>
      </c>
      <c r="C72" s="18">
        <f>(3397.0/B72*100)</f>
        <v/>
      </c>
      <c r="D72" s="19" t="n">
        <v>492</v>
      </c>
      <c r="E72" s="18" t="n">
        <v>13.02762672</v>
      </c>
      <c r="F72" s="20" t="n">
        <v>1.53087395</v>
      </c>
      <c r="G72" s="18" t="n">
        <v>86.32762135999999</v>
      </c>
      <c r="H72" s="20" t="n">
        <v>1.52712325</v>
      </c>
      <c r="I72" s="18" t="s">
        <v>431</v>
      </c>
      <c r="J72" s="20" t="s">
        <v>431</v>
      </c>
      <c r="K72" s="18" t="n">
        <v>0.14090157</v>
      </c>
      <c r="L72" s="20" t="n">
        <v>0.14368853</v>
      </c>
      <c r="M72" s="18" t="n">
        <v>0</v>
      </c>
      <c r="N72" s="20" t="n">
        <v>0</v>
      </c>
      <c r="O72" s="18" t="n">
        <v>0</v>
      </c>
      <c r="P72" s="20" t="n">
        <v>0</v>
      </c>
      <c r="Q72" s="18" t="n">
        <v>0.50385035</v>
      </c>
      <c r="R72" s="20" t="n">
        <v>0.3341175</v>
      </c>
    </row>
    <row r="73" spans="1:18">
      <c r="A73" s="15" t="s">
        <v>497</v>
      </c>
      <c r="B73" s="17" t="n">
        <v>3597</v>
      </c>
      <c r="C73" s="18">
        <f>(3195.0/B73*100)</f>
        <v/>
      </c>
      <c r="D73" s="19" t="n">
        <v>402</v>
      </c>
      <c r="E73" s="18" t="n">
        <v>18.30087087</v>
      </c>
      <c r="F73" s="20" t="n">
        <v>2.43979665</v>
      </c>
      <c r="G73" s="18" t="n">
        <v>80.98408015</v>
      </c>
      <c r="H73" s="20" t="n">
        <v>2.48972101</v>
      </c>
      <c r="I73" s="18" t="s">
        <v>431</v>
      </c>
      <c r="J73" s="20" t="s">
        <v>431</v>
      </c>
      <c r="K73" s="18" t="n">
        <v>0</v>
      </c>
      <c r="L73" s="20" t="n">
        <v>0</v>
      </c>
      <c r="M73" s="18" t="n">
        <v>0</v>
      </c>
      <c r="N73" s="20" t="n">
        <v>0</v>
      </c>
      <c r="O73" s="18" t="n">
        <v>0</v>
      </c>
      <c r="P73" s="20" t="n">
        <v>0</v>
      </c>
      <c r="Q73" s="18" t="n">
        <v>0.71504897</v>
      </c>
      <c r="R73" s="20" t="n">
        <v>0.50181261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(2142.0/B75*100)</f>
        <v/>
      </c>
      <c r="D75" s="19" t="n">
        <v>264</v>
      </c>
      <c r="E75" s="18" t="n">
        <v>36.94332468</v>
      </c>
      <c r="F75" s="20" t="n">
        <v>3.16919076</v>
      </c>
      <c r="G75" s="18" t="n">
        <v>55.03428538</v>
      </c>
      <c r="H75" s="20" t="n">
        <v>3.17421903</v>
      </c>
      <c r="I75" s="18" t="s">
        <v>431</v>
      </c>
      <c r="J75" s="20" t="s">
        <v>431</v>
      </c>
      <c r="K75" s="18" t="n">
        <v>4.97462341</v>
      </c>
      <c r="L75" s="20" t="n">
        <v>1.30586871</v>
      </c>
      <c r="M75" s="18" t="n">
        <v>0</v>
      </c>
      <c r="N75" s="20" t="n">
        <v>0</v>
      </c>
      <c r="O75" s="18" t="n">
        <v>0</v>
      </c>
      <c r="P75" s="20" t="n">
        <v>0</v>
      </c>
      <c r="Q75" s="18" t="n">
        <v>3.04776653</v>
      </c>
      <c r="R75" s="20" t="n">
        <v>1.11307652</v>
      </c>
    </row>
    <row r="76" spans="1:18">
      <c r="A76" s="15" t="s">
        <v>500</v>
      </c>
      <c r="B76" s="17" t="n">
        <v>7052</v>
      </c>
      <c r="C76" s="18">
        <f>(6200.0/B76*100)</f>
        <v/>
      </c>
      <c r="D76" s="19" t="n">
        <v>852</v>
      </c>
      <c r="E76" s="18" t="n">
        <v>22.71493349</v>
      </c>
      <c r="F76" s="20" t="n">
        <v>1.84575383</v>
      </c>
      <c r="G76" s="18" t="n">
        <v>73.07981789999999</v>
      </c>
      <c r="H76" s="20" t="n">
        <v>1.93762732</v>
      </c>
      <c r="I76" s="18" t="s">
        <v>431</v>
      </c>
      <c r="J76" s="20" t="s">
        <v>431</v>
      </c>
      <c r="K76" s="18" t="n">
        <v>0.9853623500000001</v>
      </c>
      <c r="L76" s="20" t="n">
        <v>0.38653418</v>
      </c>
      <c r="M76" s="18" t="n">
        <v>0</v>
      </c>
      <c r="N76" s="20" t="n">
        <v>0</v>
      </c>
      <c r="O76" s="18" t="n">
        <v>0</v>
      </c>
      <c r="P76" s="20" t="n">
        <v>0</v>
      </c>
      <c r="Q76" s="18" t="n">
        <v>3.21988626</v>
      </c>
      <c r="R76" s="20" t="n">
        <v>0.93096832</v>
      </c>
    </row>
    <row r="77" spans="1:18">
      <c r="A77" s="15" t="s">
        <v>501</v>
      </c>
      <c r="B77" s="17" t="n">
        <v>2908</v>
      </c>
      <c r="C77" s="18">
        <f>(2567.0/B77*100)</f>
        <v/>
      </c>
      <c r="D77" s="19" t="n">
        <v>341</v>
      </c>
      <c r="E77" s="18" t="n">
        <v>29.33643211</v>
      </c>
      <c r="F77" s="20" t="n">
        <v>2.62464531</v>
      </c>
      <c r="G77" s="18" t="n">
        <v>67.25767139</v>
      </c>
      <c r="H77" s="20" t="n">
        <v>2.6140942</v>
      </c>
      <c r="I77" s="18" t="s">
        <v>431</v>
      </c>
      <c r="J77" s="20" t="s">
        <v>431</v>
      </c>
      <c r="K77" s="18" t="n">
        <v>1.27850434</v>
      </c>
      <c r="L77" s="20" t="n">
        <v>0.61558004</v>
      </c>
      <c r="M77" s="18" t="n">
        <v>0</v>
      </c>
      <c r="N77" s="20" t="n">
        <v>0</v>
      </c>
      <c r="O77" s="18" t="n">
        <v>0</v>
      </c>
      <c r="P77" s="20" t="n">
        <v>0</v>
      </c>
      <c r="Q77" s="18" t="n">
        <v>2.12739216</v>
      </c>
      <c r="R77" s="20" t="n">
        <v>0.85258932</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(3630.0/B81*100)</f>
        <v/>
      </c>
      <c r="D81" s="19" t="n">
        <v>533</v>
      </c>
      <c r="E81" s="18" t="n">
        <v>18.07146265</v>
      </c>
      <c r="F81" s="20" t="n">
        <v>1.95661775</v>
      </c>
      <c r="G81" s="18" t="n">
        <v>81.70643267</v>
      </c>
      <c r="H81" s="20" t="n">
        <v>1.96507032</v>
      </c>
      <c r="I81" s="18" t="s">
        <v>431</v>
      </c>
      <c r="J81" s="20" t="s">
        <v>431</v>
      </c>
      <c r="K81" s="18" t="n">
        <v>0.18125864</v>
      </c>
      <c r="L81" s="20" t="n">
        <v>0.17552537</v>
      </c>
      <c r="M81" s="18" t="n">
        <v>0</v>
      </c>
      <c r="N81" s="20" t="n">
        <v>0</v>
      </c>
      <c r="O81" s="18" t="n">
        <v>0</v>
      </c>
      <c r="P81" s="20" t="n">
        <v>0</v>
      </c>
      <c r="Q81" s="18" t="n">
        <v>0.04084604</v>
      </c>
      <c r="R81" s="20" t="n">
        <v>0.04044865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(6465.0/B7*100)</f>
        <v/>
      </c>
      <c r="D7" s="19" t="n">
        <v>902</v>
      </c>
      <c r="E7" s="18" t="n">
        <v>48.19268409</v>
      </c>
      <c r="F7" s="20" t="n">
        <v>1.82771097</v>
      </c>
      <c r="G7" s="18" t="n">
        <v>50.17826833</v>
      </c>
      <c r="H7" s="20" t="n">
        <v>1.85777272</v>
      </c>
      <c r="I7" s="18" t="s">
        <v>431</v>
      </c>
      <c r="J7" s="20" t="s">
        <v>431</v>
      </c>
      <c r="K7" s="18" t="n">
        <v>0.61972935</v>
      </c>
      <c r="L7" s="20" t="n">
        <v>0.34523454</v>
      </c>
      <c r="M7" s="18" t="n">
        <v>0</v>
      </c>
      <c r="N7" s="20" t="n">
        <v>0</v>
      </c>
      <c r="O7" s="18" t="n">
        <v>0</v>
      </c>
      <c r="P7" s="20" t="n">
        <v>0</v>
      </c>
      <c r="Q7" s="18" t="n">
        <v>1.00931823</v>
      </c>
      <c r="R7" s="20" t="n">
        <v>0.36625134</v>
      </c>
    </row>
    <row r="8" spans="1:18">
      <c r="A8" s="15" t="s">
        <v>432</v>
      </c>
      <c r="B8" s="17" t="n">
        <v>3564</v>
      </c>
      <c r="C8" s="18">
        <f>(3143.0/B8*100)</f>
        <v/>
      </c>
      <c r="D8" s="19" t="n">
        <v>421</v>
      </c>
      <c r="E8" s="18" t="n">
        <v>38.84159041</v>
      </c>
      <c r="F8" s="20" t="n">
        <v>2.33956536</v>
      </c>
      <c r="G8" s="18" t="n">
        <v>60.36705038</v>
      </c>
      <c r="H8" s="20" t="n">
        <v>2.42642064</v>
      </c>
      <c r="I8" s="18" t="s">
        <v>431</v>
      </c>
      <c r="J8" s="20" t="s">
        <v>431</v>
      </c>
      <c r="K8" s="18" t="n">
        <v>0</v>
      </c>
      <c r="L8" s="20" t="n">
        <v>0</v>
      </c>
      <c r="M8" s="18" t="n">
        <v>0</v>
      </c>
      <c r="N8" s="20" t="n">
        <v>0</v>
      </c>
      <c r="O8" s="18" t="n">
        <v>0</v>
      </c>
      <c r="P8" s="20" t="n">
        <v>0</v>
      </c>
      <c r="Q8" s="18" t="n">
        <v>0.7913592</v>
      </c>
      <c r="R8" s="20" t="n">
        <v>0.44984534</v>
      </c>
    </row>
    <row r="9" spans="1:18">
      <c r="A9" s="15" t="s">
        <v>433</v>
      </c>
      <c r="B9" s="17" t="n">
        <v>4899</v>
      </c>
      <c r="C9" s="18">
        <f>(4329.0/B9*100)</f>
        <v/>
      </c>
      <c r="D9" s="19" t="n">
        <v>570</v>
      </c>
      <c r="E9" s="18" t="n">
        <v>36.59870594</v>
      </c>
      <c r="F9" s="20" t="n">
        <v>2.15831032</v>
      </c>
      <c r="G9" s="18" t="n">
        <v>62.10885462</v>
      </c>
      <c r="H9" s="20" t="n">
        <v>2.17340848</v>
      </c>
      <c r="I9" s="18" t="s">
        <v>431</v>
      </c>
      <c r="J9" s="20" t="s">
        <v>431</v>
      </c>
      <c r="K9" s="18" t="n">
        <v>0</v>
      </c>
      <c r="L9" s="20" t="n">
        <v>0</v>
      </c>
      <c r="M9" s="18" t="n">
        <v>0</v>
      </c>
      <c r="N9" s="20" t="n">
        <v>0</v>
      </c>
      <c r="O9" s="18" t="n">
        <v>0</v>
      </c>
      <c r="P9" s="20" t="n">
        <v>0</v>
      </c>
      <c r="Q9" s="18" t="n">
        <v>1.29243944</v>
      </c>
      <c r="R9" s="20" t="n">
        <v>0.46790881</v>
      </c>
    </row>
    <row r="10" spans="1:18">
      <c r="A10" s="15" t="s">
        <v>434</v>
      </c>
      <c r="B10" s="17" t="n">
        <v>10036</v>
      </c>
      <c r="C10" s="18">
        <f>(8791.0/B10*100)</f>
        <v/>
      </c>
      <c r="D10" s="19" t="n">
        <v>1245</v>
      </c>
      <c r="E10" s="18" t="n">
        <v>40.70982635</v>
      </c>
      <c r="F10" s="20" t="n">
        <v>2.18486186</v>
      </c>
      <c r="G10" s="18" t="n">
        <v>57.77971927</v>
      </c>
      <c r="H10" s="20" t="n">
        <v>2.30126367</v>
      </c>
      <c r="I10" s="18" t="s">
        <v>431</v>
      </c>
      <c r="J10" s="20" t="s">
        <v>431</v>
      </c>
      <c r="K10" s="18" t="n">
        <v>0.54307681</v>
      </c>
      <c r="L10" s="20" t="n">
        <v>0.29239598</v>
      </c>
      <c r="M10" s="18" t="n">
        <v>0</v>
      </c>
      <c r="N10" s="20" t="n">
        <v>0</v>
      </c>
      <c r="O10" s="18" t="n">
        <v>0</v>
      </c>
      <c r="P10" s="20" t="n">
        <v>0</v>
      </c>
      <c r="Q10" s="18" t="n">
        <v>0.96737757</v>
      </c>
      <c r="R10" s="20" t="n">
        <v>0.30134623</v>
      </c>
    </row>
    <row r="11" spans="1:18">
      <c r="A11" s="15" t="s">
        <v>435</v>
      </c>
      <c r="B11" s="17" t="n">
        <v>3553</v>
      </c>
      <c r="C11" s="18">
        <f>(3135.0/B11*100)</f>
        <v/>
      </c>
      <c r="D11" s="19" t="n">
        <v>418</v>
      </c>
      <c r="E11" s="18" t="n">
        <v>54.73390027</v>
      </c>
      <c r="F11" s="20" t="n">
        <v>3.13379076</v>
      </c>
      <c r="G11" s="18" t="n">
        <v>42.68192792</v>
      </c>
      <c r="H11" s="20" t="n">
        <v>3.26178086</v>
      </c>
      <c r="I11" s="18" t="s">
        <v>431</v>
      </c>
      <c r="J11" s="20" t="s">
        <v>431</v>
      </c>
      <c r="K11" s="18" t="n">
        <v>1.74976284</v>
      </c>
      <c r="L11" s="20" t="n">
        <v>0.7764677800000001</v>
      </c>
      <c r="M11" s="18" t="n">
        <v>0</v>
      </c>
      <c r="N11" s="20" t="n">
        <v>0</v>
      </c>
      <c r="O11" s="18" t="n">
        <v>0</v>
      </c>
      <c r="P11" s="20" t="n">
        <v>0</v>
      </c>
      <c r="Q11" s="18" t="n">
        <v>0.83440897</v>
      </c>
      <c r="R11" s="20" t="n">
        <v>0.48962084</v>
      </c>
    </row>
    <row r="12" spans="1:18">
      <c r="A12" s="15" t="s">
        <v>436</v>
      </c>
      <c r="B12" s="17" t="n">
        <v>3472</v>
      </c>
      <c r="C12" s="18">
        <f>(3110.0/B12*100)</f>
        <v/>
      </c>
      <c r="D12" s="19" t="n">
        <v>362</v>
      </c>
      <c r="E12" s="18" t="n">
        <v>46.73008637</v>
      </c>
      <c r="F12" s="20" t="n">
        <v>3.10013243</v>
      </c>
      <c r="G12" s="18" t="n">
        <v>52.47215684</v>
      </c>
      <c r="H12" s="20" t="n">
        <v>3.12984154</v>
      </c>
      <c r="I12" s="18" t="s">
        <v>431</v>
      </c>
      <c r="J12" s="20" t="s">
        <v>431</v>
      </c>
      <c r="K12" s="18" t="n">
        <v>0.79775679</v>
      </c>
      <c r="L12" s="20" t="n">
        <v>0.86254157</v>
      </c>
      <c r="M12" s="18" t="n">
        <v>0</v>
      </c>
      <c r="N12" s="20" t="n">
        <v>0</v>
      </c>
      <c r="O12" s="18" t="n">
        <v>0</v>
      </c>
      <c r="P12" s="20" t="n">
        <v>0</v>
      </c>
      <c r="Q12" s="18" t="n">
        <v>0</v>
      </c>
      <c r="R12" s="20" t="n">
        <v>0</v>
      </c>
    </row>
    <row r="13" spans="1:18">
      <c r="A13" s="15" t="s">
        <v>437</v>
      </c>
      <c r="B13" s="17" t="n">
        <v>3559</v>
      </c>
      <c r="C13" s="18">
        <f>(3154.0/B13*100)</f>
        <v/>
      </c>
      <c r="D13" s="19" t="n">
        <v>405</v>
      </c>
      <c r="E13" s="18" t="n">
        <v>34.41028872</v>
      </c>
      <c r="F13" s="20" t="n">
        <v>2.63563315</v>
      </c>
      <c r="G13" s="18" t="n">
        <v>64.94477814</v>
      </c>
      <c r="H13" s="20" t="n">
        <v>2.69437264</v>
      </c>
      <c r="I13" s="18" t="s">
        <v>431</v>
      </c>
      <c r="J13" s="20" t="s">
        <v>431</v>
      </c>
      <c r="K13" s="18" t="n">
        <v>0</v>
      </c>
      <c r="L13" s="20" t="n">
        <v>0</v>
      </c>
      <c r="M13" s="18" t="n">
        <v>0</v>
      </c>
      <c r="N13" s="20" t="n">
        <v>0</v>
      </c>
      <c r="O13" s="18" t="n">
        <v>0</v>
      </c>
      <c r="P13" s="20" t="n">
        <v>0</v>
      </c>
      <c r="Q13" s="18" t="n">
        <v>0.64493314</v>
      </c>
      <c r="R13" s="20" t="n">
        <v>0.55752371</v>
      </c>
    </row>
    <row r="14" spans="1:18">
      <c r="A14" s="15" t="s">
        <v>438</v>
      </c>
      <c r="B14" s="17" t="n">
        <v>2799</v>
      </c>
      <c r="C14" s="18">
        <f>(2451.0/B14*100)</f>
        <v/>
      </c>
      <c r="D14" s="19" t="n">
        <v>348</v>
      </c>
      <c r="E14" s="18" t="n">
        <v>37.91841678</v>
      </c>
      <c r="F14" s="20" t="n">
        <v>2.83995593</v>
      </c>
      <c r="G14" s="18" t="n">
        <v>61.53417647</v>
      </c>
      <c r="H14" s="20" t="n">
        <v>2.89098732</v>
      </c>
      <c r="I14" s="18" t="s">
        <v>431</v>
      </c>
      <c r="J14" s="20" t="s">
        <v>431</v>
      </c>
      <c r="K14" s="18" t="n">
        <v>0.31219807</v>
      </c>
      <c r="L14" s="20" t="n">
        <v>0.31254451</v>
      </c>
      <c r="M14" s="18" t="n">
        <v>0</v>
      </c>
      <c r="N14" s="20" t="n">
        <v>0</v>
      </c>
      <c r="O14" s="18" t="n">
        <v>0</v>
      </c>
      <c r="P14" s="20" t="n">
        <v>0</v>
      </c>
      <c r="Q14" s="18" t="n">
        <v>0.23520868</v>
      </c>
      <c r="R14" s="20" t="n">
        <v>0.23420274</v>
      </c>
    </row>
    <row r="15" spans="1:18">
      <c r="A15" s="15" t="s">
        <v>439</v>
      </c>
      <c r="B15" s="17" t="n">
        <v>3019</v>
      </c>
      <c r="C15" s="18">
        <f>(2649.0/B15*100)</f>
        <v/>
      </c>
      <c r="D15" s="19" t="n">
        <v>370</v>
      </c>
      <c r="E15" s="18" t="n">
        <v>37.20660599</v>
      </c>
      <c r="F15" s="20" t="n">
        <v>2.62918162</v>
      </c>
      <c r="G15" s="18" t="n">
        <v>62.02290438</v>
      </c>
      <c r="H15" s="20" t="n">
        <v>2.70991832</v>
      </c>
      <c r="I15" s="18" t="s">
        <v>431</v>
      </c>
      <c r="J15" s="20" t="s">
        <v>431</v>
      </c>
      <c r="K15" s="18" t="n">
        <v>0</v>
      </c>
      <c r="L15" s="20" t="n">
        <v>0</v>
      </c>
      <c r="M15" s="18" t="n">
        <v>0</v>
      </c>
      <c r="N15" s="20" t="n">
        <v>0</v>
      </c>
      <c r="O15" s="18" t="n">
        <v>0</v>
      </c>
      <c r="P15" s="20" t="n">
        <v>0</v>
      </c>
      <c r="Q15" s="18" t="n">
        <v>0.77048963</v>
      </c>
      <c r="R15" s="20" t="n">
        <v>0.44505369</v>
      </c>
    </row>
    <row r="16" spans="1:18">
      <c r="A16" s="15" t="s">
        <v>440</v>
      </c>
      <c r="B16" s="17" t="n">
        <v>2997</v>
      </c>
      <c r="C16" s="18">
        <f>(2645.0/B16*100)</f>
        <v/>
      </c>
      <c r="D16" s="19" t="n">
        <v>352</v>
      </c>
      <c r="E16" s="18" t="n">
        <v>35.05750148</v>
      </c>
      <c r="F16" s="20" t="n">
        <v>2.18325983</v>
      </c>
      <c r="G16" s="18" t="n">
        <v>63.30465761</v>
      </c>
      <c r="H16" s="20" t="n">
        <v>2.11090203</v>
      </c>
      <c r="I16" s="18" t="s">
        <v>431</v>
      </c>
      <c r="J16" s="20" t="s">
        <v>431</v>
      </c>
      <c r="K16" s="18" t="n">
        <v>0.25174339</v>
      </c>
      <c r="L16" s="20" t="n">
        <v>0.25184034</v>
      </c>
      <c r="M16" s="18" t="n">
        <v>0</v>
      </c>
      <c r="N16" s="20" t="n">
        <v>0</v>
      </c>
      <c r="O16" s="18" t="n">
        <v>0</v>
      </c>
      <c r="P16" s="20" t="n">
        <v>0</v>
      </c>
      <c r="Q16" s="18" t="n">
        <v>1.38609753</v>
      </c>
      <c r="R16" s="20" t="n">
        <v>0.58684255</v>
      </c>
    </row>
    <row r="17" spans="1:18">
      <c r="A17" s="15" t="s">
        <v>441</v>
      </c>
      <c r="B17" s="17" t="n">
        <v>3307</v>
      </c>
      <c r="C17" s="18">
        <f>(2911.0/B17*100)</f>
        <v/>
      </c>
      <c r="D17" s="19" t="n">
        <v>396</v>
      </c>
      <c r="E17" s="18" t="n">
        <v>34.80552002</v>
      </c>
      <c r="F17" s="20" t="n">
        <v>2.50578639</v>
      </c>
      <c r="G17" s="18" t="n">
        <v>63.53186523</v>
      </c>
      <c r="H17" s="20" t="n">
        <v>2.57843881</v>
      </c>
      <c r="I17" s="18" t="s">
        <v>431</v>
      </c>
      <c r="J17" s="20" t="s">
        <v>431</v>
      </c>
      <c r="K17" s="18" t="n">
        <v>1.00481726</v>
      </c>
      <c r="L17" s="20" t="n">
        <v>0.51148182</v>
      </c>
      <c r="M17" s="18" t="n">
        <v>0</v>
      </c>
      <c r="N17" s="20" t="n">
        <v>0</v>
      </c>
      <c r="O17" s="18" t="n">
        <v>0</v>
      </c>
      <c r="P17" s="20" t="n">
        <v>0</v>
      </c>
      <c r="Q17" s="18" t="n">
        <v>0.65779749</v>
      </c>
      <c r="R17" s="20" t="n">
        <v>0.37723445</v>
      </c>
    </row>
    <row r="18" spans="1:18">
      <c r="A18" s="15" t="s">
        <v>442</v>
      </c>
      <c r="B18" s="17" t="n">
        <v>2826</v>
      </c>
      <c r="C18" s="18">
        <f>(2485.0/B18*100)</f>
        <v/>
      </c>
      <c r="D18" s="19" t="n">
        <v>341</v>
      </c>
      <c r="E18" s="18" t="n">
        <v>44.68836914</v>
      </c>
      <c r="F18" s="20" t="n">
        <v>3.30242305</v>
      </c>
      <c r="G18" s="18" t="n">
        <v>53.11428648</v>
      </c>
      <c r="H18" s="20" t="n">
        <v>3.22318926</v>
      </c>
      <c r="I18" s="18" t="s">
        <v>431</v>
      </c>
      <c r="J18" s="20" t="s">
        <v>431</v>
      </c>
      <c r="K18" s="18" t="n">
        <v>0.9414695199999999</v>
      </c>
      <c r="L18" s="20" t="n">
        <v>0.47774602</v>
      </c>
      <c r="M18" s="18" t="n">
        <v>0</v>
      </c>
      <c r="N18" s="20" t="n">
        <v>0</v>
      </c>
      <c r="O18" s="18" t="n">
        <v>0</v>
      </c>
      <c r="P18" s="20" t="n">
        <v>0</v>
      </c>
      <c r="Q18" s="18" t="n">
        <v>1.25587486</v>
      </c>
      <c r="R18" s="20" t="n">
        <v>0.6022137400000001</v>
      </c>
    </row>
    <row r="19" spans="1:18">
      <c r="A19" s="15" t="s">
        <v>443</v>
      </c>
      <c r="B19" s="17" t="n">
        <v>2808</v>
      </c>
      <c r="C19" s="18">
        <f>(2480.0/B19*100)</f>
        <v/>
      </c>
      <c r="D19" s="19" t="n">
        <v>328</v>
      </c>
      <c r="E19" s="18" t="n">
        <v>48.25482055</v>
      </c>
      <c r="F19" s="20" t="n">
        <v>2.73133796</v>
      </c>
      <c r="G19" s="18" t="n">
        <v>50.93732083</v>
      </c>
      <c r="H19" s="20" t="n">
        <v>2.6850049</v>
      </c>
      <c r="I19" s="18" t="s">
        <v>431</v>
      </c>
      <c r="J19" s="20" t="s">
        <v>431</v>
      </c>
      <c r="K19" s="18" t="n">
        <v>0</v>
      </c>
      <c r="L19" s="20" t="n">
        <v>0</v>
      </c>
      <c r="M19" s="18" t="n">
        <v>0</v>
      </c>
      <c r="N19" s="20" t="n">
        <v>0</v>
      </c>
      <c r="O19" s="18" t="n">
        <v>0</v>
      </c>
      <c r="P19" s="20" t="n">
        <v>0</v>
      </c>
      <c r="Q19" s="18" t="n">
        <v>0.80785862</v>
      </c>
      <c r="R19" s="20" t="n">
        <v>0.42220152</v>
      </c>
    </row>
    <row r="20" spans="1:18">
      <c r="A20" s="15" t="s">
        <v>444</v>
      </c>
      <c r="B20" s="17" t="n">
        <v>1630</v>
      </c>
      <c r="C20" s="18">
        <f>(1441.0/B20*100)</f>
        <v/>
      </c>
      <c r="D20" s="19" t="n">
        <v>189</v>
      </c>
      <c r="E20" s="18" t="n">
        <v>44.45340679</v>
      </c>
      <c r="F20" s="20" t="n">
        <v>3.56122184</v>
      </c>
      <c r="G20" s="18" t="n">
        <v>54.57763848</v>
      </c>
      <c r="H20" s="20" t="n">
        <v>3.49964011</v>
      </c>
      <c r="I20" s="18" t="s">
        <v>431</v>
      </c>
      <c r="J20" s="20" t="s">
        <v>431</v>
      </c>
      <c r="K20" s="18" t="n">
        <v>0.96895474</v>
      </c>
      <c r="L20" s="20" t="n">
        <v>0.68334097</v>
      </c>
      <c r="M20" s="18" t="n">
        <v>0</v>
      </c>
      <c r="N20" s="20" t="n">
        <v>0</v>
      </c>
      <c r="O20" s="18" t="n">
        <v>0</v>
      </c>
      <c r="P20" s="20" t="n">
        <v>0</v>
      </c>
      <c r="Q20" s="18" t="n">
        <v>0</v>
      </c>
      <c r="R20" s="20" t="n">
        <v>0</v>
      </c>
    </row>
    <row r="21" spans="1:18">
      <c r="A21" s="15" t="s">
        <v>445</v>
      </c>
      <c r="B21" s="17" t="n">
        <v>2908</v>
      </c>
      <c r="C21" s="18">
        <f>(2430.0/B21*100)</f>
        <v/>
      </c>
      <c r="D21" s="19" t="n">
        <v>478</v>
      </c>
      <c r="E21" s="18" t="n">
        <v>44.38071416</v>
      </c>
      <c r="F21" s="20" t="n">
        <v>2.95549576</v>
      </c>
      <c r="G21" s="18" t="n">
        <v>54.79186412</v>
      </c>
      <c r="H21" s="20" t="n">
        <v>2.93369967</v>
      </c>
      <c r="I21" s="18" t="s">
        <v>431</v>
      </c>
      <c r="J21" s="20" t="s">
        <v>431</v>
      </c>
      <c r="K21" s="18" t="n">
        <v>0.1741123</v>
      </c>
      <c r="L21" s="20" t="n">
        <v>0.12331533</v>
      </c>
      <c r="M21" s="18" t="n">
        <v>0</v>
      </c>
      <c r="N21" s="20" t="n">
        <v>0</v>
      </c>
      <c r="O21" s="18" t="n">
        <v>0</v>
      </c>
      <c r="P21" s="20" t="n">
        <v>0</v>
      </c>
      <c r="Q21" s="18" t="n">
        <v>0.65330942</v>
      </c>
      <c r="R21" s="20" t="n">
        <v>0.37803377</v>
      </c>
    </row>
    <row r="22" spans="1:18">
      <c r="A22" s="15" t="s">
        <v>446</v>
      </c>
      <c r="B22" s="17" t="n">
        <v>2931</v>
      </c>
      <c r="C22" s="18">
        <f>(2592.0/B22*100)</f>
        <v/>
      </c>
      <c r="D22" s="19" t="n">
        <v>339</v>
      </c>
      <c r="E22" s="18" t="n">
        <v>31.19897146</v>
      </c>
      <c r="F22" s="20" t="n">
        <v>3.2928625</v>
      </c>
      <c r="G22" s="18" t="n">
        <v>65.98086106</v>
      </c>
      <c r="H22" s="20" t="n">
        <v>3.5160979</v>
      </c>
      <c r="I22" s="18" t="s">
        <v>431</v>
      </c>
      <c r="J22" s="20" t="s">
        <v>431</v>
      </c>
      <c r="K22" s="18" t="n">
        <v>0.4611943</v>
      </c>
      <c r="L22" s="20" t="n">
        <v>0.32675031</v>
      </c>
      <c r="M22" s="18" t="n">
        <v>0</v>
      </c>
      <c r="N22" s="20" t="n">
        <v>0</v>
      </c>
      <c r="O22" s="18" t="n">
        <v>0</v>
      </c>
      <c r="P22" s="20" t="n">
        <v>0</v>
      </c>
      <c r="Q22" s="18" t="n">
        <v>2.35897318</v>
      </c>
      <c r="R22" s="20" t="n">
        <v>1.23205299</v>
      </c>
    </row>
    <row r="23" spans="1:18">
      <c r="A23" s="15" t="s">
        <v>447</v>
      </c>
      <c r="B23" s="17" t="n">
        <v>5791</v>
      </c>
      <c r="C23" s="18">
        <f>(5054.0/B23*100)</f>
        <v/>
      </c>
      <c r="D23" s="19" t="n">
        <v>737</v>
      </c>
      <c r="E23" s="18" t="n">
        <v>39.95541499</v>
      </c>
      <c r="F23" s="20" t="n">
        <v>2.35624509</v>
      </c>
      <c r="G23" s="18" t="n">
        <v>58.51567469</v>
      </c>
      <c r="H23" s="20" t="n">
        <v>2.28088633</v>
      </c>
      <c r="I23" s="18" t="s">
        <v>431</v>
      </c>
      <c r="J23" s="20" t="s">
        <v>431</v>
      </c>
      <c r="K23" s="18" t="n">
        <v>0</v>
      </c>
      <c r="L23" s="20" t="n">
        <v>0</v>
      </c>
      <c r="M23" s="18" t="n">
        <v>0</v>
      </c>
      <c r="N23" s="20" t="n">
        <v>0</v>
      </c>
      <c r="O23" s="18" t="n">
        <v>0</v>
      </c>
      <c r="P23" s="20" t="n">
        <v>0</v>
      </c>
      <c r="Q23" s="18" t="n">
        <v>1.52891032</v>
      </c>
      <c r="R23" s="20" t="n">
        <v>0.78001121</v>
      </c>
    </row>
    <row r="24" spans="1:18">
      <c r="A24" s="15" t="s">
        <v>448</v>
      </c>
      <c r="B24" s="17" t="n">
        <v>3338</v>
      </c>
      <c r="C24" s="18">
        <f>(2942.0/B24*100)</f>
        <v/>
      </c>
      <c r="D24" s="19" t="n">
        <v>396</v>
      </c>
      <c r="E24" s="18" t="n">
        <v>57.95166996</v>
      </c>
      <c r="F24" s="20" t="n">
        <v>2.33085184</v>
      </c>
      <c r="G24" s="18" t="n">
        <v>40.89822691</v>
      </c>
      <c r="H24" s="20" t="n">
        <v>2.22287472</v>
      </c>
      <c r="I24" s="18" t="s">
        <v>431</v>
      </c>
      <c r="J24" s="20" t="s">
        <v>431</v>
      </c>
      <c r="K24" s="18" t="n">
        <v>0.46387895</v>
      </c>
      <c r="L24" s="20" t="n">
        <v>0.32633677</v>
      </c>
      <c r="M24" s="18" t="n">
        <v>0</v>
      </c>
      <c r="N24" s="20" t="n">
        <v>0</v>
      </c>
      <c r="O24" s="18" t="n">
        <v>0</v>
      </c>
      <c r="P24" s="20" t="n">
        <v>0</v>
      </c>
      <c r="Q24" s="18" t="n">
        <v>0.68622418</v>
      </c>
      <c r="R24" s="20" t="n">
        <v>0.52140683</v>
      </c>
    </row>
    <row r="25" spans="1:18">
      <c r="A25" s="15" t="s">
        <v>449</v>
      </c>
      <c r="B25" s="17" t="n">
        <v>2912</v>
      </c>
      <c r="C25" s="18">
        <f>(2569.0/B25*100)</f>
        <v/>
      </c>
      <c r="D25" s="19" t="n">
        <v>343</v>
      </c>
      <c r="E25" s="18" t="n">
        <v>47.76138131</v>
      </c>
      <c r="F25" s="20" t="n">
        <v>2.68497973</v>
      </c>
      <c r="G25" s="18" t="n">
        <v>50.48918154</v>
      </c>
      <c r="H25" s="20" t="n">
        <v>2.74514689</v>
      </c>
      <c r="I25" s="18" t="s">
        <v>431</v>
      </c>
      <c r="J25" s="20" t="s">
        <v>431</v>
      </c>
      <c r="K25" s="18" t="n">
        <v>0.2678666</v>
      </c>
      <c r="L25" s="20" t="n">
        <v>0.26818357</v>
      </c>
      <c r="M25" s="18" t="n">
        <v>0</v>
      </c>
      <c r="N25" s="20" t="n">
        <v>0</v>
      </c>
      <c r="O25" s="18" t="n">
        <v>0</v>
      </c>
      <c r="P25" s="20" t="n">
        <v>0</v>
      </c>
      <c r="Q25" s="18" t="n">
        <v>1.48157055</v>
      </c>
      <c r="R25" s="20" t="n">
        <v>0.66739003</v>
      </c>
    </row>
    <row r="26" spans="1:18">
      <c r="A26" s="15" t="s">
        <v>450</v>
      </c>
      <c r="B26" s="17" t="n">
        <v>2450</v>
      </c>
      <c r="C26" s="18">
        <f>(2139.0/B26*100)</f>
        <v/>
      </c>
      <c r="D26" s="19" t="n">
        <v>311</v>
      </c>
      <c r="E26" s="18" t="n">
        <v>53.87729</v>
      </c>
      <c r="F26" s="20" t="n">
        <v>3.24346579</v>
      </c>
      <c r="G26" s="18" t="n">
        <v>45.29303365</v>
      </c>
      <c r="H26" s="20" t="n">
        <v>3.24879913</v>
      </c>
      <c r="I26" s="18" t="s">
        <v>431</v>
      </c>
      <c r="J26" s="20" t="s">
        <v>431</v>
      </c>
      <c r="K26" s="18" t="n">
        <v>0</v>
      </c>
      <c r="L26" s="20" t="n">
        <v>0</v>
      </c>
      <c r="M26" s="18" t="n">
        <v>0</v>
      </c>
      <c r="N26" s="20" t="n">
        <v>0</v>
      </c>
      <c r="O26" s="18" t="n">
        <v>0</v>
      </c>
      <c r="P26" s="20" t="n">
        <v>0</v>
      </c>
      <c r="Q26" s="18" t="n">
        <v>0.82967635</v>
      </c>
      <c r="R26" s="20" t="n">
        <v>0.58376714</v>
      </c>
    </row>
    <row r="27" spans="1:18">
      <c r="A27" s="15" t="s">
        <v>451</v>
      </c>
      <c r="B27" s="17" t="n">
        <v>2616</v>
      </c>
      <c r="C27" s="18">
        <f>(2301.0/B27*100)</f>
        <v/>
      </c>
      <c r="D27" s="19" t="n">
        <v>315</v>
      </c>
      <c r="E27" s="18" t="n">
        <v>41.37145346</v>
      </c>
      <c r="F27" s="20" t="n">
        <v>2.58797843</v>
      </c>
      <c r="G27" s="18" t="n">
        <v>58.30149837</v>
      </c>
      <c r="H27" s="20" t="n">
        <v>2.63735911</v>
      </c>
      <c r="I27" s="18" t="s">
        <v>431</v>
      </c>
      <c r="J27" s="20" t="s">
        <v>431</v>
      </c>
      <c r="K27" s="18" t="n">
        <v>0.32704816</v>
      </c>
      <c r="L27" s="20" t="n">
        <v>0.32583294</v>
      </c>
      <c r="M27" s="18" t="n">
        <v>0</v>
      </c>
      <c r="N27" s="20" t="n">
        <v>0</v>
      </c>
      <c r="O27" s="18" t="n">
        <v>0</v>
      </c>
      <c r="P27" s="20" t="n">
        <v>0</v>
      </c>
      <c r="Q27" s="18" t="n">
        <v>0</v>
      </c>
      <c r="R27" s="20" t="n">
        <v>0</v>
      </c>
    </row>
    <row r="28" spans="1:18">
      <c r="A28" s="15" t="s">
        <v>452</v>
      </c>
      <c r="B28" s="17" t="n">
        <v>3765</v>
      </c>
      <c r="C28" s="18">
        <f>(3316.0/B28*100)</f>
        <v/>
      </c>
      <c r="D28" s="19" t="n">
        <v>449</v>
      </c>
      <c r="E28" s="18" t="n">
        <v>54.46162606</v>
      </c>
      <c r="F28" s="20" t="n">
        <v>2.61804471</v>
      </c>
      <c r="G28" s="18" t="n">
        <v>43.30067157</v>
      </c>
      <c r="H28" s="20" t="n">
        <v>2.74193849</v>
      </c>
      <c r="I28" s="18" t="s">
        <v>431</v>
      </c>
      <c r="J28" s="20" t="s">
        <v>431</v>
      </c>
      <c r="K28" s="18" t="n">
        <v>1.58204206</v>
      </c>
      <c r="L28" s="20" t="n">
        <v>0.70629533</v>
      </c>
      <c r="M28" s="18" t="n">
        <v>0</v>
      </c>
      <c r="N28" s="20" t="n">
        <v>0</v>
      </c>
      <c r="O28" s="18" t="n">
        <v>0</v>
      </c>
      <c r="P28" s="20" t="n">
        <v>0</v>
      </c>
      <c r="Q28" s="18" t="n">
        <v>0.65566031</v>
      </c>
      <c r="R28" s="20" t="n">
        <v>0.4733179</v>
      </c>
    </row>
    <row r="29" spans="1:18">
      <c r="A29" s="15" t="s">
        <v>453</v>
      </c>
      <c r="B29" s="17" t="n">
        <v>2685</v>
      </c>
      <c r="C29" s="18">
        <f>(2346.0/B29*100)</f>
        <v/>
      </c>
      <c r="D29" s="19" t="n">
        <v>339</v>
      </c>
      <c r="E29" s="18" t="n">
        <v>36.05997446</v>
      </c>
      <c r="F29" s="20" t="n">
        <v>2.86000547</v>
      </c>
      <c r="G29" s="18" t="n">
        <v>63.2142864</v>
      </c>
      <c r="H29" s="20" t="n">
        <v>2.87071128</v>
      </c>
      <c r="I29" s="18" t="s">
        <v>431</v>
      </c>
      <c r="J29" s="20" t="s">
        <v>431</v>
      </c>
      <c r="K29" s="18" t="n">
        <v>0.35523293</v>
      </c>
      <c r="L29" s="20" t="n">
        <v>0.25392862</v>
      </c>
      <c r="M29" s="18" t="n">
        <v>0</v>
      </c>
      <c r="N29" s="20" t="n">
        <v>0</v>
      </c>
      <c r="O29" s="18" t="n">
        <v>0</v>
      </c>
      <c r="P29" s="20" t="n">
        <v>0</v>
      </c>
      <c r="Q29" s="18" t="n">
        <v>0.37050622</v>
      </c>
      <c r="R29" s="20" t="n">
        <v>0.36261037</v>
      </c>
    </row>
    <row r="30" spans="1:18">
      <c r="A30" s="15" t="s">
        <v>454</v>
      </c>
      <c r="B30" s="17" t="n">
        <v>2263</v>
      </c>
      <c r="C30" s="18">
        <f>(1976.0/B30*100)</f>
        <v/>
      </c>
      <c r="D30" s="19" t="n">
        <v>287</v>
      </c>
      <c r="E30" s="18" t="n">
        <v>47.38493001</v>
      </c>
      <c r="F30" s="20" t="n">
        <v>3.12349672</v>
      </c>
      <c r="G30" s="18" t="n">
        <v>50.71673318</v>
      </c>
      <c r="H30" s="20" t="n">
        <v>3.10881153</v>
      </c>
      <c r="I30" s="18" t="s">
        <v>431</v>
      </c>
      <c r="J30" s="20" t="s">
        <v>431</v>
      </c>
      <c r="K30" s="18" t="n">
        <v>1.27280082</v>
      </c>
      <c r="L30" s="20" t="n">
        <v>0.64370541</v>
      </c>
      <c r="M30" s="18" t="n">
        <v>0</v>
      </c>
      <c r="N30" s="20" t="n">
        <v>0</v>
      </c>
      <c r="O30" s="18" t="n">
        <v>0</v>
      </c>
      <c r="P30" s="20" t="n">
        <v>0</v>
      </c>
      <c r="Q30" s="18" t="n">
        <v>0.62553599</v>
      </c>
      <c r="R30" s="20" t="n">
        <v>0.44439114</v>
      </c>
    </row>
    <row r="31" spans="1:18">
      <c r="A31" s="15" t="s">
        <v>455</v>
      </c>
      <c r="B31" s="17" t="n">
        <v>2750</v>
      </c>
      <c r="C31" s="18">
        <f>(2418.0/B31*100)</f>
        <v/>
      </c>
      <c r="D31" s="19" t="n">
        <v>332</v>
      </c>
      <c r="E31" s="18" t="n">
        <v>33.40861429</v>
      </c>
      <c r="F31" s="20" t="n">
        <v>2.56909895</v>
      </c>
      <c r="G31" s="18" t="n">
        <v>64.87549613</v>
      </c>
      <c r="H31" s="20" t="n">
        <v>2.62141039</v>
      </c>
      <c r="I31" s="18" t="s">
        <v>431</v>
      </c>
      <c r="J31" s="20" t="s">
        <v>431</v>
      </c>
      <c r="K31" s="18" t="n">
        <v>0.58234651</v>
      </c>
      <c r="L31" s="20" t="n">
        <v>0.39794017</v>
      </c>
      <c r="M31" s="18" t="n">
        <v>0</v>
      </c>
      <c r="N31" s="20" t="n">
        <v>0</v>
      </c>
      <c r="O31" s="18" t="n">
        <v>0</v>
      </c>
      <c r="P31" s="20" t="n">
        <v>0</v>
      </c>
      <c r="Q31" s="18" t="n">
        <v>1.13354307</v>
      </c>
      <c r="R31" s="20" t="n">
        <v>0.56590654</v>
      </c>
    </row>
    <row r="32" spans="1:18">
      <c r="A32" s="15" t="s">
        <v>456</v>
      </c>
      <c r="B32" s="17" t="n">
        <v>2269</v>
      </c>
      <c r="C32" s="18">
        <f>(1917.0/B32*100)</f>
        <v/>
      </c>
      <c r="D32" s="19" t="n">
        <v>352</v>
      </c>
      <c r="E32" s="18" t="n">
        <v>38.01469788</v>
      </c>
      <c r="F32" s="20" t="n">
        <v>2.27214615</v>
      </c>
      <c r="G32" s="18" t="n">
        <v>61.98530212</v>
      </c>
      <c r="H32" s="20" t="n">
        <v>2.27214615</v>
      </c>
      <c r="I32" s="18" t="s">
        <v>431</v>
      </c>
      <c r="J32" s="20" t="s">
        <v>431</v>
      </c>
      <c r="K32" s="18" t="n">
        <v>0</v>
      </c>
      <c r="L32" s="20" t="n">
        <v>0</v>
      </c>
      <c r="M32" s="18" t="n">
        <v>0</v>
      </c>
      <c r="N32" s="20" t="n">
        <v>0</v>
      </c>
      <c r="O32" s="18" t="n">
        <v>0</v>
      </c>
      <c r="P32" s="20" t="n">
        <v>0</v>
      </c>
      <c r="Q32" s="18" t="n">
        <v>0</v>
      </c>
      <c r="R32" s="20" t="n">
        <v>0</v>
      </c>
    </row>
    <row r="33" spans="1:18">
      <c r="A33" s="15" t="s">
        <v>457</v>
      </c>
      <c r="B33" s="17" t="n">
        <v>3674</v>
      </c>
      <c r="C33" s="18">
        <f>(3235.0/B33*100)</f>
        <v/>
      </c>
      <c r="D33" s="19" t="n">
        <v>439</v>
      </c>
      <c r="E33" s="18" t="n">
        <v>44.08214052</v>
      </c>
      <c r="F33" s="20" t="n">
        <v>2.51356087</v>
      </c>
      <c r="G33" s="18" t="n">
        <v>55.11827849</v>
      </c>
      <c r="H33" s="20" t="n">
        <v>2.461199</v>
      </c>
      <c r="I33" s="18" t="s">
        <v>431</v>
      </c>
      <c r="J33" s="20" t="s">
        <v>431</v>
      </c>
      <c r="K33" s="18" t="n">
        <v>0.32882809</v>
      </c>
      <c r="L33" s="20" t="n">
        <v>0.28793645</v>
      </c>
      <c r="M33" s="18" t="n">
        <v>0</v>
      </c>
      <c r="N33" s="20" t="n">
        <v>0</v>
      </c>
      <c r="O33" s="18" t="n">
        <v>0</v>
      </c>
      <c r="P33" s="20" t="n">
        <v>0</v>
      </c>
      <c r="Q33" s="18" t="n">
        <v>0.47075291</v>
      </c>
      <c r="R33" s="20" t="n">
        <v>0.33187019</v>
      </c>
    </row>
    <row r="34" spans="1:18">
      <c r="A34" s="15" t="s">
        <v>458</v>
      </c>
      <c r="B34" s="17" t="n">
        <v>3315</v>
      </c>
      <c r="C34" s="18">
        <f>(2930.0/B34*100)</f>
        <v/>
      </c>
      <c r="D34" s="19" t="n">
        <v>385</v>
      </c>
      <c r="E34" s="18" t="n">
        <v>55.67760697</v>
      </c>
      <c r="F34" s="20" t="n">
        <v>2.74348443</v>
      </c>
      <c r="G34" s="18" t="n">
        <v>43.36749708</v>
      </c>
      <c r="H34" s="20" t="n">
        <v>2.75569237</v>
      </c>
      <c r="I34" s="18" t="s">
        <v>431</v>
      </c>
      <c r="J34" s="20" t="s">
        <v>431</v>
      </c>
      <c r="K34" s="18" t="n">
        <v>0.41717281</v>
      </c>
      <c r="L34" s="20" t="n">
        <v>0.41503889</v>
      </c>
      <c r="M34" s="18" t="n">
        <v>0</v>
      </c>
      <c r="N34" s="20" t="n">
        <v>0</v>
      </c>
      <c r="O34" s="18" t="n">
        <v>0</v>
      </c>
      <c r="P34" s="20" t="n">
        <v>0</v>
      </c>
      <c r="Q34" s="18" t="n">
        <v>0.53772314</v>
      </c>
      <c r="R34" s="20" t="n">
        <v>0.34557938</v>
      </c>
    </row>
    <row r="35" spans="1:18">
      <c r="A35" s="15" t="s">
        <v>459</v>
      </c>
      <c r="B35" s="17" t="n">
        <v>3505</v>
      </c>
      <c r="C35" s="18">
        <f>(3100.0/B35*100)</f>
        <v/>
      </c>
      <c r="D35" s="19" t="n">
        <v>405</v>
      </c>
      <c r="E35" s="18" t="n">
        <v>39.29084076</v>
      </c>
      <c r="F35" s="20" t="n">
        <v>2.80810224</v>
      </c>
      <c r="G35" s="18" t="n">
        <v>60.59937953</v>
      </c>
      <c r="H35" s="20" t="n">
        <v>2.81087888</v>
      </c>
      <c r="I35" s="18" t="s">
        <v>431</v>
      </c>
      <c r="J35" s="20" t="s">
        <v>431</v>
      </c>
      <c r="K35" s="18" t="n">
        <v>0</v>
      </c>
      <c r="L35" s="20" t="n">
        <v>0</v>
      </c>
      <c r="M35" s="18" t="n">
        <v>0</v>
      </c>
      <c r="N35" s="20" t="n">
        <v>0</v>
      </c>
      <c r="O35" s="18" t="n">
        <v>0</v>
      </c>
      <c r="P35" s="20" t="n">
        <v>0</v>
      </c>
      <c r="Q35" s="18" t="n">
        <v>0.10977971</v>
      </c>
      <c r="R35" s="20" t="n">
        <v>0.11041048</v>
      </c>
    </row>
    <row r="36" spans="1:18">
      <c r="A36" s="15" t="s">
        <v>460</v>
      </c>
      <c r="B36" s="17" t="n">
        <v>3332</v>
      </c>
      <c r="C36" s="18">
        <f>(2937.0/B36*100)</f>
        <v/>
      </c>
      <c r="D36" s="19" t="n">
        <v>395</v>
      </c>
      <c r="E36" s="18" t="n">
        <v>44.90423349</v>
      </c>
      <c r="F36" s="20" t="n">
        <v>2.80503877</v>
      </c>
      <c r="G36" s="18" t="n">
        <v>53.39456724</v>
      </c>
      <c r="H36" s="20" t="n">
        <v>2.80647966</v>
      </c>
      <c r="I36" s="18" t="s">
        <v>431</v>
      </c>
      <c r="J36" s="20" t="s">
        <v>431</v>
      </c>
      <c r="K36" s="18" t="n">
        <v>0.962568</v>
      </c>
      <c r="L36" s="20" t="n">
        <v>0.5563160700000001</v>
      </c>
      <c r="M36" s="18" t="n">
        <v>0</v>
      </c>
      <c r="N36" s="20" t="n">
        <v>0</v>
      </c>
      <c r="O36" s="18" t="n">
        <v>0</v>
      </c>
      <c r="P36" s="20" t="n">
        <v>0</v>
      </c>
      <c r="Q36" s="18" t="n">
        <v>0.73863126</v>
      </c>
      <c r="R36" s="20" t="n">
        <v>0.36583884</v>
      </c>
    </row>
    <row r="37" spans="1:18">
      <c r="A37" s="15" t="s">
        <v>461</v>
      </c>
      <c r="B37" s="17" t="n">
        <v>2727</v>
      </c>
      <c r="C37" s="18">
        <f>(2384.0/B37*100)</f>
        <v/>
      </c>
      <c r="D37" s="19" t="n">
        <v>343</v>
      </c>
      <c r="E37" s="18" t="n">
        <v>35.99275824</v>
      </c>
      <c r="F37" s="20" t="n">
        <v>3.00442945</v>
      </c>
      <c r="G37" s="18" t="n">
        <v>62.07057776</v>
      </c>
      <c r="H37" s="20" t="n">
        <v>3.00778312</v>
      </c>
      <c r="I37" s="18" t="s">
        <v>431</v>
      </c>
      <c r="J37" s="20" t="s">
        <v>431</v>
      </c>
      <c r="K37" s="18" t="n">
        <v>0.2389326</v>
      </c>
      <c r="L37" s="20" t="n">
        <v>0.24047439</v>
      </c>
      <c r="M37" s="18" t="n">
        <v>0</v>
      </c>
      <c r="N37" s="20" t="n">
        <v>0</v>
      </c>
      <c r="O37" s="18" t="n">
        <v>0</v>
      </c>
      <c r="P37" s="20" t="n">
        <v>0</v>
      </c>
      <c r="Q37" s="18" t="n">
        <v>1.6977314</v>
      </c>
      <c r="R37" s="20" t="n">
        <v>0.69442341</v>
      </c>
    </row>
    <row r="38" spans="1:18">
      <c r="A38" s="15" t="s">
        <v>462</v>
      </c>
      <c r="B38" s="17" t="n">
        <v>3053</v>
      </c>
      <c r="C38" s="18">
        <f>(2572.0/B38*100)</f>
        <v/>
      </c>
      <c r="D38" s="19" t="n">
        <v>481</v>
      </c>
      <c r="E38" s="18" t="n">
        <v>37.84574463</v>
      </c>
      <c r="F38" s="20" t="n">
        <v>2.41988203</v>
      </c>
      <c r="G38" s="18" t="n">
        <v>60.02563481</v>
      </c>
      <c r="H38" s="20" t="n">
        <v>2.373058</v>
      </c>
      <c r="I38" s="18" t="s">
        <v>431</v>
      </c>
      <c r="J38" s="20" t="s">
        <v>431</v>
      </c>
      <c r="K38" s="18" t="n">
        <v>0.86595239</v>
      </c>
      <c r="L38" s="20" t="n">
        <v>0.6085475</v>
      </c>
      <c r="M38" s="18" t="n">
        <v>0</v>
      </c>
      <c r="N38" s="20" t="n">
        <v>0</v>
      </c>
      <c r="O38" s="18" t="n">
        <v>0</v>
      </c>
      <c r="P38" s="20" t="n">
        <v>0</v>
      </c>
      <c r="Q38" s="18" t="n">
        <v>1.26266817</v>
      </c>
      <c r="R38" s="20" t="n">
        <v>0.40471865</v>
      </c>
    </row>
    <row r="39" spans="1:18">
      <c r="A39" s="15" t="s">
        <v>463</v>
      </c>
      <c r="B39" s="17" t="n">
        <v>2957</v>
      </c>
      <c r="C39" s="18">
        <f>(2588.0/B39*100)</f>
        <v/>
      </c>
      <c r="D39" s="19" t="n">
        <v>369</v>
      </c>
      <c r="E39" s="18" t="n">
        <v>52.85138732</v>
      </c>
      <c r="F39" s="20" t="n">
        <v>2.84694755</v>
      </c>
      <c r="G39" s="18" t="n">
        <v>46.45046435</v>
      </c>
      <c r="H39" s="20" t="n">
        <v>2.82041914</v>
      </c>
      <c r="I39" s="18" t="s">
        <v>431</v>
      </c>
      <c r="J39" s="20" t="s">
        <v>431</v>
      </c>
      <c r="K39" s="18" t="n">
        <v>0.43196517</v>
      </c>
      <c r="L39" s="20" t="n">
        <v>0.38094483</v>
      </c>
      <c r="M39" s="18" t="n">
        <v>0</v>
      </c>
      <c r="N39" s="20" t="n">
        <v>0</v>
      </c>
      <c r="O39" s="18" t="n">
        <v>0</v>
      </c>
      <c r="P39" s="20" t="n">
        <v>0</v>
      </c>
      <c r="Q39" s="18" t="n">
        <v>0.26618317</v>
      </c>
      <c r="R39" s="20" t="n">
        <v>0.20266198</v>
      </c>
    </row>
    <row r="40" spans="1:18">
      <c r="A40" s="15" t="s">
        <v>464</v>
      </c>
      <c r="B40" s="17" t="n">
        <v>7235</v>
      </c>
      <c r="C40" s="18">
        <f>(6354.0/B40*100)</f>
        <v/>
      </c>
      <c r="D40" s="19" t="n">
        <v>881</v>
      </c>
      <c r="E40" s="18" t="n">
        <v>46.88839882</v>
      </c>
      <c r="F40" s="20" t="n">
        <v>3.11286807</v>
      </c>
      <c r="G40" s="18" t="n">
        <v>50.54107138</v>
      </c>
      <c r="H40" s="20" t="n">
        <v>3.17465332</v>
      </c>
      <c r="I40" s="18" t="s">
        <v>431</v>
      </c>
      <c r="J40" s="20" t="s">
        <v>431</v>
      </c>
      <c r="K40" s="18" t="n">
        <v>0.4626009</v>
      </c>
      <c r="L40" s="20" t="n">
        <v>0.37341911</v>
      </c>
      <c r="M40" s="18" t="n">
        <v>0</v>
      </c>
      <c r="N40" s="20" t="n">
        <v>0</v>
      </c>
      <c r="O40" s="18" t="n">
        <v>0</v>
      </c>
      <c r="P40" s="20" t="n">
        <v>0</v>
      </c>
      <c r="Q40" s="18" t="n">
        <v>2.1079289</v>
      </c>
      <c r="R40" s="20" t="n">
        <v>0.79453291</v>
      </c>
    </row>
    <row r="41" spans="1:18">
      <c r="A41" s="15" t="s">
        <v>465</v>
      </c>
      <c r="B41" s="17" t="n">
        <v>2858</v>
      </c>
      <c r="C41" s="18">
        <f>(2516.0/B41*100)</f>
        <v/>
      </c>
      <c r="D41" s="19" t="n">
        <v>342</v>
      </c>
      <c r="E41" s="18" t="n">
        <v>53.96128588</v>
      </c>
      <c r="F41" s="20" t="n">
        <v>2.65978357</v>
      </c>
      <c r="G41" s="18" t="n">
        <v>45.53913547</v>
      </c>
      <c r="H41" s="20" t="n">
        <v>2.67073381</v>
      </c>
      <c r="I41" s="18" t="s">
        <v>431</v>
      </c>
      <c r="J41" s="20" t="s">
        <v>431</v>
      </c>
      <c r="K41" s="18" t="n">
        <v>0</v>
      </c>
      <c r="L41" s="20" t="n">
        <v>0</v>
      </c>
      <c r="M41" s="18" t="n">
        <v>0</v>
      </c>
      <c r="N41" s="20" t="n">
        <v>0</v>
      </c>
      <c r="O41" s="18" t="n">
        <v>0</v>
      </c>
      <c r="P41" s="20" t="n">
        <v>0</v>
      </c>
      <c r="Q41" s="18" t="n">
        <v>0.49957864</v>
      </c>
      <c r="R41" s="20" t="n">
        <v>0.32434267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(9990.0/B46*100)</f>
        <v/>
      </c>
      <c r="D46" s="19" t="n">
        <v>1078</v>
      </c>
      <c r="E46" s="18" t="n">
        <v>59.29542964</v>
      </c>
      <c r="F46" s="20" t="n">
        <v>1.88805411</v>
      </c>
      <c r="G46" s="18" t="n">
        <v>38.06581788</v>
      </c>
      <c r="H46" s="20" t="n">
        <v>1.80805215</v>
      </c>
      <c r="I46" s="18" t="s">
        <v>431</v>
      </c>
      <c r="J46" s="20" t="s">
        <v>431</v>
      </c>
      <c r="K46" s="18" t="n">
        <v>1.58870403</v>
      </c>
      <c r="L46" s="20" t="n">
        <v>0.48868903</v>
      </c>
      <c r="M46" s="18" t="n">
        <v>0</v>
      </c>
      <c r="N46" s="20" t="n">
        <v>0</v>
      </c>
      <c r="O46" s="18" t="n">
        <v>0</v>
      </c>
      <c r="P46" s="20" t="n">
        <v>0</v>
      </c>
      <c r="Q46" s="18" t="n">
        <v>1.05004845</v>
      </c>
      <c r="R46" s="20" t="n">
        <v>0.38259098</v>
      </c>
    </row>
    <row r="47" spans="1:18">
      <c r="A47" s="15" t="s">
        <v>471</v>
      </c>
      <c r="B47" s="17" t="n">
        <v>3105</v>
      </c>
      <c r="C47" s="18">
        <f>(2702.0/B47*100)</f>
        <v/>
      </c>
      <c r="D47" s="19" t="n">
        <v>403</v>
      </c>
      <c r="E47" s="18" t="n">
        <v>58.44022506</v>
      </c>
      <c r="F47" s="20" t="n">
        <v>2.61249838</v>
      </c>
      <c r="G47" s="18" t="n">
        <v>40.29434919</v>
      </c>
      <c r="H47" s="20" t="n">
        <v>2.7198586</v>
      </c>
      <c r="I47" s="18" t="s">
        <v>431</v>
      </c>
      <c r="J47" s="20" t="s">
        <v>431</v>
      </c>
      <c r="K47" s="18" t="n">
        <v>0</v>
      </c>
      <c r="L47" s="20" t="n">
        <v>0</v>
      </c>
      <c r="M47" s="18" t="n">
        <v>0</v>
      </c>
      <c r="N47" s="20" t="n">
        <v>0</v>
      </c>
      <c r="O47" s="18" t="n">
        <v>0</v>
      </c>
      <c r="P47" s="20" t="n">
        <v>0</v>
      </c>
      <c r="Q47" s="18" t="n">
        <v>1.26542576</v>
      </c>
      <c r="R47" s="20" t="n">
        <v>0.73453286</v>
      </c>
    </row>
    <row r="48" spans="1:18">
      <c r="A48" s="15" t="s">
        <v>472</v>
      </c>
      <c r="B48" s="17" t="n">
        <v>5159</v>
      </c>
      <c r="C48" s="18">
        <f>(4532.0/B48*100)</f>
        <v/>
      </c>
      <c r="D48" s="19" t="n">
        <v>627</v>
      </c>
      <c r="E48" s="18" t="n">
        <v>40.59807772</v>
      </c>
      <c r="F48" s="20" t="n">
        <v>2.6279148</v>
      </c>
      <c r="G48" s="18" t="n">
        <v>58.75817572</v>
      </c>
      <c r="H48" s="20" t="n">
        <v>2.60441059</v>
      </c>
      <c r="I48" s="18" t="s">
        <v>431</v>
      </c>
      <c r="J48" s="20" t="s">
        <v>431</v>
      </c>
      <c r="K48" s="18" t="n">
        <v>0.64374656</v>
      </c>
      <c r="L48" s="20" t="n">
        <v>0.46242066</v>
      </c>
      <c r="M48" s="18" t="n">
        <v>0</v>
      </c>
      <c r="N48" s="20" t="n">
        <v>0</v>
      </c>
      <c r="O48" s="18" t="n">
        <v>0</v>
      </c>
      <c r="P48" s="20" t="n">
        <v>0</v>
      </c>
      <c r="Q48" s="18" t="n">
        <v>0</v>
      </c>
      <c r="R48" s="20" t="n">
        <v>0</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(4978.0/B50*100)</f>
        <v/>
      </c>
      <c r="D50" s="19" t="n">
        <v>659</v>
      </c>
      <c r="E50" s="18" t="n">
        <v>56.92696764</v>
      </c>
      <c r="F50" s="20" t="n">
        <v>2.23365513</v>
      </c>
      <c r="G50" s="18" t="n">
        <v>37.94159597</v>
      </c>
      <c r="H50" s="20" t="n">
        <v>2.34085065</v>
      </c>
      <c r="I50" s="18" t="s">
        <v>431</v>
      </c>
      <c r="J50" s="20" t="s">
        <v>431</v>
      </c>
      <c r="K50" s="18" t="n">
        <v>2.68261208</v>
      </c>
      <c r="L50" s="20" t="n">
        <v>1.01718499</v>
      </c>
      <c r="M50" s="18" t="n">
        <v>0</v>
      </c>
      <c r="N50" s="20" t="n">
        <v>0</v>
      </c>
      <c r="O50" s="18" t="n">
        <v>0</v>
      </c>
      <c r="P50" s="20" t="n">
        <v>0</v>
      </c>
      <c r="Q50" s="18" t="n">
        <v>2.44882431</v>
      </c>
      <c r="R50" s="20" t="n">
        <v>1.12638794</v>
      </c>
    </row>
    <row r="51" spans="1:18">
      <c r="A51" s="15" t="s">
        <v>475</v>
      </c>
      <c r="B51" s="17" t="n">
        <v>3372</v>
      </c>
      <c r="C51" s="18">
        <f>(3020.0/B51*100)</f>
        <v/>
      </c>
      <c r="D51" s="19" t="n">
        <v>352</v>
      </c>
      <c r="E51" s="18" t="n">
        <v>64.70059014</v>
      </c>
      <c r="F51" s="20" t="n">
        <v>3.07199974</v>
      </c>
      <c r="G51" s="18" t="n">
        <v>32.29066744</v>
      </c>
      <c r="H51" s="20" t="n">
        <v>2.68266757</v>
      </c>
      <c r="I51" s="18" t="s">
        <v>431</v>
      </c>
      <c r="J51" s="20" t="s">
        <v>431</v>
      </c>
      <c r="K51" s="18" t="n">
        <v>1.33339376</v>
      </c>
      <c r="L51" s="20" t="n">
        <v>0.66282832</v>
      </c>
      <c r="M51" s="18" t="n">
        <v>0</v>
      </c>
      <c r="N51" s="20" t="n">
        <v>0</v>
      </c>
      <c r="O51" s="18" t="n">
        <v>0</v>
      </c>
      <c r="P51" s="20" t="n">
        <v>0</v>
      </c>
      <c r="Q51" s="18" t="n">
        <v>1.67534867</v>
      </c>
      <c r="R51" s="20" t="n">
        <v>0.80152546</v>
      </c>
    </row>
    <row r="52" spans="1:18">
      <c r="A52" s="15" t="s">
        <v>476</v>
      </c>
      <c r="B52" s="17" t="n">
        <v>2796</v>
      </c>
      <c r="C52" s="18">
        <f>(2431.0/B52*100)</f>
        <v/>
      </c>
      <c r="D52" s="19" t="n">
        <v>365</v>
      </c>
      <c r="E52" s="18" t="n">
        <v>44.97809772</v>
      </c>
      <c r="F52" s="20" t="n">
        <v>2.99106063</v>
      </c>
      <c r="G52" s="18" t="n">
        <v>53.78982631</v>
      </c>
      <c r="H52" s="20" t="n">
        <v>2.90268245</v>
      </c>
      <c r="I52" s="18" t="s">
        <v>431</v>
      </c>
      <c r="J52" s="20" t="s">
        <v>431</v>
      </c>
      <c r="K52" s="18" t="n">
        <v>0</v>
      </c>
      <c r="L52" s="20" t="n">
        <v>0</v>
      </c>
      <c r="M52" s="18" t="n">
        <v>0</v>
      </c>
      <c r="N52" s="20" t="n">
        <v>0</v>
      </c>
      <c r="O52" s="18" t="n">
        <v>0</v>
      </c>
      <c r="P52" s="20" t="n">
        <v>0</v>
      </c>
      <c r="Q52" s="18" t="n">
        <v>1.23207597</v>
      </c>
      <c r="R52" s="20" t="n">
        <v>0.56059573</v>
      </c>
    </row>
    <row r="53" spans="1:18">
      <c r="A53" s="15" t="s">
        <v>477</v>
      </c>
      <c r="B53" s="17" t="n">
        <v>2811</v>
      </c>
      <c r="C53" s="18">
        <f>(2481.0/B53*100)</f>
        <v/>
      </c>
      <c r="D53" s="19" t="n">
        <v>330</v>
      </c>
      <c r="E53" s="18" t="n">
        <v>46.16270217</v>
      </c>
      <c r="F53" s="20" t="n">
        <v>3.03099003</v>
      </c>
      <c r="G53" s="18" t="n">
        <v>52.07618475</v>
      </c>
      <c r="H53" s="20" t="n">
        <v>3.13296532</v>
      </c>
      <c r="I53" s="18" t="s">
        <v>431</v>
      </c>
      <c r="J53" s="20" t="s">
        <v>431</v>
      </c>
      <c r="K53" s="18" t="n">
        <v>0</v>
      </c>
      <c r="L53" s="20" t="n">
        <v>0</v>
      </c>
      <c r="M53" s="18" t="n">
        <v>0</v>
      </c>
      <c r="N53" s="20" t="n">
        <v>0</v>
      </c>
      <c r="O53" s="18" t="n">
        <v>0</v>
      </c>
      <c r="P53" s="20" t="n">
        <v>0</v>
      </c>
      <c r="Q53" s="18" t="n">
        <v>1.76111307</v>
      </c>
      <c r="R53" s="20" t="n">
        <v>0.6445771300000001</v>
      </c>
    </row>
    <row r="54" spans="1:18">
      <c r="A54" s="15" t="s">
        <v>478</v>
      </c>
      <c r="B54" s="17" t="n">
        <v>2266</v>
      </c>
      <c r="C54" s="18">
        <f>(1881.0/B54*100)</f>
        <v/>
      </c>
      <c r="D54" s="19" t="n">
        <v>385</v>
      </c>
      <c r="E54" s="18" t="n">
        <v>59.66923074</v>
      </c>
      <c r="F54" s="20" t="n">
        <v>2.95549483</v>
      </c>
      <c r="G54" s="18" t="n">
        <v>19.6870344</v>
      </c>
      <c r="H54" s="20" t="n">
        <v>2.2512062</v>
      </c>
      <c r="I54" s="18" t="s">
        <v>431</v>
      </c>
      <c r="J54" s="20" t="s">
        <v>431</v>
      </c>
      <c r="K54" s="18" t="n">
        <v>17.57870564</v>
      </c>
      <c r="L54" s="20" t="n">
        <v>2.27890714</v>
      </c>
      <c r="M54" s="18" t="n">
        <v>0</v>
      </c>
      <c r="N54" s="20" t="n">
        <v>0</v>
      </c>
      <c r="O54" s="18" t="n">
        <v>0</v>
      </c>
      <c r="P54" s="20" t="n">
        <v>0</v>
      </c>
      <c r="Q54" s="18" t="n">
        <v>3.06502922</v>
      </c>
      <c r="R54" s="20" t="n">
        <v>0.97704823</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(2345.0/B56*100)</f>
        <v/>
      </c>
      <c r="D56" s="19" t="n">
        <v>339</v>
      </c>
      <c r="E56" s="18" t="n">
        <v>36.20786077</v>
      </c>
      <c r="F56" s="20" t="n">
        <v>2.91053965</v>
      </c>
      <c r="G56" s="18" t="n">
        <v>62.2954176</v>
      </c>
      <c r="H56" s="20" t="n">
        <v>3.04651884</v>
      </c>
      <c r="I56" s="18" t="s">
        <v>431</v>
      </c>
      <c r="J56" s="20" t="s">
        <v>431</v>
      </c>
      <c r="K56" s="18" t="n">
        <v>0.65855915</v>
      </c>
      <c r="L56" s="20" t="n">
        <v>0.48556177</v>
      </c>
      <c r="M56" s="18" t="n">
        <v>0</v>
      </c>
      <c r="N56" s="20" t="n">
        <v>0</v>
      </c>
      <c r="O56" s="18" t="n">
        <v>0</v>
      </c>
      <c r="P56" s="20" t="n">
        <v>0</v>
      </c>
      <c r="Q56" s="18" t="n">
        <v>0.83816248</v>
      </c>
      <c r="R56" s="20" t="n">
        <v>0.49323049</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(2925.0/B61*100)</f>
        <v/>
      </c>
      <c r="D61" s="19" t="n">
        <v>399</v>
      </c>
      <c r="E61" s="18" t="n">
        <v>54.6165785</v>
      </c>
      <c r="F61" s="20" t="n">
        <v>2.87310084</v>
      </c>
      <c r="G61" s="18" t="n">
        <v>44.33497045</v>
      </c>
      <c r="H61" s="20" t="n">
        <v>2.83978404</v>
      </c>
      <c r="I61" s="18" t="s">
        <v>431</v>
      </c>
      <c r="J61" s="20" t="s">
        <v>431</v>
      </c>
      <c r="K61" s="18" t="n">
        <v>0.28677028</v>
      </c>
      <c r="L61" s="20" t="n">
        <v>0.26905552</v>
      </c>
      <c r="M61" s="18" t="n">
        <v>0</v>
      </c>
      <c r="N61" s="20" t="n">
        <v>0</v>
      </c>
      <c r="O61" s="18" t="n">
        <v>0</v>
      </c>
      <c r="P61" s="20" t="n">
        <v>0</v>
      </c>
      <c r="Q61" s="18" t="n">
        <v>0.7616807799999999</v>
      </c>
      <c r="R61" s="20" t="n">
        <v>0.44461988</v>
      </c>
    </row>
    <row r="62" spans="1:18">
      <c r="A62" s="15" t="s">
        <v>486</v>
      </c>
      <c r="B62" s="17" t="n">
        <v>2246</v>
      </c>
      <c r="C62" s="18">
        <f>(1982.0/B62*100)</f>
        <v/>
      </c>
      <c r="D62" s="19" t="n">
        <v>264</v>
      </c>
      <c r="E62" s="18" t="n">
        <v>43.55856308</v>
      </c>
      <c r="F62" s="20" t="n">
        <v>3.21006045</v>
      </c>
      <c r="G62" s="18" t="n">
        <v>56.44143692</v>
      </c>
      <c r="H62" s="20" t="n">
        <v>3.21006045</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(2550.0/B66*100)</f>
        <v/>
      </c>
      <c r="D66" s="19" t="n">
        <v>344</v>
      </c>
      <c r="E66" s="18" t="n">
        <v>50.64643063</v>
      </c>
      <c r="F66" s="20" t="n">
        <v>2.50059485</v>
      </c>
      <c r="G66" s="18" t="n">
        <v>47.3004606</v>
      </c>
      <c r="H66" s="20" t="n">
        <v>2.61395932</v>
      </c>
      <c r="I66" s="18" t="s">
        <v>431</v>
      </c>
      <c r="J66" s="20" t="s">
        <v>431</v>
      </c>
      <c r="K66" s="18" t="n">
        <v>0.24495102</v>
      </c>
      <c r="L66" s="20" t="n">
        <v>0.24766741</v>
      </c>
      <c r="M66" s="18" t="n">
        <v>0</v>
      </c>
      <c r="N66" s="20" t="n">
        <v>0</v>
      </c>
      <c r="O66" s="18" t="n">
        <v>0</v>
      </c>
      <c r="P66" s="20" t="n">
        <v>0</v>
      </c>
      <c r="Q66" s="18" t="n">
        <v>1.80815776</v>
      </c>
      <c r="R66" s="20" t="n">
        <v>0.74453035</v>
      </c>
    </row>
    <row r="67" spans="1:18">
      <c r="A67" s="15" t="s">
        <v>491</v>
      </c>
      <c r="B67" s="17" t="n">
        <v>3511</v>
      </c>
      <c r="C67" s="18">
        <f>(3123.0/B67*100)</f>
        <v/>
      </c>
      <c r="D67" s="19" t="n">
        <v>388</v>
      </c>
      <c r="E67" s="18" t="n">
        <v>54.1789028</v>
      </c>
      <c r="F67" s="20" t="n">
        <v>3.18137943</v>
      </c>
      <c r="G67" s="18" t="n">
        <v>44.65458223</v>
      </c>
      <c r="H67" s="20" t="n">
        <v>3.15016463</v>
      </c>
      <c r="I67" s="18" t="s">
        <v>431</v>
      </c>
      <c r="J67" s="20" t="s">
        <v>431</v>
      </c>
      <c r="K67" s="18" t="n">
        <v>0.43152239</v>
      </c>
      <c r="L67" s="20" t="n">
        <v>0.29937586</v>
      </c>
      <c r="M67" s="18" t="n">
        <v>0</v>
      </c>
      <c r="N67" s="20" t="n">
        <v>0</v>
      </c>
      <c r="O67" s="18" t="n">
        <v>0</v>
      </c>
      <c r="P67" s="20" t="n">
        <v>0</v>
      </c>
      <c r="Q67" s="18" t="n">
        <v>0.7349925899999999</v>
      </c>
      <c r="R67" s="20" t="n">
        <v>0.4333578</v>
      </c>
    </row>
    <row r="68" spans="1:18">
      <c r="A68" s="15" t="s">
        <v>492</v>
      </c>
      <c r="B68" s="17" t="n">
        <v>6049</v>
      </c>
      <c r="C68" s="18">
        <f>(5049.0/B68*100)</f>
        <v/>
      </c>
      <c r="D68" s="19" t="n">
        <v>1000</v>
      </c>
      <c r="E68" s="18" t="n">
        <v>58.53450003</v>
      </c>
      <c r="F68" s="20" t="n">
        <v>1.47997177</v>
      </c>
      <c r="G68" s="18" t="n">
        <v>33.89070424</v>
      </c>
      <c r="H68" s="20" t="n">
        <v>1.39657666</v>
      </c>
      <c r="I68" s="18" t="s">
        <v>431</v>
      </c>
      <c r="J68" s="20" t="s">
        <v>431</v>
      </c>
      <c r="K68" s="18" t="n">
        <v>3.85056126</v>
      </c>
      <c r="L68" s="20" t="n">
        <v>0.64318759</v>
      </c>
      <c r="M68" s="18" t="n">
        <v>0</v>
      </c>
      <c r="N68" s="20" t="n">
        <v>0</v>
      </c>
      <c r="O68" s="18" t="n">
        <v>0</v>
      </c>
      <c r="P68" s="20" t="n">
        <v>0</v>
      </c>
      <c r="Q68" s="18" t="n">
        <v>3.72423448</v>
      </c>
      <c r="R68" s="20" t="n">
        <v>0.62609252</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(2573.0/B70*100)</f>
        <v/>
      </c>
      <c r="D70" s="19" t="n">
        <v>356</v>
      </c>
      <c r="E70" s="18" t="n">
        <v>46.63372712</v>
      </c>
      <c r="F70" s="20" t="n">
        <v>3.35738518</v>
      </c>
      <c r="G70" s="18" t="n">
        <v>52.87562413</v>
      </c>
      <c r="H70" s="20" t="n">
        <v>3.39770592</v>
      </c>
      <c r="I70" s="18" t="s">
        <v>431</v>
      </c>
      <c r="J70" s="20" t="s">
        <v>431</v>
      </c>
      <c r="K70" s="18" t="n">
        <v>0</v>
      </c>
      <c r="L70" s="20" t="n">
        <v>0</v>
      </c>
      <c r="M70" s="18" t="n">
        <v>0</v>
      </c>
      <c r="N70" s="20" t="n">
        <v>0</v>
      </c>
      <c r="O70" s="18" t="n">
        <v>0</v>
      </c>
      <c r="P70" s="20" t="n">
        <v>0</v>
      </c>
      <c r="Q70" s="18" t="n">
        <v>0.49064875</v>
      </c>
      <c r="R70" s="20" t="n">
        <v>0.35527386</v>
      </c>
    </row>
    <row r="71" spans="1:18">
      <c r="A71" s="15" t="s">
        <v>495</v>
      </c>
      <c r="B71" s="17" t="n">
        <v>3142</v>
      </c>
      <c r="C71" s="18">
        <f>(2759.0/B71*100)</f>
        <v/>
      </c>
      <c r="D71" s="19" t="n">
        <v>383</v>
      </c>
      <c r="E71" s="18" t="n">
        <v>43.71056516</v>
      </c>
      <c r="F71" s="20" t="n">
        <v>2.81984899</v>
      </c>
      <c r="G71" s="18" t="n">
        <v>56.05174633</v>
      </c>
      <c r="H71" s="20" t="n">
        <v>2.86162065</v>
      </c>
      <c r="I71" s="18" t="s">
        <v>431</v>
      </c>
      <c r="J71" s="20" t="s">
        <v>431</v>
      </c>
      <c r="K71" s="18" t="n">
        <v>0.23768852</v>
      </c>
      <c r="L71" s="20" t="n">
        <v>0.236413</v>
      </c>
      <c r="M71" s="18" t="n">
        <v>0</v>
      </c>
      <c r="N71" s="20" t="n">
        <v>0</v>
      </c>
      <c r="O71" s="18" t="n">
        <v>0</v>
      </c>
      <c r="P71" s="20" t="n">
        <v>0</v>
      </c>
      <c r="Q71" s="18" t="n">
        <v>0</v>
      </c>
      <c r="R71" s="20" t="n">
        <v>0</v>
      </c>
    </row>
    <row r="72" spans="1:18">
      <c r="A72" s="15" t="s">
        <v>496</v>
      </c>
      <c r="B72" s="17" t="n">
        <v>3889</v>
      </c>
      <c r="C72" s="18">
        <f>(3397.0/B72*100)</f>
        <v/>
      </c>
      <c r="D72" s="19" t="n">
        <v>492</v>
      </c>
      <c r="E72" s="18" t="n">
        <v>43.65431626</v>
      </c>
      <c r="F72" s="20" t="n">
        <v>2.58445934</v>
      </c>
      <c r="G72" s="18" t="n">
        <v>55.51087788</v>
      </c>
      <c r="H72" s="20" t="n">
        <v>2.56983293</v>
      </c>
      <c r="I72" s="18" t="s">
        <v>431</v>
      </c>
      <c r="J72" s="20" t="s">
        <v>431</v>
      </c>
      <c r="K72" s="18" t="n">
        <v>0.14090157</v>
      </c>
      <c r="L72" s="20" t="n">
        <v>0.14368853</v>
      </c>
      <c r="M72" s="18" t="n">
        <v>0</v>
      </c>
      <c r="N72" s="20" t="n">
        <v>0</v>
      </c>
      <c r="O72" s="18" t="n">
        <v>0</v>
      </c>
      <c r="P72" s="20" t="n">
        <v>0</v>
      </c>
      <c r="Q72" s="18" t="n">
        <v>0.69390429</v>
      </c>
      <c r="R72" s="20" t="n">
        <v>0.36957183</v>
      </c>
    </row>
    <row r="73" spans="1:18">
      <c r="A73" s="15" t="s">
        <v>497</v>
      </c>
      <c r="B73" s="17" t="n">
        <v>3597</v>
      </c>
      <c r="C73" s="18">
        <f>(3197.0/B73*100)</f>
        <v/>
      </c>
      <c r="D73" s="19" t="n">
        <v>400</v>
      </c>
      <c r="E73" s="18" t="n">
        <v>61.04941596</v>
      </c>
      <c r="F73" s="20" t="n">
        <v>3.15968989</v>
      </c>
      <c r="G73" s="18" t="n">
        <v>37.71253039</v>
      </c>
      <c r="H73" s="20" t="n">
        <v>3.27780487</v>
      </c>
      <c r="I73" s="18" t="s">
        <v>431</v>
      </c>
      <c r="J73" s="20" t="s">
        <v>431</v>
      </c>
      <c r="K73" s="18" t="n">
        <v>0</v>
      </c>
      <c r="L73" s="20" t="n">
        <v>0</v>
      </c>
      <c r="M73" s="18" t="n">
        <v>0</v>
      </c>
      <c r="N73" s="20" t="n">
        <v>0</v>
      </c>
      <c r="O73" s="18" t="n">
        <v>0</v>
      </c>
      <c r="P73" s="20" t="n">
        <v>0</v>
      </c>
      <c r="Q73" s="18" t="n">
        <v>1.23805365</v>
      </c>
      <c r="R73" s="20" t="n">
        <v>0.86876612</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(2142.0/B75*100)</f>
        <v/>
      </c>
      <c r="D75" s="19" t="n">
        <v>264</v>
      </c>
      <c r="E75" s="18" t="n">
        <v>54.98704207</v>
      </c>
      <c r="F75" s="20" t="n">
        <v>3.65346314</v>
      </c>
      <c r="G75" s="18" t="n">
        <v>37.81014921</v>
      </c>
      <c r="H75" s="20" t="n">
        <v>3.63167401</v>
      </c>
      <c r="I75" s="18" t="s">
        <v>431</v>
      </c>
      <c r="J75" s="20" t="s">
        <v>431</v>
      </c>
      <c r="K75" s="18" t="n">
        <v>4.97462341</v>
      </c>
      <c r="L75" s="20" t="n">
        <v>1.30586871</v>
      </c>
      <c r="M75" s="18" t="n">
        <v>0</v>
      </c>
      <c r="N75" s="20" t="n">
        <v>0</v>
      </c>
      <c r="O75" s="18" t="n">
        <v>0</v>
      </c>
      <c r="P75" s="20" t="n">
        <v>0</v>
      </c>
      <c r="Q75" s="18" t="n">
        <v>2.22818531</v>
      </c>
      <c r="R75" s="20" t="n">
        <v>0.90626678</v>
      </c>
    </row>
    <row r="76" spans="1:18">
      <c r="A76" s="15" t="s">
        <v>500</v>
      </c>
      <c r="B76" s="17" t="n">
        <v>7052</v>
      </c>
      <c r="C76" s="18">
        <f>(6200.0/B76*100)</f>
        <v/>
      </c>
      <c r="D76" s="19" t="n">
        <v>852</v>
      </c>
      <c r="E76" s="18" t="n">
        <v>53.16071914</v>
      </c>
      <c r="F76" s="20" t="n">
        <v>2.19638134</v>
      </c>
      <c r="G76" s="18" t="n">
        <v>42.99107564</v>
      </c>
      <c r="H76" s="20" t="n">
        <v>2.10176578</v>
      </c>
      <c r="I76" s="18" t="s">
        <v>431</v>
      </c>
      <c r="J76" s="20" t="s">
        <v>431</v>
      </c>
      <c r="K76" s="18" t="n">
        <v>0.9853623500000001</v>
      </c>
      <c r="L76" s="20" t="n">
        <v>0.38653418</v>
      </c>
      <c r="M76" s="18" t="n">
        <v>0</v>
      </c>
      <c r="N76" s="20" t="n">
        <v>0</v>
      </c>
      <c r="O76" s="18" t="n">
        <v>0</v>
      </c>
      <c r="P76" s="20" t="n">
        <v>0</v>
      </c>
      <c r="Q76" s="18" t="n">
        <v>2.86284287</v>
      </c>
      <c r="R76" s="20" t="n">
        <v>0.7984006299999999</v>
      </c>
    </row>
    <row r="77" spans="1:18">
      <c r="A77" s="15" t="s">
        <v>501</v>
      </c>
      <c r="B77" s="17" t="n">
        <v>2908</v>
      </c>
      <c r="C77" s="18">
        <f>(2568.0/B77*100)</f>
        <v/>
      </c>
      <c r="D77" s="19" t="n">
        <v>340</v>
      </c>
      <c r="E77" s="18" t="n">
        <v>62.7460022</v>
      </c>
      <c r="F77" s="20" t="n">
        <v>2.81581794</v>
      </c>
      <c r="G77" s="18" t="n">
        <v>34.52872881</v>
      </c>
      <c r="H77" s="20" t="n">
        <v>2.85601117</v>
      </c>
      <c r="I77" s="18" t="s">
        <v>431</v>
      </c>
      <c r="J77" s="20" t="s">
        <v>431</v>
      </c>
      <c r="K77" s="18" t="n">
        <v>1.28116779</v>
      </c>
      <c r="L77" s="20" t="n">
        <v>0.61801283</v>
      </c>
      <c r="M77" s="18" t="n">
        <v>0</v>
      </c>
      <c r="N77" s="20" t="n">
        <v>0</v>
      </c>
      <c r="O77" s="18" t="n">
        <v>0</v>
      </c>
      <c r="P77" s="20" t="n">
        <v>0</v>
      </c>
      <c r="Q77" s="18" t="n">
        <v>1.4441012</v>
      </c>
      <c r="R77" s="20" t="n">
        <v>0.6896191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(3630.0/B81*100)</f>
        <v/>
      </c>
      <c r="D81" s="19" t="n">
        <v>533</v>
      </c>
      <c r="E81" s="18" t="n">
        <v>66.51656246</v>
      </c>
      <c r="F81" s="20" t="n">
        <v>2.41986738</v>
      </c>
      <c r="G81" s="18" t="n">
        <v>32.43143747</v>
      </c>
      <c r="H81" s="20" t="n">
        <v>2.40450444</v>
      </c>
      <c r="I81" s="18" t="s">
        <v>431</v>
      </c>
      <c r="J81" s="20" t="s">
        <v>431</v>
      </c>
      <c r="K81" s="18" t="n">
        <v>0.18125864</v>
      </c>
      <c r="L81" s="20" t="n">
        <v>0.17552537</v>
      </c>
      <c r="M81" s="18" t="n">
        <v>0</v>
      </c>
      <c r="N81" s="20" t="n">
        <v>0</v>
      </c>
      <c r="O81" s="18" t="n">
        <v>0</v>
      </c>
      <c r="P81" s="20" t="n">
        <v>0</v>
      </c>
      <c r="Q81" s="18" t="n">
        <v>0.87074143</v>
      </c>
      <c r="R81" s="20" t="n">
        <v>0.48169644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(6472.0/B7*100)</f>
        <v/>
      </c>
      <c r="D7" s="19" t="n">
        <v>895</v>
      </c>
      <c r="E7" s="18" t="n">
        <v>45.55599364</v>
      </c>
      <c r="F7" s="20" t="n">
        <v>1.94198949</v>
      </c>
      <c r="G7" s="18" t="n">
        <v>36.65686505</v>
      </c>
      <c r="H7" s="20" t="n">
        <v>1.9476116</v>
      </c>
      <c r="I7" s="18" t="s">
        <v>431</v>
      </c>
      <c r="J7" s="20" t="s">
        <v>431</v>
      </c>
      <c r="K7" s="18" t="n">
        <v>0.9222525499999999</v>
      </c>
      <c r="L7" s="20" t="n">
        <v>0.40463105</v>
      </c>
      <c r="M7" s="18" t="n">
        <v>0.052678</v>
      </c>
      <c r="N7" s="20" t="n">
        <v>0.04096669</v>
      </c>
      <c r="O7" s="18" t="n">
        <v>0</v>
      </c>
      <c r="P7" s="20" t="n">
        <v>0</v>
      </c>
      <c r="Q7" s="18" t="n">
        <v>16.81221075</v>
      </c>
      <c r="R7" s="20" t="n">
        <v>1.62102901</v>
      </c>
    </row>
    <row r="8" spans="1:18">
      <c r="A8" s="15" t="s">
        <v>432</v>
      </c>
      <c r="B8" s="17" t="n">
        <v>3564</v>
      </c>
      <c r="C8" s="18">
        <f>(3149.0/B8*100)</f>
        <v/>
      </c>
      <c r="D8" s="19" t="n">
        <v>415</v>
      </c>
      <c r="E8" s="18" t="n">
        <v>39.11530335</v>
      </c>
      <c r="F8" s="20" t="n">
        <v>2.73251333</v>
      </c>
      <c r="G8" s="18" t="n">
        <v>30.99302604</v>
      </c>
      <c r="H8" s="20" t="n">
        <v>2.27005353</v>
      </c>
      <c r="I8" s="18" t="s">
        <v>431</v>
      </c>
      <c r="J8" s="20" t="s">
        <v>431</v>
      </c>
      <c r="K8" s="18" t="n">
        <v>0.3280348</v>
      </c>
      <c r="L8" s="20" t="n">
        <v>0.24981925</v>
      </c>
      <c r="M8" s="18" t="n">
        <v>0</v>
      </c>
      <c r="N8" s="20" t="n">
        <v>0</v>
      </c>
      <c r="O8" s="18" t="n">
        <v>0</v>
      </c>
      <c r="P8" s="20" t="n">
        <v>0</v>
      </c>
      <c r="Q8" s="18" t="n">
        <v>29.56363581</v>
      </c>
      <c r="R8" s="20" t="n">
        <v>2.44603638</v>
      </c>
    </row>
    <row r="9" spans="1:18">
      <c r="A9" s="15" t="s">
        <v>433</v>
      </c>
      <c r="B9" s="17" t="n">
        <v>4899</v>
      </c>
      <c r="C9" s="18">
        <f>(4333.0/B9*100)</f>
        <v/>
      </c>
      <c r="D9" s="19" t="n">
        <v>566</v>
      </c>
      <c r="E9" s="18" t="n">
        <v>44.228882</v>
      </c>
      <c r="F9" s="20" t="n">
        <v>2.49668849</v>
      </c>
      <c r="G9" s="18" t="n">
        <v>33.43562586</v>
      </c>
      <c r="H9" s="20" t="n">
        <v>2.31888806</v>
      </c>
      <c r="I9" s="18" t="s">
        <v>431</v>
      </c>
      <c r="J9" s="20" t="s">
        <v>431</v>
      </c>
      <c r="K9" s="18" t="n">
        <v>0</v>
      </c>
      <c r="L9" s="20" t="n">
        <v>0</v>
      </c>
      <c r="M9" s="18" t="n">
        <v>0.12944987</v>
      </c>
      <c r="N9" s="20" t="n">
        <v>0.13183648</v>
      </c>
      <c r="O9" s="18" t="n">
        <v>0</v>
      </c>
      <c r="P9" s="20" t="n">
        <v>0</v>
      </c>
      <c r="Q9" s="18" t="n">
        <v>22.20604227</v>
      </c>
      <c r="R9" s="20" t="n">
        <v>1.86962147</v>
      </c>
    </row>
    <row r="10" spans="1:18">
      <c r="A10" s="15" t="s">
        <v>434</v>
      </c>
      <c r="B10" s="17" t="n">
        <v>10036</v>
      </c>
      <c r="C10" s="18">
        <f>(8793.0/B10*100)</f>
        <v/>
      </c>
      <c r="D10" s="19" t="n">
        <v>1243</v>
      </c>
      <c r="E10" s="18" t="n">
        <v>44.03451576</v>
      </c>
      <c r="F10" s="20" t="n">
        <v>1.90430882</v>
      </c>
      <c r="G10" s="18" t="n">
        <v>43.48650911</v>
      </c>
      <c r="H10" s="20" t="n">
        <v>1.84295945</v>
      </c>
      <c r="I10" s="18" t="s">
        <v>431</v>
      </c>
      <c r="J10" s="20" t="s">
        <v>431</v>
      </c>
      <c r="K10" s="18" t="n">
        <v>0.69673294</v>
      </c>
      <c r="L10" s="20" t="n">
        <v>0.32503866</v>
      </c>
      <c r="M10" s="18" t="n">
        <v>0</v>
      </c>
      <c r="N10" s="20" t="n">
        <v>0</v>
      </c>
      <c r="O10" s="18" t="n">
        <v>0</v>
      </c>
      <c r="P10" s="20" t="n">
        <v>0</v>
      </c>
      <c r="Q10" s="18" t="n">
        <v>11.78224219</v>
      </c>
      <c r="R10" s="20" t="n">
        <v>1.25864607</v>
      </c>
    </row>
    <row r="11" spans="1:18">
      <c r="A11" s="15" t="s">
        <v>435</v>
      </c>
      <c r="B11" s="17" t="n">
        <v>3553</v>
      </c>
      <c r="C11" s="18">
        <f>(3139.0/B11*100)</f>
        <v/>
      </c>
      <c r="D11" s="19" t="n">
        <v>414</v>
      </c>
      <c r="E11" s="18" t="n">
        <v>35.89352711</v>
      </c>
      <c r="F11" s="20" t="n">
        <v>2.27101132</v>
      </c>
      <c r="G11" s="18" t="n">
        <v>29.83195314</v>
      </c>
      <c r="H11" s="20" t="n">
        <v>2.75999642</v>
      </c>
      <c r="I11" s="18" t="s">
        <v>431</v>
      </c>
      <c r="J11" s="20" t="s">
        <v>431</v>
      </c>
      <c r="K11" s="18" t="n">
        <v>2.51157507</v>
      </c>
      <c r="L11" s="20" t="n">
        <v>0.90088782</v>
      </c>
      <c r="M11" s="18" t="n">
        <v>0</v>
      </c>
      <c r="N11" s="20" t="n">
        <v>0</v>
      </c>
      <c r="O11" s="18" t="n">
        <v>0</v>
      </c>
      <c r="P11" s="20" t="n">
        <v>0</v>
      </c>
      <c r="Q11" s="18" t="n">
        <v>31.76294469</v>
      </c>
      <c r="R11" s="20" t="n">
        <v>2.48028931</v>
      </c>
    </row>
    <row r="12" spans="1:18">
      <c r="A12" s="15" t="s">
        <v>436</v>
      </c>
      <c r="B12" s="17" t="n">
        <v>3472</v>
      </c>
      <c r="C12" s="18">
        <f>(3111.0/B12*100)</f>
        <v/>
      </c>
      <c r="D12" s="19" t="n">
        <v>361</v>
      </c>
      <c r="E12" s="18" t="n">
        <v>38.33711757</v>
      </c>
      <c r="F12" s="20" t="n">
        <v>2.84216706</v>
      </c>
      <c r="G12" s="18" t="n">
        <v>37.58927114</v>
      </c>
      <c r="H12" s="20" t="n">
        <v>3.03212401</v>
      </c>
      <c r="I12" s="18" t="s">
        <v>431</v>
      </c>
      <c r="J12" s="20" t="s">
        <v>431</v>
      </c>
      <c r="K12" s="18" t="n">
        <v>0.79996321</v>
      </c>
      <c r="L12" s="20" t="n">
        <v>0.86480204</v>
      </c>
      <c r="M12" s="18" t="n">
        <v>0</v>
      </c>
      <c r="N12" s="20" t="n">
        <v>0</v>
      </c>
      <c r="O12" s="18" t="n">
        <v>0</v>
      </c>
      <c r="P12" s="20" t="n">
        <v>0</v>
      </c>
      <c r="Q12" s="18" t="n">
        <v>23.27364809</v>
      </c>
      <c r="R12" s="20" t="n">
        <v>2.3971411</v>
      </c>
    </row>
    <row r="13" spans="1:18">
      <c r="A13" s="15" t="s">
        <v>437</v>
      </c>
      <c r="B13" s="17" t="n">
        <v>3559</v>
      </c>
      <c r="C13" s="18">
        <f>(3156.0/B13*100)</f>
        <v/>
      </c>
      <c r="D13" s="19" t="n">
        <v>403</v>
      </c>
      <c r="E13" s="18" t="n">
        <v>47.23282675</v>
      </c>
      <c r="F13" s="20" t="n">
        <v>3.01271471</v>
      </c>
      <c r="G13" s="18" t="n">
        <v>35.38010175</v>
      </c>
      <c r="H13" s="20" t="n">
        <v>2.69489513</v>
      </c>
      <c r="I13" s="18" t="s">
        <v>431</v>
      </c>
      <c r="J13" s="20" t="s">
        <v>431</v>
      </c>
      <c r="K13" s="18" t="n">
        <v>0.04477212</v>
      </c>
      <c r="L13" s="20" t="n">
        <v>0.04289814</v>
      </c>
      <c r="M13" s="18" t="n">
        <v>0</v>
      </c>
      <c r="N13" s="20" t="n">
        <v>0</v>
      </c>
      <c r="O13" s="18" t="n">
        <v>0</v>
      </c>
      <c r="P13" s="20" t="n">
        <v>0</v>
      </c>
      <c r="Q13" s="18" t="n">
        <v>17.34229939</v>
      </c>
      <c r="R13" s="20" t="n">
        <v>1.95695703</v>
      </c>
    </row>
    <row r="14" spans="1:18">
      <c r="A14" s="15" t="s">
        <v>438</v>
      </c>
      <c r="B14" s="17" t="n">
        <v>2799</v>
      </c>
      <c r="C14" s="18">
        <f>(2454.0/B14*100)</f>
        <v/>
      </c>
      <c r="D14" s="19" t="n">
        <v>345</v>
      </c>
      <c r="E14" s="18" t="n">
        <v>36.27680344</v>
      </c>
      <c r="F14" s="20" t="n">
        <v>2.65568385</v>
      </c>
      <c r="G14" s="18" t="n">
        <v>48.27957187</v>
      </c>
      <c r="H14" s="20" t="n">
        <v>2.77486153</v>
      </c>
      <c r="I14" s="18" t="s">
        <v>431</v>
      </c>
      <c r="J14" s="20" t="s">
        <v>431</v>
      </c>
      <c r="K14" s="18" t="n">
        <v>0.3143571</v>
      </c>
      <c r="L14" s="20" t="n">
        <v>0.31469686</v>
      </c>
      <c r="M14" s="18" t="n">
        <v>0</v>
      </c>
      <c r="N14" s="20" t="n">
        <v>0</v>
      </c>
      <c r="O14" s="18" t="n">
        <v>0</v>
      </c>
      <c r="P14" s="20" t="n">
        <v>0</v>
      </c>
      <c r="Q14" s="18" t="n">
        <v>15.12926759</v>
      </c>
      <c r="R14" s="20" t="n">
        <v>2.16050862</v>
      </c>
    </row>
    <row r="15" spans="1:18">
      <c r="A15" s="15" t="s">
        <v>439</v>
      </c>
      <c r="B15" s="17" t="n">
        <v>3019</v>
      </c>
      <c r="C15" s="18">
        <f>(2651.0/B15*100)</f>
        <v/>
      </c>
      <c r="D15" s="19" t="n">
        <v>368</v>
      </c>
      <c r="E15" s="18" t="n">
        <v>32.19445133</v>
      </c>
      <c r="F15" s="20" t="n">
        <v>2.77232443</v>
      </c>
      <c r="G15" s="18" t="n">
        <v>52.06841707</v>
      </c>
      <c r="H15" s="20" t="n">
        <v>2.43111004</v>
      </c>
      <c r="I15" s="18" t="s">
        <v>431</v>
      </c>
      <c r="J15" s="20" t="s">
        <v>431</v>
      </c>
      <c r="K15" s="18" t="n">
        <v>0</v>
      </c>
      <c r="L15" s="20" t="n">
        <v>0</v>
      </c>
      <c r="M15" s="18" t="n">
        <v>0</v>
      </c>
      <c r="N15" s="20" t="n">
        <v>0</v>
      </c>
      <c r="O15" s="18" t="n">
        <v>0</v>
      </c>
      <c r="P15" s="20" t="n">
        <v>0</v>
      </c>
      <c r="Q15" s="18" t="n">
        <v>15.73713161</v>
      </c>
      <c r="R15" s="20" t="n">
        <v>1.84169167</v>
      </c>
    </row>
    <row r="16" spans="1:18">
      <c r="A16" s="15" t="s">
        <v>440</v>
      </c>
      <c r="B16" s="17" t="n">
        <v>2997</v>
      </c>
      <c r="C16" s="18">
        <f>(2645.0/B16*100)</f>
        <v/>
      </c>
      <c r="D16" s="19" t="n">
        <v>352</v>
      </c>
      <c r="E16" s="18" t="n">
        <v>31.31219547</v>
      </c>
      <c r="F16" s="20" t="n">
        <v>2.3775358</v>
      </c>
      <c r="G16" s="18" t="n">
        <v>34.79324897</v>
      </c>
      <c r="H16" s="20" t="n">
        <v>2.44436499</v>
      </c>
      <c r="I16" s="18" t="s">
        <v>431</v>
      </c>
      <c r="J16" s="20" t="s">
        <v>431</v>
      </c>
      <c r="K16" s="18" t="n">
        <v>0.25180167</v>
      </c>
      <c r="L16" s="20" t="n">
        <v>0.25186292</v>
      </c>
      <c r="M16" s="18" t="n">
        <v>0</v>
      </c>
      <c r="N16" s="20" t="n">
        <v>0</v>
      </c>
      <c r="O16" s="18" t="n">
        <v>0</v>
      </c>
      <c r="P16" s="20" t="n">
        <v>0</v>
      </c>
      <c r="Q16" s="18" t="n">
        <v>33.64275389</v>
      </c>
      <c r="R16" s="20" t="n">
        <v>2.27513482</v>
      </c>
    </row>
    <row r="17" spans="1:18">
      <c r="A17" s="15" t="s">
        <v>441</v>
      </c>
      <c r="B17" s="17" t="n">
        <v>3307</v>
      </c>
      <c r="C17" s="18">
        <f>(2917.0/B17*100)</f>
        <v/>
      </c>
      <c r="D17" s="19" t="n">
        <v>390</v>
      </c>
      <c r="E17" s="18" t="n">
        <v>41.17225125</v>
      </c>
      <c r="F17" s="20" t="n">
        <v>2.98120199</v>
      </c>
      <c r="G17" s="18" t="n">
        <v>29.7071358</v>
      </c>
      <c r="H17" s="20" t="n">
        <v>2.53967405</v>
      </c>
      <c r="I17" s="18" t="s">
        <v>431</v>
      </c>
      <c r="J17" s="20" t="s">
        <v>431</v>
      </c>
      <c r="K17" s="18" t="n">
        <v>1.28363543</v>
      </c>
      <c r="L17" s="20" t="n">
        <v>0.57814784</v>
      </c>
      <c r="M17" s="18" t="n">
        <v>0</v>
      </c>
      <c r="N17" s="20" t="n">
        <v>0</v>
      </c>
      <c r="O17" s="18" t="n">
        <v>0</v>
      </c>
      <c r="P17" s="20" t="n">
        <v>0</v>
      </c>
      <c r="Q17" s="18" t="n">
        <v>27.83697752</v>
      </c>
      <c r="R17" s="20" t="n">
        <v>2.4897854</v>
      </c>
    </row>
    <row r="18" spans="1:18">
      <c r="A18" s="15" t="s">
        <v>442</v>
      </c>
      <c r="B18" s="17" t="n">
        <v>2826</v>
      </c>
      <c r="C18" s="18">
        <f>(2488.0/B18*100)</f>
        <v/>
      </c>
      <c r="D18" s="19" t="n">
        <v>338</v>
      </c>
      <c r="E18" s="18" t="n">
        <v>48.84147467</v>
      </c>
      <c r="F18" s="20" t="n">
        <v>2.4279088</v>
      </c>
      <c r="G18" s="18" t="n">
        <v>22.74547434</v>
      </c>
      <c r="H18" s="20" t="n">
        <v>2.05935105</v>
      </c>
      <c r="I18" s="18" t="s">
        <v>431</v>
      </c>
      <c r="J18" s="20" t="s">
        <v>431</v>
      </c>
      <c r="K18" s="18" t="n">
        <v>1.51802085</v>
      </c>
      <c r="L18" s="20" t="n">
        <v>0.74069725</v>
      </c>
      <c r="M18" s="18" t="n">
        <v>0</v>
      </c>
      <c r="N18" s="20" t="n">
        <v>0</v>
      </c>
      <c r="O18" s="18" t="n">
        <v>0</v>
      </c>
      <c r="P18" s="20" t="n">
        <v>0</v>
      </c>
      <c r="Q18" s="18" t="n">
        <v>26.89503014</v>
      </c>
      <c r="R18" s="20" t="n">
        <v>2.43460292</v>
      </c>
    </row>
    <row r="19" spans="1:18">
      <c r="A19" s="15" t="s">
        <v>443</v>
      </c>
      <c r="B19" s="17" t="n">
        <v>2808</v>
      </c>
      <c r="C19" s="18">
        <f>(2481.0/B19*100)</f>
        <v/>
      </c>
      <c r="D19" s="19" t="n">
        <v>327</v>
      </c>
      <c r="E19" s="18" t="n">
        <v>33.66324608</v>
      </c>
      <c r="F19" s="20" t="n">
        <v>2.4901013</v>
      </c>
      <c r="G19" s="18" t="n">
        <v>41.75911403</v>
      </c>
      <c r="H19" s="20" t="n">
        <v>2.87515945</v>
      </c>
      <c r="I19" s="18" t="s">
        <v>431</v>
      </c>
      <c r="J19" s="20" t="s">
        <v>431</v>
      </c>
      <c r="K19" s="18" t="n">
        <v>0</v>
      </c>
      <c r="L19" s="20" t="n">
        <v>0</v>
      </c>
      <c r="M19" s="18" t="n">
        <v>0</v>
      </c>
      <c r="N19" s="20" t="n">
        <v>0</v>
      </c>
      <c r="O19" s="18" t="n">
        <v>0</v>
      </c>
      <c r="P19" s="20" t="n">
        <v>0</v>
      </c>
      <c r="Q19" s="18" t="n">
        <v>24.57763989</v>
      </c>
      <c r="R19" s="20" t="n">
        <v>2.25712436</v>
      </c>
    </row>
    <row r="20" spans="1:18">
      <c r="A20" s="15" t="s">
        <v>444</v>
      </c>
      <c r="B20" s="17" t="n">
        <v>1630</v>
      </c>
      <c r="C20" s="18">
        <f>(1441.0/B20*100)</f>
        <v/>
      </c>
      <c r="D20" s="19" t="n">
        <v>189</v>
      </c>
      <c r="E20" s="18" t="n">
        <v>54.09281156</v>
      </c>
      <c r="F20" s="20" t="n">
        <v>3.33038944</v>
      </c>
      <c r="G20" s="18" t="n">
        <v>16.34973989</v>
      </c>
      <c r="H20" s="20" t="n">
        <v>3.23635581</v>
      </c>
      <c r="I20" s="18" t="s">
        <v>431</v>
      </c>
      <c r="J20" s="20" t="s">
        <v>431</v>
      </c>
      <c r="K20" s="18" t="n">
        <v>0.96895474</v>
      </c>
      <c r="L20" s="20" t="n">
        <v>0.68334097</v>
      </c>
      <c r="M20" s="18" t="n">
        <v>0</v>
      </c>
      <c r="N20" s="20" t="n">
        <v>0</v>
      </c>
      <c r="O20" s="18" t="n">
        <v>0</v>
      </c>
      <c r="P20" s="20" t="n">
        <v>0</v>
      </c>
      <c r="Q20" s="18" t="n">
        <v>28.58849382</v>
      </c>
      <c r="R20" s="20" t="n">
        <v>3.18672459</v>
      </c>
    </row>
    <row r="21" spans="1:18">
      <c r="A21" s="15" t="s">
        <v>445</v>
      </c>
      <c r="B21" s="17" t="n">
        <v>2908</v>
      </c>
      <c r="C21" s="18">
        <f>(2432.0/B21*100)</f>
        <v/>
      </c>
      <c r="D21" s="19" t="n">
        <v>476</v>
      </c>
      <c r="E21" s="18" t="n">
        <v>40.8725169</v>
      </c>
      <c r="F21" s="20" t="n">
        <v>2.225913</v>
      </c>
      <c r="G21" s="18" t="n">
        <v>41.6507403</v>
      </c>
      <c r="H21" s="20" t="n">
        <v>2.62558133</v>
      </c>
      <c r="I21" s="18" t="s">
        <v>431</v>
      </c>
      <c r="J21" s="20" t="s">
        <v>431</v>
      </c>
      <c r="K21" s="18" t="n">
        <v>0.56071602</v>
      </c>
      <c r="L21" s="20" t="n">
        <v>0.30053075</v>
      </c>
      <c r="M21" s="18" t="n">
        <v>0</v>
      </c>
      <c r="N21" s="20" t="n">
        <v>0</v>
      </c>
      <c r="O21" s="18" t="n">
        <v>0</v>
      </c>
      <c r="P21" s="20" t="n">
        <v>0</v>
      </c>
      <c r="Q21" s="18" t="n">
        <v>16.91602678</v>
      </c>
      <c r="R21" s="20" t="n">
        <v>1.76276565</v>
      </c>
    </row>
    <row r="22" spans="1:18">
      <c r="A22" s="15" t="s">
        <v>446</v>
      </c>
      <c r="B22" s="17" t="n">
        <v>2931</v>
      </c>
      <c r="C22" s="18">
        <f>(2593.0/B22*100)</f>
        <v/>
      </c>
      <c r="D22" s="19" t="n">
        <v>338</v>
      </c>
      <c r="E22" s="18" t="n">
        <v>35.92458613</v>
      </c>
      <c r="F22" s="20" t="n">
        <v>2.61050285</v>
      </c>
      <c r="G22" s="18" t="n">
        <v>40.34961767</v>
      </c>
      <c r="H22" s="20" t="n">
        <v>3.28304481</v>
      </c>
      <c r="I22" s="18" t="s">
        <v>431</v>
      </c>
      <c r="J22" s="20" t="s">
        <v>431</v>
      </c>
      <c r="K22" s="18" t="n">
        <v>0.70848671</v>
      </c>
      <c r="L22" s="20" t="n">
        <v>0.40865022</v>
      </c>
      <c r="M22" s="18" t="n">
        <v>0</v>
      </c>
      <c r="N22" s="20" t="n">
        <v>0</v>
      </c>
      <c r="O22" s="18" t="n">
        <v>0</v>
      </c>
      <c r="P22" s="20" t="n">
        <v>0</v>
      </c>
      <c r="Q22" s="18" t="n">
        <v>23.0173095</v>
      </c>
      <c r="R22" s="20" t="n">
        <v>2.66208275</v>
      </c>
    </row>
    <row r="23" spans="1:18">
      <c r="A23" s="15" t="s">
        <v>447</v>
      </c>
      <c r="B23" s="17" t="n">
        <v>5791</v>
      </c>
      <c r="C23" s="18">
        <f>(5056.0/B23*100)</f>
        <v/>
      </c>
      <c r="D23" s="19" t="n">
        <v>735</v>
      </c>
      <c r="E23" s="18" t="n">
        <v>38.96294576</v>
      </c>
      <c r="F23" s="20" t="n">
        <v>3.04690973</v>
      </c>
      <c r="G23" s="18" t="n">
        <v>30.24858358</v>
      </c>
      <c r="H23" s="20" t="n">
        <v>2.63299388</v>
      </c>
      <c r="I23" s="18" t="s">
        <v>431</v>
      </c>
      <c r="J23" s="20" t="s">
        <v>431</v>
      </c>
      <c r="K23" s="18" t="n">
        <v>0.6518496499999999</v>
      </c>
      <c r="L23" s="20" t="n">
        <v>0.45360598</v>
      </c>
      <c r="M23" s="18" t="n">
        <v>0.20402718</v>
      </c>
      <c r="N23" s="20" t="n">
        <v>0.23600756</v>
      </c>
      <c r="O23" s="18" t="n">
        <v>0</v>
      </c>
      <c r="P23" s="20" t="n">
        <v>0</v>
      </c>
      <c r="Q23" s="18" t="n">
        <v>29.93259383</v>
      </c>
      <c r="R23" s="20" t="n">
        <v>2.29360515</v>
      </c>
    </row>
    <row r="24" spans="1:18">
      <c r="A24" s="15" t="s">
        <v>448</v>
      </c>
      <c r="B24" s="17" t="n">
        <v>3338</v>
      </c>
      <c r="C24" s="18">
        <f>(2945.0/B24*100)</f>
        <v/>
      </c>
      <c r="D24" s="19" t="n">
        <v>393</v>
      </c>
      <c r="E24" s="18" t="n">
        <v>32.47099957</v>
      </c>
      <c r="F24" s="20" t="n">
        <v>2.16890718</v>
      </c>
      <c r="G24" s="18" t="n">
        <v>38.46137105</v>
      </c>
      <c r="H24" s="20" t="n">
        <v>2.44424368</v>
      </c>
      <c r="I24" s="18" t="s">
        <v>431</v>
      </c>
      <c r="J24" s="20" t="s">
        <v>431</v>
      </c>
      <c r="K24" s="18" t="n">
        <v>0.46760138</v>
      </c>
      <c r="L24" s="20" t="n">
        <v>0.328918</v>
      </c>
      <c r="M24" s="18" t="n">
        <v>0</v>
      </c>
      <c r="N24" s="20" t="n">
        <v>0</v>
      </c>
      <c r="O24" s="18" t="n">
        <v>0</v>
      </c>
      <c r="P24" s="20" t="n">
        <v>0</v>
      </c>
      <c r="Q24" s="18" t="n">
        <v>28.600028</v>
      </c>
      <c r="R24" s="20" t="n">
        <v>2.37902352</v>
      </c>
    </row>
    <row r="25" spans="1:18">
      <c r="A25" s="15" t="s">
        <v>449</v>
      </c>
      <c r="B25" s="17" t="n">
        <v>2912</v>
      </c>
      <c r="C25" s="18">
        <f>(2568.0/B25*100)</f>
        <v/>
      </c>
      <c r="D25" s="19" t="n">
        <v>344</v>
      </c>
      <c r="E25" s="18" t="n">
        <v>39.81553588</v>
      </c>
      <c r="F25" s="20" t="n">
        <v>2.90843052</v>
      </c>
      <c r="G25" s="18" t="n">
        <v>41.8986494</v>
      </c>
      <c r="H25" s="20" t="n">
        <v>3.01495392</v>
      </c>
      <c r="I25" s="18" t="s">
        <v>431</v>
      </c>
      <c r="J25" s="20" t="s">
        <v>431</v>
      </c>
      <c r="K25" s="18" t="n">
        <v>0.26704513</v>
      </c>
      <c r="L25" s="20" t="n">
        <v>0.26736829</v>
      </c>
      <c r="M25" s="18" t="n">
        <v>0</v>
      </c>
      <c r="N25" s="20" t="n">
        <v>0</v>
      </c>
      <c r="O25" s="18" t="n">
        <v>0</v>
      </c>
      <c r="P25" s="20" t="n">
        <v>0</v>
      </c>
      <c r="Q25" s="18" t="n">
        <v>18.01876959</v>
      </c>
      <c r="R25" s="20" t="n">
        <v>2.28176647</v>
      </c>
    </row>
    <row r="26" spans="1:18">
      <c r="A26" s="15" t="s">
        <v>450</v>
      </c>
      <c r="B26" s="17" t="n">
        <v>2450</v>
      </c>
      <c r="C26" s="18">
        <f>(2141.0/B26*100)</f>
        <v/>
      </c>
      <c r="D26" s="19" t="n">
        <v>309</v>
      </c>
      <c r="E26" s="18" t="n">
        <v>50.82719248</v>
      </c>
      <c r="F26" s="20" t="n">
        <v>3.35376707</v>
      </c>
      <c r="G26" s="18" t="n">
        <v>26.17656677</v>
      </c>
      <c r="H26" s="20" t="n">
        <v>2.73363153</v>
      </c>
      <c r="I26" s="18" t="s">
        <v>431</v>
      </c>
      <c r="J26" s="20" t="s">
        <v>431</v>
      </c>
      <c r="K26" s="18" t="n">
        <v>0</v>
      </c>
      <c r="L26" s="20" t="n">
        <v>0</v>
      </c>
      <c r="M26" s="18" t="n">
        <v>0.64320033</v>
      </c>
      <c r="N26" s="20" t="n">
        <v>0.65093931</v>
      </c>
      <c r="O26" s="18" t="n">
        <v>0</v>
      </c>
      <c r="P26" s="20" t="n">
        <v>0</v>
      </c>
      <c r="Q26" s="18" t="n">
        <v>22.35304042</v>
      </c>
      <c r="R26" s="20" t="n">
        <v>2.72682915</v>
      </c>
    </row>
    <row r="27" spans="1:18">
      <c r="A27" s="15" t="s">
        <v>451</v>
      </c>
      <c r="B27" s="17" t="n">
        <v>2616</v>
      </c>
      <c r="C27" s="18">
        <f>(2303.0/B27*100)</f>
        <v/>
      </c>
      <c r="D27" s="19" t="n">
        <v>313</v>
      </c>
      <c r="E27" s="18" t="n">
        <v>37.94202467</v>
      </c>
      <c r="F27" s="20" t="n">
        <v>3.03257014</v>
      </c>
      <c r="G27" s="18" t="n">
        <v>27.85373013</v>
      </c>
      <c r="H27" s="20" t="n">
        <v>2.58450792</v>
      </c>
      <c r="I27" s="18" t="s">
        <v>431</v>
      </c>
      <c r="J27" s="20" t="s">
        <v>431</v>
      </c>
      <c r="K27" s="18" t="n">
        <v>0.63382925</v>
      </c>
      <c r="L27" s="20" t="n">
        <v>0.44871343</v>
      </c>
      <c r="M27" s="18" t="n">
        <v>0</v>
      </c>
      <c r="N27" s="20" t="n">
        <v>0</v>
      </c>
      <c r="O27" s="18" t="n">
        <v>0</v>
      </c>
      <c r="P27" s="20" t="n">
        <v>0</v>
      </c>
      <c r="Q27" s="18" t="n">
        <v>33.57041595</v>
      </c>
      <c r="R27" s="20" t="n">
        <v>3.27081162</v>
      </c>
    </row>
    <row r="28" spans="1:18">
      <c r="A28" s="15" t="s">
        <v>452</v>
      </c>
      <c r="B28" s="17" t="n">
        <v>3765</v>
      </c>
      <c r="C28" s="18">
        <f>(3326.0/B28*100)</f>
        <v/>
      </c>
      <c r="D28" s="19" t="n">
        <v>439</v>
      </c>
      <c r="E28" s="18" t="n">
        <v>67.02747144999999</v>
      </c>
      <c r="F28" s="20" t="n">
        <v>2.58765341</v>
      </c>
      <c r="G28" s="18" t="n">
        <v>20.63013548</v>
      </c>
      <c r="H28" s="20" t="n">
        <v>2.26333318</v>
      </c>
      <c r="I28" s="18" t="s">
        <v>431</v>
      </c>
      <c r="J28" s="20" t="s">
        <v>431</v>
      </c>
      <c r="K28" s="18" t="n">
        <v>1.84509954</v>
      </c>
      <c r="L28" s="20" t="n">
        <v>0.75045029</v>
      </c>
      <c r="M28" s="18" t="n">
        <v>0</v>
      </c>
      <c r="N28" s="20" t="n">
        <v>0</v>
      </c>
      <c r="O28" s="18" t="n">
        <v>0</v>
      </c>
      <c r="P28" s="20" t="n">
        <v>0</v>
      </c>
      <c r="Q28" s="18" t="n">
        <v>10.49729353</v>
      </c>
      <c r="R28" s="20" t="n">
        <v>1.48325987</v>
      </c>
    </row>
    <row r="29" spans="1:18">
      <c r="A29" s="15" t="s">
        <v>453</v>
      </c>
      <c r="B29" s="17" t="n">
        <v>2685</v>
      </c>
      <c r="C29" s="18">
        <f>(2346.0/B29*100)</f>
        <v/>
      </c>
      <c r="D29" s="19" t="n">
        <v>339</v>
      </c>
      <c r="E29" s="18" t="n">
        <v>58.04495057</v>
      </c>
      <c r="F29" s="20" t="n">
        <v>2.44223463</v>
      </c>
      <c r="G29" s="18" t="n">
        <v>37.06436676</v>
      </c>
      <c r="H29" s="20" t="n">
        <v>2.4548962</v>
      </c>
      <c r="I29" s="18" t="s">
        <v>431</v>
      </c>
      <c r="J29" s="20" t="s">
        <v>431</v>
      </c>
      <c r="K29" s="18" t="n">
        <v>0.35523293</v>
      </c>
      <c r="L29" s="20" t="n">
        <v>0.25392862</v>
      </c>
      <c r="M29" s="18" t="n">
        <v>0</v>
      </c>
      <c r="N29" s="20" t="n">
        <v>0</v>
      </c>
      <c r="O29" s="18" t="n">
        <v>0</v>
      </c>
      <c r="P29" s="20" t="n">
        <v>0</v>
      </c>
      <c r="Q29" s="18" t="n">
        <v>4.53544975</v>
      </c>
      <c r="R29" s="20" t="n">
        <v>1.33231723</v>
      </c>
    </row>
    <row r="30" spans="1:18">
      <c r="A30" s="15" t="s">
        <v>454</v>
      </c>
      <c r="B30" s="17" t="n">
        <v>2263</v>
      </c>
      <c r="C30" s="18">
        <f>(1978.0/B30*100)</f>
        <v/>
      </c>
      <c r="D30" s="19" t="n">
        <v>285</v>
      </c>
      <c r="E30" s="18" t="n">
        <v>39.41269427</v>
      </c>
      <c r="F30" s="20" t="n">
        <v>3.16987087</v>
      </c>
      <c r="G30" s="18" t="n">
        <v>33.9915995</v>
      </c>
      <c r="H30" s="20" t="n">
        <v>2.8632043</v>
      </c>
      <c r="I30" s="18" t="s">
        <v>431</v>
      </c>
      <c r="J30" s="20" t="s">
        <v>431</v>
      </c>
      <c r="K30" s="18" t="n">
        <v>1.6038255</v>
      </c>
      <c r="L30" s="20" t="n">
        <v>0.72436448</v>
      </c>
      <c r="M30" s="18" t="n">
        <v>0.79008632</v>
      </c>
      <c r="N30" s="20" t="n">
        <v>0.56754129</v>
      </c>
      <c r="O30" s="18" t="n">
        <v>0</v>
      </c>
      <c r="P30" s="20" t="n">
        <v>0</v>
      </c>
      <c r="Q30" s="18" t="n">
        <v>24.20179441</v>
      </c>
      <c r="R30" s="20" t="n">
        <v>2.50012561</v>
      </c>
    </row>
    <row r="31" spans="1:18">
      <c r="A31" s="15" t="s">
        <v>455</v>
      </c>
      <c r="B31" s="17" t="n">
        <v>2750</v>
      </c>
      <c r="C31" s="18">
        <f>(2422.0/B31*100)</f>
        <v/>
      </c>
      <c r="D31" s="19" t="n">
        <v>328</v>
      </c>
      <c r="E31" s="18" t="n">
        <v>39.68950157</v>
      </c>
      <c r="F31" s="20" t="n">
        <v>2.51185148</v>
      </c>
      <c r="G31" s="18" t="n">
        <v>31.04031553</v>
      </c>
      <c r="H31" s="20" t="n">
        <v>2.47547889</v>
      </c>
      <c r="I31" s="18" t="s">
        <v>431</v>
      </c>
      <c r="J31" s="20" t="s">
        <v>431</v>
      </c>
      <c r="K31" s="18" t="n">
        <v>0.58943974</v>
      </c>
      <c r="L31" s="20" t="n">
        <v>0.40270034</v>
      </c>
      <c r="M31" s="18" t="n">
        <v>0</v>
      </c>
      <c r="N31" s="20" t="n">
        <v>0</v>
      </c>
      <c r="O31" s="18" t="n">
        <v>0</v>
      </c>
      <c r="P31" s="20" t="n">
        <v>0</v>
      </c>
      <c r="Q31" s="18" t="n">
        <v>28.68074315</v>
      </c>
      <c r="R31" s="20" t="n">
        <v>2.55534078</v>
      </c>
    </row>
    <row r="32" spans="1:18">
      <c r="A32" s="15" t="s">
        <v>456</v>
      </c>
      <c r="B32" s="17" t="n">
        <v>2269</v>
      </c>
      <c r="C32" s="18">
        <f>(1917.0/B32*100)</f>
        <v/>
      </c>
      <c r="D32" s="19" t="n">
        <v>352</v>
      </c>
      <c r="E32" s="18" t="n">
        <v>37.47230286</v>
      </c>
      <c r="F32" s="20" t="n">
        <v>2.34218395</v>
      </c>
      <c r="G32" s="18" t="n">
        <v>36.24105158</v>
      </c>
      <c r="H32" s="20" t="n">
        <v>2.93639864</v>
      </c>
      <c r="I32" s="18" t="s">
        <v>431</v>
      </c>
      <c r="J32" s="20" t="s">
        <v>431</v>
      </c>
      <c r="K32" s="18" t="n">
        <v>0</v>
      </c>
      <c r="L32" s="20" t="n">
        <v>0</v>
      </c>
      <c r="M32" s="18" t="n">
        <v>0</v>
      </c>
      <c r="N32" s="20" t="n">
        <v>0</v>
      </c>
      <c r="O32" s="18" t="n">
        <v>0</v>
      </c>
      <c r="P32" s="20" t="n">
        <v>0</v>
      </c>
      <c r="Q32" s="18" t="n">
        <v>26.28664556</v>
      </c>
      <c r="R32" s="20" t="n">
        <v>2.53012785</v>
      </c>
    </row>
    <row r="33" spans="1:18">
      <c r="A33" s="15" t="s">
        <v>457</v>
      </c>
      <c r="B33" s="17" t="n">
        <v>3674</v>
      </c>
      <c r="C33" s="18">
        <f>(3240.0/B33*100)</f>
        <v/>
      </c>
      <c r="D33" s="19" t="n">
        <v>434</v>
      </c>
      <c r="E33" s="18" t="n">
        <v>36.91607112</v>
      </c>
      <c r="F33" s="20" t="n">
        <v>2.85081248</v>
      </c>
      <c r="G33" s="18" t="n">
        <v>34.3633372</v>
      </c>
      <c r="H33" s="20" t="n">
        <v>2.62016542</v>
      </c>
      <c r="I33" s="18" t="s">
        <v>431</v>
      </c>
      <c r="J33" s="20" t="s">
        <v>431</v>
      </c>
      <c r="K33" s="18" t="n">
        <v>0.33406524</v>
      </c>
      <c r="L33" s="20" t="n">
        <v>0.29275358</v>
      </c>
      <c r="M33" s="18" t="n">
        <v>0.25163949</v>
      </c>
      <c r="N33" s="20" t="n">
        <v>0.17616567</v>
      </c>
      <c r="O33" s="18" t="n">
        <v>0</v>
      </c>
      <c r="P33" s="20" t="n">
        <v>0</v>
      </c>
      <c r="Q33" s="18" t="n">
        <v>28.13488695</v>
      </c>
      <c r="R33" s="20" t="n">
        <v>2.85453947</v>
      </c>
    </row>
    <row r="34" spans="1:18">
      <c r="A34" s="15" t="s">
        <v>458</v>
      </c>
      <c r="B34" s="17" t="n">
        <v>3315</v>
      </c>
      <c r="C34" s="18">
        <f>(2931.0/B34*100)</f>
        <v/>
      </c>
      <c r="D34" s="19" t="n">
        <v>384</v>
      </c>
      <c r="E34" s="18" t="n">
        <v>50.48960366</v>
      </c>
      <c r="F34" s="20" t="n">
        <v>2.64450408</v>
      </c>
      <c r="G34" s="18" t="n">
        <v>24.83624519</v>
      </c>
      <c r="H34" s="20" t="n">
        <v>2.08128341</v>
      </c>
      <c r="I34" s="18" t="s">
        <v>431</v>
      </c>
      <c r="J34" s="20" t="s">
        <v>431</v>
      </c>
      <c r="K34" s="18" t="n">
        <v>0.41905579</v>
      </c>
      <c r="L34" s="20" t="n">
        <v>0.41692788</v>
      </c>
      <c r="M34" s="18" t="n">
        <v>0</v>
      </c>
      <c r="N34" s="20" t="n">
        <v>0</v>
      </c>
      <c r="O34" s="18" t="n">
        <v>0</v>
      </c>
      <c r="P34" s="20" t="n">
        <v>0</v>
      </c>
      <c r="Q34" s="18" t="n">
        <v>24.25509536</v>
      </c>
      <c r="R34" s="20" t="n">
        <v>2.35536817</v>
      </c>
    </row>
    <row r="35" spans="1:18">
      <c r="A35" s="15" t="s">
        <v>459</v>
      </c>
      <c r="B35" s="17" t="n">
        <v>3505</v>
      </c>
      <c r="C35" s="18">
        <f>(3101.0/B35*100)</f>
        <v/>
      </c>
      <c r="D35" s="19" t="n">
        <v>404</v>
      </c>
      <c r="E35" s="18" t="n">
        <v>48.32022072</v>
      </c>
      <c r="F35" s="20" t="n">
        <v>3.16715686</v>
      </c>
      <c r="G35" s="18" t="n">
        <v>17.8202019</v>
      </c>
      <c r="H35" s="20" t="n">
        <v>2.62409812</v>
      </c>
      <c r="I35" s="18" t="s">
        <v>431</v>
      </c>
      <c r="J35" s="20" t="s">
        <v>431</v>
      </c>
      <c r="K35" s="18" t="n">
        <v>0.17170986</v>
      </c>
      <c r="L35" s="20" t="n">
        <v>0.17171932</v>
      </c>
      <c r="M35" s="18" t="n">
        <v>0.4469728</v>
      </c>
      <c r="N35" s="20" t="n">
        <v>0.447284</v>
      </c>
      <c r="O35" s="18" t="n">
        <v>0</v>
      </c>
      <c r="P35" s="20" t="n">
        <v>0</v>
      </c>
      <c r="Q35" s="18" t="n">
        <v>33.24089473</v>
      </c>
      <c r="R35" s="20" t="n">
        <v>3.14673658</v>
      </c>
    </row>
    <row r="36" spans="1:18">
      <c r="A36" s="15" t="s">
        <v>460</v>
      </c>
      <c r="B36" s="17" t="n">
        <v>3332</v>
      </c>
      <c r="C36" s="18">
        <f>(2942.0/B36*100)</f>
        <v/>
      </c>
      <c r="D36" s="19" t="n">
        <v>390</v>
      </c>
      <c r="E36" s="18" t="n">
        <v>36.93001978</v>
      </c>
      <c r="F36" s="20" t="n">
        <v>2.44148977</v>
      </c>
      <c r="G36" s="18" t="n">
        <v>40.29886959</v>
      </c>
      <c r="H36" s="20" t="n">
        <v>2.59315408</v>
      </c>
      <c r="I36" s="18" t="s">
        <v>431</v>
      </c>
      <c r="J36" s="20" t="s">
        <v>431</v>
      </c>
      <c r="K36" s="18" t="n">
        <v>0.9748161400000001</v>
      </c>
      <c r="L36" s="20" t="n">
        <v>0.56355118</v>
      </c>
      <c r="M36" s="18" t="n">
        <v>0</v>
      </c>
      <c r="N36" s="20" t="n">
        <v>0</v>
      </c>
      <c r="O36" s="18" t="n">
        <v>0</v>
      </c>
      <c r="P36" s="20" t="n">
        <v>0</v>
      </c>
      <c r="Q36" s="18" t="n">
        <v>21.79629449</v>
      </c>
      <c r="R36" s="20" t="n">
        <v>2.20261347</v>
      </c>
    </row>
    <row r="37" spans="1:18">
      <c r="A37" s="15" t="s">
        <v>461</v>
      </c>
      <c r="B37" s="17" t="n">
        <v>2727</v>
      </c>
      <c r="C37" s="18">
        <f>(2385.0/B37*100)</f>
        <v/>
      </c>
      <c r="D37" s="19" t="n">
        <v>342</v>
      </c>
      <c r="E37" s="18" t="n">
        <v>35.5074239</v>
      </c>
      <c r="F37" s="20" t="n">
        <v>2.48860329</v>
      </c>
      <c r="G37" s="18" t="n">
        <v>30.56865631</v>
      </c>
      <c r="H37" s="20" t="n">
        <v>3.17123136</v>
      </c>
      <c r="I37" s="18" t="s">
        <v>431</v>
      </c>
      <c r="J37" s="20" t="s">
        <v>431</v>
      </c>
      <c r="K37" s="18" t="n">
        <v>1.26699609</v>
      </c>
      <c r="L37" s="20" t="n">
        <v>0.66536633</v>
      </c>
      <c r="M37" s="18" t="n">
        <v>0</v>
      </c>
      <c r="N37" s="20" t="n">
        <v>0</v>
      </c>
      <c r="O37" s="18" t="n">
        <v>0</v>
      </c>
      <c r="P37" s="20" t="n">
        <v>0</v>
      </c>
      <c r="Q37" s="18" t="n">
        <v>32.6569237</v>
      </c>
      <c r="R37" s="20" t="n">
        <v>2.38756829</v>
      </c>
    </row>
    <row r="38" spans="1:18">
      <c r="A38" s="15" t="s">
        <v>462</v>
      </c>
      <c r="B38" s="17" t="n">
        <v>3053</v>
      </c>
      <c r="C38" s="18">
        <f>(2573.0/B38*100)</f>
        <v/>
      </c>
      <c r="D38" s="19" t="n">
        <v>480</v>
      </c>
      <c r="E38" s="18" t="n">
        <v>43.21787118</v>
      </c>
      <c r="F38" s="20" t="n">
        <v>2.58792576</v>
      </c>
      <c r="G38" s="18" t="n">
        <v>29.04682024</v>
      </c>
      <c r="H38" s="20" t="n">
        <v>2.20801704</v>
      </c>
      <c r="I38" s="18" t="s">
        <v>431</v>
      </c>
      <c r="J38" s="20" t="s">
        <v>431</v>
      </c>
      <c r="K38" s="18" t="n">
        <v>1.17659876</v>
      </c>
      <c r="L38" s="20" t="n">
        <v>0.67723943</v>
      </c>
      <c r="M38" s="18" t="n">
        <v>0.43894325</v>
      </c>
      <c r="N38" s="20" t="n">
        <v>0.31611671</v>
      </c>
      <c r="O38" s="18" t="n">
        <v>0</v>
      </c>
      <c r="P38" s="20" t="n">
        <v>0</v>
      </c>
      <c r="Q38" s="18" t="n">
        <v>26.11976657</v>
      </c>
      <c r="R38" s="20" t="n">
        <v>2.10115965</v>
      </c>
    </row>
    <row r="39" spans="1:18">
      <c r="A39" s="15" t="s">
        <v>463</v>
      </c>
      <c r="B39" s="17" t="n">
        <v>2957</v>
      </c>
      <c r="C39" s="18">
        <f>(2588.0/B39*100)</f>
        <v/>
      </c>
      <c r="D39" s="19" t="n">
        <v>369</v>
      </c>
      <c r="E39" s="18" t="n">
        <v>58.03556127</v>
      </c>
      <c r="F39" s="20" t="n">
        <v>3.20723737</v>
      </c>
      <c r="G39" s="18" t="n">
        <v>24.01298207</v>
      </c>
      <c r="H39" s="20" t="n">
        <v>2.78987381</v>
      </c>
      <c r="I39" s="18" t="s">
        <v>431</v>
      </c>
      <c r="J39" s="20" t="s">
        <v>431</v>
      </c>
      <c r="K39" s="18" t="n">
        <v>0.43196517</v>
      </c>
      <c r="L39" s="20" t="n">
        <v>0.38094483</v>
      </c>
      <c r="M39" s="18" t="n">
        <v>0</v>
      </c>
      <c r="N39" s="20" t="n">
        <v>0</v>
      </c>
      <c r="O39" s="18" t="n">
        <v>0</v>
      </c>
      <c r="P39" s="20" t="n">
        <v>0</v>
      </c>
      <c r="Q39" s="18" t="n">
        <v>17.51949149</v>
      </c>
      <c r="R39" s="20" t="n">
        <v>2.50275886</v>
      </c>
    </row>
    <row r="40" spans="1:18">
      <c r="A40" s="15" t="s">
        <v>464</v>
      </c>
      <c r="B40" s="17" t="n">
        <v>7235</v>
      </c>
      <c r="C40" s="18">
        <f>(6356.0/B40*100)</f>
        <v/>
      </c>
      <c r="D40" s="19" t="n">
        <v>879</v>
      </c>
      <c r="E40" s="18" t="n">
        <v>38.49780716</v>
      </c>
      <c r="F40" s="20" t="n">
        <v>2.75520166</v>
      </c>
      <c r="G40" s="18" t="n">
        <v>38.14435264</v>
      </c>
      <c r="H40" s="20" t="n">
        <v>3.00476946</v>
      </c>
      <c r="I40" s="18" t="s">
        <v>431</v>
      </c>
      <c r="J40" s="20" t="s">
        <v>431</v>
      </c>
      <c r="K40" s="18" t="n">
        <v>0.4641013</v>
      </c>
      <c r="L40" s="20" t="n">
        <v>0.37467133</v>
      </c>
      <c r="M40" s="18" t="n">
        <v>0.87964825</v>
      </c>
      <c r="N40" s="20" t="n">
        <v>0.56669801</v>
      </c>
      <c r="O40" s="18" t="n">
        <v>0</v>
      </c>
      <c r="P40" s="20" t="n">
        <v>0</v>
      </c>
      <c r="Q40" s="18" t="n">
        <v>22.01409065</v>
      </c>
      <c r="R40" s="20" t="n">
        <v>2.43789929</v>
      </c>
    </row>
    <row r="41" spans="1:18">
      <c r="A41" s="15" t="s">
        <v>465</v>
      </c>
      <c r="B41" s="17" t="n">
        <v>2858</v>
      </c>
      <c r="C41" s="18">
        <f>(2520.0/B41*100)</f>
        <v/>
      </c>
      <c r="D41" s="19" t="n">
        <v>338</v>
      </c>
      <c r="E41" s="18" t="n">
        <v>53.68385745</v>
      </c>
      <c r="F41" s="20" t="n">
        <v>2.68849714</v>
      </c>
      <c r="G41" s="18" t="n">
        <v>38.55490424</v>
      </c>
      <c r="H41" s="20" t="n">
        <v>2.80891577</v>
      </c>
      <c r="I41" s="18" t="s">
        <v>431</v>
      </c>
      <c r="J41" s="20" t="s">
        <v>431</v>
      </c>
      <c r="K41" s="18" t="n">
        <v>0.20252699</v>
      </c>
      <c r="L41" s="20" t="n">
        <v>0.19621319</v>
      </c>
      <c r="M41" s="18" t="n">
        <v>0</v>
      </c>
      <c r="N41" s="20" t="n">
        <v>0</v>
      </c>
      <c r="O41" s="18" t="n">
        <v>0</v>
      </c>
      <c r="P41" s="20" t="n">
        <v>0</v>
      </c>
      <c r="Q41" s="18" t="n">
        <v>7.55871132</v>
      </c>
      <c r="R41" s="20" t="n">
        <v>1.48356599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(10046.0/B46*100)</f>
        <v/>
      </c>
      <c r="D46" s="19" t="n">
        <v>1022</v>
      </c>
      <c r="E46" s="18" t="n">
        <v>53.53704405</v>
      </c>
      <c r="F46" s="20" t="n">
        <v>2.02008182</v>
      </c>
      <c r="G46" s="18" t="n">
        <v>16.49054546</v>
      </c>
      <c r="H46" s="20" t="n">
        <v>1.39729432</v>
      </c>
      <c r="I46" s="18" t="s">
        <v>431</v>
      </c>
      <c r="J46" s="20" t="s">
        <v>431</v>
      </c>
      <c r="K46" s="18" t="n">
        <v>1.67741646</v>
      </c>
      <c r="L46" s="20" t="n">
        <v>0.51304834</v>
      </c>
      <c r="M46" s="18" t="n">
        <v>0.24865179</v>
      </c>
      <c r="N46" s="20" t="n">
        <v>0.20765106</v>
      </c>
      <c r="O46" s="18" t="n">
        <v>0</v>
      </c>
      <c r="P46" s="20" t="n">
        <v>0</v>
      </c>
      <c r="Q46" s="18" t="n">
        <v>28.04634224</v>
      </c>
      <c r="R46" s="20" t="n">
        <v>1.73932937</v>
      </c>
    </row>
    <row r="47" spans="1:18">
      <c r="A47" s="15" t="s">
        <v>471</v>
      </c>
      <c r="B47" s="17" t="n">
        <v>3105</v>
      </c>
      <c r="C47" s="18">
        <f>(2708.0/B47*100)</f>
        <v/>
      </c>
      <c r="D47" s="19" t="n">
        <v>397</v>
      </c>
      <c r="E47" s="18" t="n">
        <v>32.79020538</v>
      </c>
      <c r="F47" s="20" t="n">
        <v>2.52430546</v>
      </c>
      <c r="G47" s="18" t="n">
        <v>24.04315809</v>
      </c>
      <c r="H47" s="20" t="n">
        <v>2.35288005</v>
      </c>
      <c r="I47" s="18" t="s">
        <v>431</v>
      </c>
      <c r="J47" s="20" t="s">
        <v>431</v>
      </c>
      <c r="K47" s="18" t="n">
        <v>0</v>
      </c>
      <c r="L47" s="20" t="n">
        <v>0</v>
      </c>
      <c r="M47" s="18" t="n">
        <v>0</v>
      </c>
      <c r="N47" s="20" t="n">
        <v>0</v>
      </c>
      <c r="O47" s="18" t="n">
        <v>0</v>
      </c>
      <c r="P47" s="20" t="n">
        <v>0</v>
      </c>
      <c r="Q47" s="18" t="n">
        <v>43.16663653</v>
      </c>
      <c r="R47" s="20" t="n">
        <v>2.83917486</v>
      </c>
    </row>
    <row r="48" spans="1:18">
      <c r="A48" s="15" t="s">
        <v>472</v>
      </c>
      <c r="B48" s="17" t="n">
        <v>5159</v>
      </c>
      <c r="C48" s="18">
        <f>(4533.0/B48*100)</f>
        <v/>
      </c>
      <c r="D48" s="19" t="n">
        <v>626</v>
      </c>
      <c r="E48" s="18" t="n">
        <v>35.62725587</v>
      </c>
      <c r="F48" s="20" t="n">
        <v>2.51265989</v>
      </c>
      <c r="G48" s="18" t="n">
        <v>48.73950726</v>
      </c>
      <c r="H48" s="20" t="n">
        <v>2.45182603</v>
      </c>
      <c r="I48" s="18" t="s">
        <v>431</v>
      </c>
      <c r="J48" s="20" t="s">
        <v>431</v>
      </c>
      <c r="K48" s="18" t="n">
        <v>0.64520447</v>
      </c>
      <c r="L48" s="20" t="n">
        <v>0.46345302</v>
      </c>
      <c r="M48" s="18" t="n">
        <v>0.23877296</v>
      </c>
      <c r="N48" s="20" t="n">
        <v>0.24448792</v>
      </c>
      <c r="O48" s="18" t="n">
        <v>0</v>
      </c>
      <c r="P48" s="20" t="n">
        <v>0</v>
      </c>
      <c r="Q48" s="18" t="n">
        <v>14.74925944</v>
      </c>
      <c r="R48" s="20" t="n">
        <v>1.77518524</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(4980.0/B50*100)</f>
        <v/>
      </c>
      <c r="D50" s="19" t="n">
        <v>657</v>
      </c>
      <c r="E50" s="18" t="n">
        <v>65.48702547000001</v>
      </c>
      <c r="F50" s="20" t="n">
        <v>2.71956911</v>
      </c>
      <c r="G50" s="18" t="n">
        <v>19.26824762</v>
      </c>
      <c r="H50" s="20" t="n">
        <v>2.23398748</v>
      </c>
      <c r="I50" s="18" t="s">
        <v>431</v>
      </c>
      <c r="J50" s="20" t="s">
        <v>431</v>
      </c>
      <c r="K50" s="18" t="n">
        <v>3.18836314</v>
      </c>
      <c r="L50" s="20" t="n">
        <v>1.07375553</v>
      </c>
      <c r="M50" s="18" t="n">
        <v>0.0084639</v>
      </c>
      <c r="N50" s="20" t="n">
        <v>0.008515440000000001</v>
      </c>
      <c r="O50" s="18" t="n">
        <v>0</v>
      </c>
      <c r="P50" s="20" t="n">
        <v>0</v>
      </c>
      <c r="Q50" s="18" t="n">
        <v>12.04789987</v>
      </c>
      <c r="R50" s="20" t="n">
        <v>1.78488921</v>
      </c>
    </row>
    <row r="51" spans="1:18">
      <c r="A51" s="15" t="s">
        <v>475</v>
      </c>
      <c r="B51" s="17" t="n">
        <v>3372</v>
      </c>
      <c r="C51" s="18">
        <f>(3023.0/B51*100)</f>
        <v/>
      </c>
      <c r="D51" s="19" t="n">
        <v>349</v>
      </c>
      <c r="E51" s="18" t="n">
        <v>55.62242806</v>
      </c>
      <c r="F51" s="20" t="n">
        <v>3.03960085</v>
      </c>
      <c r="G51" s="18" t="n">
        <v>24.76787019</v>
      </c>
      <c r="H51" s="20" t="n">
        <v>2.3811695</v>
      </c>
      <c r="I51" s="18" t="s">
        <v>431</v>
      </c>
      <c r="J51" s="20" t="s">
        <v>431</v>
      </c>
      <c r="K51" s="18" t="n">
        <v>1.34306122</v>
      </c>
      <c r="L51" s="20" t="n">
        <v>0.66672835</v>
      </c>
      <c r="M51" s="18" t="n">
        <v>0</v>
      </c>
      <c r="N51" s="20" t="n">
        <v>0</v>
      </c>
      <c r="O51" s="18" t="n">
        <v>0</v>
      </c>
      <c r="P51" s="20" t="n">
        <v>0</v>
      </c>
      <c r="Q51" s="18" t="n">
        <v>18.26664052</v>
      </c>
      <c r="R51" s="20" t="n">
        <v>2.42265778</v>
      </c>
    </row>
    <row r="52" spans="1:18">
      <c r="A52" s="15" t="s">
        <v>476</v>
      </c>
      <c r="B52" s="17" t="n">
        <v>2796</v>
      </c>
      <c r="C52" s="18">
        <f>(2431.0/B52*100)</f>
        <v/>
      </c>
      <c r="D52" s="19" t="n">
        <v>365</v>
      </c>
      <c r="E52" s="18" t="n">
        <v>39.53586312</v>
      </c>
      <c r="F52" s="20" t="n">
        <v>2.8434935</v>
      </c>
      <c r="G52" s="18" t="n">
        <v>23.08603041</v>
      </c>
      <c r="H52" s="20" t="n">
        <v>1.93014364</v>
      </c>
      <c r="I52" s="18" t="s">
        <v>431</v>
      </c>
      <c r="J52" s="20" t="s">
        <v>431</v>
      </c>
      <c r="K52" s="18" t="n">
        <v>0.20829304</v>
      </c>
      <c r="L52" s="20" t="n">
        <v>0.19890601</v>
      </c>
      <c r="M52" s="18" t="n">
        <v>0</v>
      </c>
      <c r="N52" s="20" t="n">
        <v>0</v>
      </c>
      <c r="O52" s="18" t="n">
        <v>0</v>
      </c>
      <c r="P52" s="20" t="n">
        <v>0</v>
      </c>
      <c r="Q52" s="18" t="n">
        <v>37.16981343</v>
      </c>
      <c r="R52" s="20" t="n">
        <v>2.68616147</v>
      </c>
    </row>
    <row r="53" spans="1:18">
      <c r="A53" s="15" t="s">
        <v>477</v>
      </c>
      <c r="B53" s="17" t="n">
        <v>2811</v>
      </c>
      <c r="C53" s="18">
        <f>(2483.0/B53*100)</f>
        <v/>
      </c>
      <c r="D53" s="19" t="n">
        <v>328</v>
      </c>
      <c r="E53" s="18" t="n">
        <v>54.51806283</v>
      </c>
      <c r="F53" s="20" t="n">
        <v>3.20056247</v>
      </c>
      <c r="G53" s="18" t="n">
        <v>16.65558299</v>
      </c>
      <c r="H53" s="20" t="n">
        <v>2.39628902</v>
      </c>
      <c r="I53" s="18" t="s">
        <v>431</v>
      </c>
      <c r="J53" s="20" t="s">
        <v>431</v>
      </c>
      <c r="K53" s="18" t="n">
        <v>0</v>
      </c>
      <c r="L53" s="20" t="n">
        <v>0</v>
      </c>
      <c r="M53" s="18" t="n">
        <v>0</v>
      </c>
      <c r="N53" s="20" t="n">
        <v>0</v>
      </c>
      <c r="O53" s="18" t="n">
        <v>0</v>
      </c>
      <c r="P53" s="20" t="n">
        <v>0</v>
      </c>
      <c r="Q53" s="18" t="n">
        <v>28.82635418</v>
      </c>
      <c r="R53" s="20" t="n">
        <v>2.71439539</v>
      </c>
    </row>
    <row r="54" spans="1:18">
      <c r="A54" s="15" t="s">
        <v>478</v>
      </c>
      <c r="B54" s="17" t="n">
        <v>2266</v>
      </c>
      <c r="C54" s="18">
        <f>(1882.0/B54*100)</f>
        <v/>
      </c>
      <c r="D54" s="19" t="n">
        <v>384</v>
      </c>
      <c r="E54" s="18" t="n">
        <v>31.31662027</v>
      </c>
      <c r="F54" s="20" t="n">
        <v>2.41050029</v>
      </c>
      <c r="G54" s="18" t="n">
        <v>20.91532825</v>
      </c>
      <c r="H54" s="20" t="n">
        <v>2.24062062</v>
      </c>
      <c r="I54" s="18" t="s">
        <v>431</v>
      </c>
      <c r="J54" s="20" t="s">
        <v>431</v>
      </c>
      <c r="K54" s="18" t="n">
        <v>19.16229431</v>
      </c>
      <c r="L54" s="20" t="n">
        <v>2.44877986</v>
      </c>
      <c r="M54" s="18" t="n">
        <v>0.7541277</v>
      </c>
      <c r="N54" s="20" t="n">
        <v>0.5528297599999999</v>
      </c>
      <c r="O54" s="18" t="n">
        <v>0</v>
      </c>
      <c r="P54" s="20" t="n">
        <v>0</v>
      </c>
      <c r="Q54" s="18" t="n">
        <v>27.85162948</v>
      </c>
      <c r="R54" s="20" t="n">
        <v>2.57506697</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(2345.0/B56*100)</f>
        <v/>
      </c>
      <c r="D56" s="19" t="n">
        <v>339</v>
      </c>
      <c r="E56" s="18" t="n">
        <v>56.34798054</v>
      </c>
      <c r="F56" s="20" t="n">
        <v>2.79159651</v>
      </c>
      <c r="G56" s="18" t="n">
        <v>28.73056777</v>
      </c>
      <c r="H56" s="20" t="n">
        <v>2.87721771</v>
      </c>
      <c r="I56" s="18" t="s">
        <v>431</v>
      </c>
      <c r="J56" s="20" t="s">
        <v>431</v>
      </c>
      <c r="K56" s="18" t="n">
        <v>0.65855915</v>
      </c>
      <c r="L56" s="20" t="n">
        <v>0.48556177</v>
      </c>
      <c r="M56" s="18" t="n">
        <v>0</v>
      </c>
      <c r="N56" s="20" t="n">
        <v>0</v>
      </c>
      <c r="O56" s="18" t="n">
        <v>0</v>
      </c>
      <c r="P56" s="20" t="n">
        <v>0</v>
      </c>
      <c r="Q56" s="18" t="n">
        <v>14.26289254</v>
      </c>
      <c r="R56" s="20" t="n">
        <v>1.81870543</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(2927.0/B61*100)</f>
        <v/>
      </c>
      <c r="D61" s="19" t="n">
        <v>397</v>
      </c>
      <c r="E61" s="18" t="n">
        <v>48.73156114</v>
      </c>
      <c r="F61" s="20" t="n">
        <v>2.81490941</v>
      </c>
      <c r="G61" s="18" t="n">
        <v>30.25946784</v>
      </c>
      <c r="H61" s="20" t="n">
        <v>2.31656382</v>
      </c>
      <c r="I61" s="18" t="s">
        <v>431</v>
      </c>
      <c r="J61" s="20" t="s">
        <v>431</v>
      </c>
      <c r="K61" s="18" t="n">
        <v>0.2885673</v>
      </c>
      <c r="L61" s="20" t="n">
        <v>0.27072729</v>
      </c>
      <c r="M61" s="18" t="n">
        <v>0</v>
      </c>
      <c r="N61" s="20" t="n">
        <v>0</v>
      </c>
      <c r="O61" s="18" t="n">
        <v>0</v>
      </c>
      <c r="P61" s="20" t="n">
        <v>0</v>
      </c>
      <c r="Q61" s="18" t="n">
        <v>20.72040373</v>
      </c>
      <c r="R61" s="20" t="n">
        <v>2.20493776</v>
      </c>
    </row>
    <row r="62" spans="1:18">
      <c r="A62" s="15" t="s">
        <v>486</v>
      </c>
      <c r="B62" s="17" t="n">
        <v>2246</v>
      </c>
      <c r="C62" s="18">
        <f>(1983.0/B62*100)</f>
        <v/>
      </c>
      <c r="D62" s="19" t="n">
        <v>263</v>
      </c>
      <c r="E62" s="18" t="n">
        <v>52.86435406</v>
      </c>
      <c r="F62" s="20" t="n">
        <v>3.28962876</v>
      </c>
      <c r="G62" s="18" t="n">
        <v>37.21755015</v>
      </c>
      <c r="H62" s="20" t="n">
        <v>3.47197192</v>
      </c>
      <c r="I62" s="18" t="s">
        <v>431</v>
      </c>
      <c r="J62" s="20" t="s">
        <v>431</v>
      </c>
      <c r="K62" s="18" t="n">
        <v>0</v>
      </c>
      <c r="L62" s="20" t="n">
        <v>0</v>
      </c>
      <c r="M62" s="18" t="n">
        <v>0</v>
      </c>
      <c r="N62" s="20" t="n">
        <v>0</v>
      </c>
      <c r="O62" s="18" t="n">
        <v>0</v>
      </c>
      <c r="P62" s="20" t="n">
        <v>0</v>
      </c>
      <c r="Q62" s="18" t="n">
        <v>9.918095790000001</v>
      </c>
      <c r="R62" s="20" t="n">
        <v>1.86266368</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(2553.0/B66*100)</f>
        <v/>
      </c>
      <c r="D66" s="19" t="n">
        <v>341</v>
      </c>
      <c r="E66" s="18" t="n">
        <v>24.22626385</v>
      </c>
      <c r="F66" s="20" t="n">
        <v>2.1152637</v>
      </c>
      <c r="G66" s="18" t="n">
        <v>13.16235699</v>
      </c>
      <c r="H66" s="20" t="n">
        <v>1.83005906</v>
      </c>
      <c r="I66" s="18" t="s">
        <v>431</v>
      </c>
      <c r="J66" s="20" t="s">
        <v>431</v>
      </c>
      <c r="K66" s="18" t="n">
        <v>0.88907378</v>
      </c>
      <c r="L66" s="20" t="n">
        <v>0.52811178</v>
      </c>
      <c r="M66" s="18" t="n">
        <v>19.67181122</v>
      </c>
      <c r="N66" s="20" t="n">
        <v>2.04813562</v>
      </c>
      <c r="O66" s="18" t="n">
        <v>0</v>
      </c>
      <c r="P66" s="20" t="n">
        <v>0</v>
      </c>
      <c r="Q66" s="18" t="n">
        <v>42.05049416</v>
      </c>
      <c r="R66" s="20" t="n">
        <v>2.35819023</v>
      </c>
    </row>
    <row r="67" spans="1:18">
      <c r="A67" s="15" t="s">
        <v>491</v>
      </c>
      <c r="B67" s="17" t="n">
        <v>3511</v>
      </c>
      <c r="C67" s="18">
        <f>(3140.0/B67*100)</f>
        <v/>
      </c>
      <c r="D67" s="19" t="n">
        <v>371</v>
      </c>
      <c r="E67" s="18" t="n">
        <v>60.03088924</v>
      </c>
      <c r="F67" s="20" t="n">
        <v>2.62686315</v>
      </c>
      <c r="G67" s="18" t="n">
        <v>17.0585609</v>
      </c>
      <c r="H67" s="20" t="n">
        <v>2.07433134</v>
      </c>
      <c r="I67" s="18" t="s">
        <v>431</v>
      </c>
      <c r="J67" s="20" t="s">
        <v>431</v>
      </c>
      <c r="K67" s="18" t="n">
        <v>0.45046328</v>
      </c>
      <c r="L67" s="20" t="n">
        <v>0.3123593</v>
      </c>
      <c r="M67" s="18" t="n">
        <v>0.29764434</v>
      </c>
      <c r="N67" s="20" t="n">
        <v>0.29730682</v>
      </c>
      <c r="O67" s="18" t="n">
        <v>0</v>
      </c>
      <c r="P67" s="20" t="n">
        <v>0</v>
      </c>
      <c r="Q67" s="18" t="n">
        <v>22.16244224</v>
      </c>
      <c r="R67" s="20" t="n">
        <v>1.97274642</v>
      </c>
    </row>
    <row r="68" spans="1:18">
      <c r="A68" s="15" t="s">
        <v>492</v>
      </c>
      <c r="B68" s="17" t="n">
        <v>6049</v>
      </c>
      <c r="C68" s="18">
        <f>(5047.0/B68*100)</f>
        <v/>
      </c>
      <c r="D68" s="19" t="n">
        <v>1002</v>
      </c>
      <c r="E68" s="18" t="n">
        <v>55.98513633</v>
      </c>
      <c r="F68" s="20" t="n">
        <v>1.31611114</v>
      </c>
      <c r="G68" s="18" t="n">
        <v>13.95271754</v>
      </c>
      <c r="H68" s="20" t="n">
        <v>1.09511339</v>
      </c>
      <c r="I68" s="18" t="s">
        <v>431</v>
      </c>
      <c r="J68" s="20" t="s">
        <v>431</v>
      </c>
      <c r="K68" s="18" t="n">
        <v>4.47683518</v>
      </c>
      <c r="L68" s="20" t="n">
        <v>0.69917578</v>
      </c>
      <c r="M68" s="18" t="n">
        <v>0</v>
      </c>
      <c r="N68" s="20" t="n">
        <v>0</v>
      </c>
      <c r="O68" s="18" t="n">
        <v>0</v>
      </c>
      <c r="P68" s="20" t="n">
        <v>0</v>
      </c>
      <c r="Q68" s="18" t="n">
        <v>25.58531095</v>
      </c>
      <c r="R68" s="20" t="n">
        <v>1.21432297</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(2576.0/B70*100)</f>
        <v/>
      </c>
      <c r="D70" s="19" t="n">
        <v>353</v>
      </c>
      <c r="E70" s="18" t="n">
        <v>52.64802715</v>
      </c>
      <c r="F70" s="20" t="n">
        <v>3.30162577</v>
      </c>
      <c r="G70" s="18" t="n">
        <v>28.322824</v>
      </c>
      <c r="H70" s="20" t="n">
        <v>3.19718364</v>
      </c>
      <c r="I70" s="18" t="s">
        <v>431</v>
      </c>
      <c r="J70" s="20" t="s">
        <v>431</v>
      </c>
      <c r="K70" s="18" t="n">
        <v>0.15597201</v>
      </c>
      <c r="L70" s="20" t="n">
        <v>0.10167679</v>
      </c>
      <c r="M70" s="18" t="n">
        <v>0</v>
      </c>
      <c r="N70" s="20" t="n">
        <v>0</v>
      </c>
      <c r="O70" s="18" t="n">
        <v>0</v>
      </c>
      <c r="P70" s="20" t="n">
        <v>0</v>
      </c>
      <c r="Q70" s="18" t="n">
        <v>18.87317684</v>
      </c>
      <c r="R70" s="20" t="n">
        <v>2.0908767</v>
      </c>
    </row>
    <row r="71" spans="1:18">
      <c r="A71" s="15" t="s">
        <v>495</v>
      </c>
      <c r="B71" s="17" t="n">
        <v>3142</v>
      </c>
      <c r="C71" s="18">
        <f>(2759.0/B71*100)</f>
        <v/>
      </c>
      <c r="D71" s="19" t="n">
        <v>383</v>
      </c>
      <c r="E71" s="18" t="n">
        <v>46.27832542</v>
      </c>
      <c r="F71" s="20" t="n">
        <v>2.64208751</v>
      </c>
      <c r="G71" s="18" t="n">
        <v>45.89725832</v>
      </c>
      <c r="H71" s="20" t="n">
        <v>2.82431022</v>
      </c>
      <c r="I71" s="18" t="s">
        <v>431</v>
      </c>
      <c r="J71" s="20" t="s">
        <v>431</v>
      </c>
      <c r="K71" s="18" t="n">
        <v>0.23768852</v>
      </c>
      <c r="L71" s="20" t="n">
        <v>0.236413</v>
      </c>
      <c r="M71" s="18" t="n">
        <v>0.16078068</v>
      </c>
      <c r="N71" s="20" t="n">
        <v>0.16021089</v>
      </c>
      <c r="O71" s="18" t="n">
        <v>0</v>
      </c>
      <c r="P71" s="20" t="n">
        <v>0</v>
      </c>
      <c r="Q71" s="18" t="n">
        <v>7.42594707</v>
      </c>
      <c r="R71" s="20" t="n">
        <v>1.40218749</v>
      </c>
    </row>
    <row r="72" spans="1:18">
      <c r="A72" s="15" t="s">
        <v>496</v>
      </c>
      <c r="B72" s="17" t="n">
        <v>3889</v>
      </c>
      <c r="C72" s="18">
        <f>(3397.0/B72*100)</f>
        <v/>
      </c>
      <c r="D72" s="19" t="n">
        <v>492</v>
      </c>
      <c r="E72" s="18" t="n">
        <v>46.76864773</v>
      </c>
      <c r="F72" s="20" t="n">
        <v>2.00641093</v>
      </c>
      <c r="G72" s="18" t="n">
        <v>40.31795758</v>
      </c>
      <c r="H72" s="20" t="n">
        <v>2.18742164</v>
      </c>
      <c r="I72" s="18" t="s">
        <v>431</v>
      </c>
      <c r="J72" s="20" t="s">
        <v>431</v>
      </c>
      <c r="K72" s="18" t="n">
        <v>0.14090157</v>
      </c>
      <c r="L72" s="20" t="n">
        <v>0.14368853</v>
      </c>
      <c r="M72" s="18" t="n">
        <v>0</v>
      </c>
      <c r="N72" s="20" t="n">
        <v>0</v>
      </c>
      <c r="O72" s="18" t="n">
        <v>0</v>
      </c>
      <c r="P72" s="20" t="n">
        <v>0</v>
      </c>
      <c r="Q72" s="18" t="n">
        <v>12.77249312</v>
      </c>
      <c r="R72" s="20" t="n">
        <v>1.38196934</v>
      </c>
    </row>
    <row r="73" spans="1:18">
      <c r="A73" s="15" t="s">
        <v>497</v>
      </c>
      <c r="B73" s="17" t="n">
        <v>3597</v>
      </c>
      <c r="C73" s="18">
        <f>(3203.0/B73*100)</f>
        <v/>
      </c>
      <c r="D73" s="19" t="n">
        <v>394</v>
      </c>
      <c r="E73" s="18" t="n">
        <v>87.06678201</v>
      </c>
      <c r="F73" s="20" t="n">
        <v>2.55280143</v>
      </c>
      <c r="G73" s="18" t="n">
        <v>6.39554158</v>
      </c>
      <c r="H73" s="20" t="n">
        <v>1.73346715</v>
      </c>
      <c r="I73" s="18" t="s">
        <v>431</v>
      </c>
      <c r="J73" s="20" t="s">
        <v>431</v>
      </c>
      <c r="K73" s="18" t="n">
        <v>0.36232604</v>
      </c>
      <c r="L73" s="20" t="n">
        <v>0.26124908</v>
      </c>
      <c r="M73" s="18" t="n">
        <v>0</v>
      </c>
      <c r="N73" s="20" t="n">
        <v>0</v>
      </c>
      <c r="O73" s="18" t="n">
        <v>0</v>
      </c>
      <c r="P73" s="20" t="n">
        <v>0</v>
      </c>
      <c r="Q73" s="18" t="n">
        <v>6.17535038</v>
      </c>
      <c r="R73" s="20" t="n">
        <v>1.63951845</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(2148.0/B75*100)</f>
        <v/>
      </c>
      <c r="D75" s="19" t="n">
        <v>258</v>
      </c>
      <c r="E75" s="18" t="n">
        <v>43.19782879</v>
      </c>
      <c r="F75" s="20" t="n">
        <v>3.0419427</v>
      </c>
      <c r="G75" s="18" t="n">
        <v>9.267860730000001</v>
      </c>
      <c r="H75" s="20" t="n">
        <v>1.886906</v>
      </c>
      <c r="I75" s="18" t="s">
        <v>431</v>
      </c>
      <c r="J75" s="20" t="s">
        <v>431</v>
      </c>
      <c r="K75" s="18" t="n">
        <v>5.08211537</v>
      </c>
      <c r="L75" s="20" t="n">
        <v>1.33438607</v>
      </c>
      <c r="M75" s="18" t="n">
        <v>0.43970762</v>
      </c>
      <c r="N75" s="20" t="n">
        <v>0.43958284</v>
      </c>
      <c r="O75" s="18" t="n">
        <v>0</v>
      </c>
      <c r="P75" s="20" t="n">
        <v>0</v>
      </c>
      <c r="Q75" s="18" t="n">
        <v>42.01248749</v>
      </c>
      <c r="R75" s="20" t="n">
        <v>3.45064045</v>
      </c>
    </row>
    <row r="76" spans="1:18">
      <c r="A76" s="15" t="s">
        <v>500</v>
      </c>
      <c r="B76" s="17" t="n">
        <v>7052</v>
      </c>
      <c r="C76" s="18">
        <f>(6202.0/B76*100)</f>
        <v/>
      </c>
      <c r="D76" s="19" t="n">
        <v>850</v>
      </c>
      <c r="E76" s="18" t="n">
        <v>57.23042519</v>
      </c>
      <c r="F76" s="20" t="n">
        <v>1.93470611</v>
      </c>
      <c r="G76" s="18" t="n">
        <v>23.61633376</v>
      </c>
      <c r="H76" s="20" t="n">
        <v>1.78695544</v>
      </c>
      <c r="I76" s="18" t="s">
        <v>431</v>
      </c>
      <c r="J76" s="20" t="s">
        <v>431</v>
      </c>
      <c r="K76" s="18" t="n">
        <v>1.07744366</v>
      </c>
      <c r="L76" s="20" t="n">
        <v>0.39821961</v>
      </c>
      <c r="M76" s="18" t="n">
        <v>0.42551554</v>
      </c>
      <c r="N76" s="20" t="n">
        <v>0.36507213</v>
      </c>
      <c r="O76" s="18" t="n">
        <v>0</v>
      </c>
      <c r="P76" s="20" t="n">
        <v>0</v>
      </c>
      <c r="Q76" s="18" t="n">
        <v>17.65028185</v>
      </c>
      <c r="R76" s="20" t="n">
        <v>1.65689394</v>
      </c>
    </row>
    <row r="77" spans="1:18">
      <c r="A77" s="15" t="s">
        <v>501</v>
      </c>
      <c r="B77" s="17" t="n">
        <v>2908</v>
      </c>
      <c r="C77" s="18">
        <f>(2571.0/B77*100)</f>
        <v/>
      </c>
      <c r="D77" s="19" t="n">
        <v>337</v>
      </c>
      <c r="E77" s="18" t="n">
        <v>35.80691799</v>
      </c>
      <c r="F77" s="20" t="n">
        <v>2.53693349</v>
      </c>
      <c r="G77" s="18" t="n">
        <v>24.09035781</v>
      </c>
      <c r="H77" s="20" t="n">
        <v>2.31931698</v>
      </c>
      <c r="I77" s="18" t="s">
        <v>431</v>
      </c>
      <c r="J77" s="20" t="s">
        <v>431</v>
      </c>
      <c r="K77" s="18" t="n">
        <v>2.02603213</v>
      </c>
      <c r="L77" s="20" t="n">
        <v>0.80245279</v>
      </c>
      <c r="M77" s="18" t="n">
        <v>0</v>
      </c>
      <c r="N77" s="20" t="n">
        <v>0</v>
      </c>
      <c r="O77" s="18" t="n">
        <v>0</v>
      </c>
      <c r="P77" s="20" t="n">
        <v>0</v>
      </c>
      <c r="Q77" s="18" t="n">
        <v>38.07669208</v>
      </c>
      <c r="R77" s="20" t="n">
        <v>2.9818414</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(3632.0/B81*100)</f>
        <v/>
      </c>
      <c r="D81" s="19" t="n">
        <v>531</v>
      </c>
      <c r="E81" s="18" t="n">
        <v>81.65080408999999</v>
      </c>
      <c r="F81" s="20" t="n">
        <v>1.81416853</v>
      </c>
      <c r="G81" s="18" t="n">
        <v>11.70546441</v>
      </c>
      <c r="H81" s="20" t="n">
        <v>1.5815125</v>
      </c>
      <c r="I81" s="18" t="s">
        <v>431</v>
      </c>
      <c r="J81" s="20" t="s">
        <v>431</v>
      </c>
      <c r="K81" s="18" t="n">
        <v>0.1822183</v>
      </c>
      <c r="L81" s="20" t="n">
        <v>0.17646731</v>
      </c>
      <c r="M81" s="18" t="n">
        <v>0</v>
      </c>
      <c r="N81" s="20" t="n">
        <v>0</v>
      </c>
      <c r="O81" s="18" t="n">
        <v>0</v>
      </c>
      <c r="P81" s="20" t="n">
        <v>0</v>
      </c>
      <c r="Q81" s="18" t="n">
        <v>6.46151321</v>
      </c>
      <c r="R81" s="20" t="n">
        <v>1.41108378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(6472.0/B7*100)</f>
        <v/>
      </c>
      <c r="D7" s="19" t="n">
        <v>895</v>
      </c>
      <c r="E7" s="18" t="n">
        <v>64.47200684000001</v>
      </c>
      <c r="F7" s="20" t="n">
        <v>1.98314844</v>
      </c>
      <c r="G7" s="18" t="n">
        <v>33.66709104</v>
      </c>
      <c r="H7" s="20" t="n">
        <v>1.99291369</v>
      </c>
      <c r="I7" s="18" t="s">
        <v>431</v>
      </c>
      <c r="J7" s="20" t="s">
        <v>431</v>
      </c>
      <c r="K7" s="18" t="n">
        <v>0.99467862</v>
      </c>
      <c r="L7" s="20" t="n">
        <v>0.40635379</v>
      </c>
      <c r="M7" s="18" t="n">
        <v>0</v>
      </c>
      <c r="N7" s="20" t="n">
        <v>0</v>
      </c>
      <c r="O7" s="18" t="n">
        <v>0</v>
      </c>
      <c r="P7" s="20" t="n">
        <v>0</v>
      </c>
      <c r="Q7" s="18" t="n">
        <v>0.86622349</v>
      </c>
      <c r="R7" s="20" t="n">
        <v>0.31600574</v>
      </c>
    </row>
    <row r="8" spans="1:18">
      <c r="A8" s="15" t="s">
        <v>432</v>
      </c>
      <c r="B8" s="17" t="n">
        <v>3564</v>
      </c>
      <c r="C8" s="18">
        <f>(3149.0/B8*100)</f>
        <v/>
      </c>
      <c r="D8" s="19" t="n">
        <v>415</v>
      </c>
      <c r="E8" s="18" t="n">
        <v>71.02841244</v>
      </c>
      <c r="F8" s="20" t="n">
        <v>2.56131672</v>
      </c>
      <c r="G8" s="18" t="n">
        <v>27.4474886</v>
      </c>
      <c r="H8" s="20" t="n">
        <v>2.54896933</v>
      </c>
      <c r="I8" s="18" t="s">
        <v>431</v>
      </c>
      <c r="J8" s="20" t="s">
        <v>431</v>
      </c>
      <c r="K8" s="18" t="n">
        <v>0.3280348</v>
      </c>
      <c r="L8" s="20" t="n">
        <v>0.24981925</v>
      </c>
      <c r="M8" s="18" t="n">
        <v>0</v>
      </c>
      <c r="N8" s="20" t="n">
        <v>0</v>
      </c>
      <c r="O8" s="18" t="n">
        <v>0</v>
      </c>
      <c r="P8" s="20" t="n">
        <v>0</v>
      </c>
      <c r="Q8" s="18" t="n">
        <v>1.19606417</v>
      </c>
      <c r="R8" s="20" t="n">
        <v>0.6066623</v>
      </c>
    </row>
    <row r="9" spans="1:18">
      <c r="A9" s="15" t="s">
        <v>433</v>
      </c>
      <c r="B9" s="17" t="n">
        <v>4899</v>
      </c>
      <c r="C9" s="18">
        <f>(4332.0/B9*100)</f>
        <v/>
      </c>
      <c r="D9" s="19" t="n">
        <v>567</v>
      </c>
      <c r="E9" s="18" t="n">
        <v>64.75247232</v>
      </c>
      <c r="F9" s="20" t="n">
        <v>2.18909912</v>
      </c>
      <c r="G9" s="18" t="n">
        <v>34.10897028</v>
      </c>
      <c r="H9" s="20" t="n">
        <v>2.2143361</v>
      </c>
      <c r="I9" s="18" t="s">
        <v>431</v>
      </c>
      <c r="J9" s="20" t="s">
        <v>431</v>
      </c>
      <c r="K9" s="18" t="n">
        <v>0</v>
      </c>
      <c r="L9" s="20" t="n">
        <v>0</v>
      </c>
      <c r="M9" s="18" t="n">
        <v>0</v>
      </c>
      <c r="N9" s="20" t="n">
        <v>0</v>
      </c>
      <c r="O9" s="18" t="n">
        <v>0</v>
      </c>
      <c r="P9" s="20" t="n">
        <v>0</v>
      </c>
      <c r="Q9" s="18" t="n">
        <v>1.1385574</v>
      </c>
      <c r="R9" s="20" t="n">
        <v>0.45232266</v>
      </c>
    </row>
    <row r="10" spans="1:18">
      <c r="A10" s="15" t="s">
        <v>434</v>
      </c>
      <c r="B10" s="17" t="n">
        <v>10036</v>
      </c>
      <c r="C10" s="18">
        <f>(8792.0/B10*100)</f>
        <v/>
      </c>
      <c r="D10" s="19" t="n">
        <v>1244</v>
      </c>
      <c r="E10" s="18" t="n">
        <v>61.39146611</v>
      </c>
      <c r="F10" s="20" t="n">
        <v>1.90692844</v>
      </c>
      <c r="G10" s="18" t="n">
        <v>37.46758473</v>
      </c>
      <c r="H10" s="20" t="n">
        <v>1.98891164</v>
      </c>
      <c r="I10" s="18" t="s">
        <v>431</v>
      </c>
      <c r="J10" s="20" t="s">
        <v>431</v>
      </c>
      <c r="K10" s="18" t="n">
        <v>0.6965729000000001</v>
      </c>
      <c r="L10" s="20" t="n">
        <v>0.32497433</v>
      </c>
      <c r="M10" s="18" t="n">
        <v>0</v>
      </c>
      <c r="N10" s="20" t="n">
        <v>0</v>
      </c>
      <c r="O10" s="18" t="n">
        <v>0</v>
      </c>
      <c r="P10" s="20" t="n">
        <v>0</v>
      </c>
      <c r="Q10" s="18" t="n">
        <v>0.44437626</v>
      </c>
      <c r="R10" s="20" t="n">
        <v>0.27585982</v>
      </c>
    </row>
    <row r="11" spans="1:18">
      <c r="A11" s="15" t="s">
        <v>435</v>
      </c>
      <c r="B11" s="17" t="n">
        <v>3553</v>
      </c>
      <c r="C11" s="18">
        <f>(3139.0/B11*100)</f>
        <v/>
      </c>
      <c r="D11" s="19" t="n">
        <v>414</v>
      </c>
      <c r="E11" s="18" t="n">
        <v>0</v>
      </c>
      <c r="F11" s="20" t="n">
        <v>0</v>
      </c>
      <c r="G11" s="18" t="n">
        <v>0</v>
      </c>
      <c r="H11" s="20" t="n">
        <v>0</v>
      </c>
      <c r="I11" s="18" t="s">
        <v>431</v>
      </c>
      <c r="J11" s="20" t="s">
        <v>431</v>
      </c>
      <c r="K11" s="18" t="n">
        <v>0</v>
      </c>
      <c r="L11" s="20" t="n">
        <v>0</v>
      </c>
      <c r="M11" s="18" t="n">
        <v>100</v>
      </c>
      <c r="N11" s="20" t="n">
        <v>0</v>
      </c>
      <c r="O11" s="18" t="n">
        <v>0</v>
      </c>
      <c r="P11" s="20" t="n">
        <v>0</v>
      </c>
      <c r="Q11" s="18" t="n">
        <v>0</v>
      </c>
      <c r="R11" s="20" t="n">
        <v>0</v>
      </c>
    </row>
    <row r="12" spans="1:18">
      <c r="A12" s="15" t="s">
        <v>436</v>
      </c>
      <c r="B12" s="17" t="n">
        <v>3472</v>
      </c>
      <c r="C12" s="18">
        <f>(3111.0/B12*100)</f>
        <v/>
      </c>
      <c r="D12" s="19" t="n">
        <v>361</v>
      </c>
      <c r="E12" s="18" t="n">
        <v>0</v>
      </c>
      <c r="F12" s="20" t="n">
        <v>0</v>
      </c>
      <c r="G12" s="18" t="n">
        <v>0</v>
      </c>
      <c r="H12" s="20" t="n">
        <v>0</v>
      </c>
      <c r="I12" s="18" t="s">
        <v>431</v>
      </c>
      <c r="J12" s="20" t="s">
        <v>431</v>
      </c>
      <c r="K12" s="18" t="n">
        <v>0</v>
      </c>
      <c r="L12" s="20" t="n">
        <v>0</v>
      </c>
      <c r="M12" s="18" t="n">
        <v>100</v>
      </c>
      <c r="N12" s="20" t="n">
        <v>0</v>
      </c>
      <c r="O12" s="18" t="n">
        <v>0</v>
      </c>
      <c r="P12" s="20" t="n">
        <v>0</v>
      </c>
      <c r="Q12" s="18" t="n">
        <v>0</v>
      </c>
      <c r="R12" s="20" t="n">
        <v>0</v>
      </c>
    </row>
    <row r="13" spans="1:18">
      <c r="A13" s="15" t="s">
        <v>437</v>
      </c>
      <c r="B13" s="17" t="n">
        <v>3559</v>
      </c>
      <c r="C13" s="18">
        <f>(3155.0/B13*100)</f>
        <v/>
      </c>
      <c r="D13" s="19" t="n">
        <v>404</v>
      </c>
      <c r="E13" s="18" t="n">
        <v>53.49141565</v>
      </c>
      <c r="F13" s="20" t="n">
        <v>3.02886943</v>
      </c>
      <c r="G13" s="18" t="n">
        <v>45.77812277</v>
      </c>
      <c r="H13" s="20" t="n">
        <v>2.99495214</v>
      </c>
      <c r="I13" s="18" t="s">
        <v>431</v>
      </c>
      <c r="J13" s="20" t="s">
        <v>431</v>
      </c>
      <c r="K13" s="18" t="n">
        <v>0.04456324</v>
      </c>
      <c r="L13" s="20" t="n">
        <v>0.04270319</v>
      </c>
      <c r="M13" s="18" t="n">
        <v>0</v>
      </c>
      <c r="N13" s="20" t="n">
        <v>0</v>
      </c>
      <c r="O13" s="18" t="n">
        <v>0</v>
      </c>
      <c r="P13" s="20" t="n">
        <v>0</v>
      </c>
      <c r="Q13" s="18" t="n">
        <v>0.6858983400000001</v>
      </c>
      <c r="R13" s="20" t="n">
        <v>0.39011464</v>
      </c>
    </row>
    <row r="14" spans="1:18">
      <c r="A14" s="15" t="s">
        <v>438</v>
      </c>
      <c r="B14" s="17" t="n">
        <v>2799</v>
      </c>
      <c r="C14" s="18">
        <f>(2454.0/B14*100)</f>
        <v/>
      </c>
      <c r="D14" s="19" t="n">
        <v>345</v>
      </c>
      <c r="E14" s="18" t="n">
        <v>60.07724508</v>
      </c>
      <c r="F14" s="20" t="n">
        <v>2.80921216</v>
      </c>
      <c r="G14" s="18" t="n">
        <v>39.28057951</v>
      </c>
      <c r="H14" s="20" t="n">
        <v>2.7881604</v>
      </c>
      <c r="I14" s="18" t="s">
        <v>431</v>
      </c>
      <c r="J14" s="20" t="s">
        <v>431</v>
      </c>
      <c r="K14" s="18" t="n">
        <v>0.3143571</v>
      </c>
      <c r="L14" s="20" t="n">
        <v>0.31469686</v>
      </c>
      <c r="M14" s="18" t="n">
        <v>0</v>
      </c>
      <c r="N14" s="20" t="n">
        <v>0</v>
      </c>
      <c r="O14" s="18" t="n">
        <v>0</v>
      </c>
      <c r="P14" s="20" t="n">
        <v>0</v>
      </c>
      <c r="Q14" s="18" t="n">
        <v>0.32781831</v>
      </c>
      <c r="R14" s="20" t="n">
        <v>0.32786198</v>
      </c>
    </row>
    <row r="15" spans="1:18">
      <c r="A15" s="15" t="s">
        <v>439</v>
      </c>
      <c r="B15" s="17" t="n">
        <v>3019</v>
      </c>
      <c r="C15" s="18">
        <f>(2651.0/B15*100)</f>
        <v/>
      </c>
      <c r="D15" s="19" t="n">
        <v>368</v>
      </c>
      <c r="E15" s="18" t="n">
        <v>61.85998822</v>
      </c>
      <c r="F15" s="20" t="n">
        <v>2.28536325</v>
      </c>
      <c r="G15" s="18" t="n">
        <v>37.08856826</v>
      </c>
      <c r="H15" s="20" t="n">
        <v>2.3272994</v>
      </c>
      <c r="I15" s="18" t="s">
        <v>431</v>
      </c>
      <c r="J15" s="20" t="s">
        <v>431</v>
      </c>
      <c r="K15" s="18" t="n">
        <v>0</v>
      </c>
      <c r="L15" s="20" t="n">
        <v>0</v>
      </c>
      <c r="M15" s="18" t="n">
        <v>0</v>
      </c>
      <c r="N15" s="20" t="n">
        <v>0</v>
      </c>
      <c r="O15" s="18" t="n">
        <v>0</v>
      </c>
      <c r="P15" s="20" t="n">
        <v>0</v>
      </c>
      <c r="Q15" s="18" t="n">
        <v>1.05144352</v>
      </c>
      <c r="R15" s="20" t="n">
        <v>0.52536298</v>
      </c>
    </row>
    <row r="16" spans="1:18">
      <c r="A16" s="15" t="s">
        <v>440</v>
      </c>
      <c r="B16" s="17" t="n">
        <v>2997</v>
      </c>
      <c r="C16" s="18">
        <f>(2646.0/B16*100)</f>
        <v/>
      </c>
      <c r="D16" s="19" t="n">
        <v>351</v>
      </c>
      <c r="E16" s="18" t="n">
        <v>59.07386238</v>
      </c>
      <c r="F16" s="20" t="n">
        <v>2.22452466</v>
      </c>
      <c r="G16" s="18" t="n">
        <v>39.8512594</v>
      </c>
      <c r="H16" s="20" t="n">
        <v>2.16224498</v>
      </c>
      <c r="I16" s="18" t="s">
        <v>431</v>
      </c>
      <c r="J16" s="20" t="s">
        <v>431</v>
      </c>
      <c r="K16" s="18" t="n">
        <v>0.25258913</v>
      </c>
      <c r="L16" s="20" t="n">
        <v>0.25266526</v>
      </c>
      <c r="M16" s="18" t="n">
        <v>0</v>
      </c>
      <c r="N16" s="20" t="n">
        <v>0</v>
      </c>
      <c r="O16" s="18" t="n">
        <v>0</v>
      </c>
      <c r="P16" s="20" t="n">
        <v>0</v>
      </c>
      <c r="Q16" s="18" t="n">
        <v>0.8222890899999999</v>
      </c>
      <c r="R16" s="20" t="n">
        <v>0.45791396</v>
      </c>
    </row>
    <row r="17" spans="1:18">
      <c r="A17" s="15" t="s">
        <v>441</v>
      </c>
      <c r="B17" s="17" t="n">
        <v>3307</v>
      </c>
      <c r="C17" s="18">
        <f>(2916.0/B17*100)</f>
        <v/>
      </c>
      <c r="D17" s="19" t="n">
        <v>391</v>
      </c>
      <c r="E17" s="18" t="n">
        <v>60.17763152</v>
      </c>
      <c r="F17" s="20" t="n">
        <v>2.65284143</v>
      </c>
      <c r="G17" s="18" t="n">
        <v>37.58794735</v>
      </c>
      <c r="H17" s="20" t="n">
        <v>2.6791806</v>
      </c>
      <c r="I17" s="18" t="s">
        <v>431</v>
      </c>
      <c r="J17" s="20" t="s">
        <v>431</v>
      </c>
      <c r="K17" s="18" t="n">
        <v>1.28116051</v>
      </c>
      <c r="L17" s="20" t="n">
        <v>0.57717345</v>
      </c>
      <c r="M17" s="18" t="n">
        <v>0</v>
      </c>
      <c r="N17" s="20" t="n">
        <v>0</v>
      </c>
      <c r="O17" s="18" t="n">
        <v>0</v>
      </c>
      <c r="P17" s="20" t="n">
        <v>0</v>
      </c>
      <c r="Q17" s="18" t="n">
        <v>0.95326061</v>
      </c>
      <c r="R17" s="20" t="n">
        <v>0.39120328</v>
      </c>
    </row>
    <row r="18" spans="1:18">
      <c r="A18" s="15" t="s">
        <v>442</v>
      </c>
      <c r="B18" s="17" t="n">
        <v>2826</v>
      </c>
      <c r="C18" s="18">
        <f>(2488.0/B18*100)</f>
        <v/>
      </c>
      <c r="D18" s="19" t="n">
        <v>338</v>
      </c>
      <c r="E18" s="18" t="n">
        <v>61.30260203</v>
      </c>
      <c r="F18" s="20" t="n">
        <v>2.54146275</v>
      </c>
      <c r="G18" s="18" t="n">
        <v>36.009314</v>
      </c>
      <c r="H18" s="20" t="n">
        <v>2.30573459</v>
      </c>
      <c r="I18" s="18" t="s">
        <v>431</v>
      </c>
      <c r="J18" s="20" t="s">
        <v>431</v>
      </c>
      <c r="K18" s="18" t="n">
        <v>1.51802085</v>
      </c>
      <c r="L18" s="20" t="n">
        <v>0.74069725</v>
      </c>
      <c r="M18" s="18" t="n">
        <v>0</v>
      </c>
      <c r="N18" s="20" t="n">
        <v>0</v>
      </c>
      <c r="O18" s="18" t="n">
        <v>0</v>
      </c>
      <c r="P18" s="20" t="n">
        <v>0</v>
      </c>
      <c r="Q18" s="18" t="n">
        <v>1.17006312</v>
      </c>
      <c r="R18" s="20" t="n">
        <v>0.6634311000000001</v>
      </c>
    </row>
    <row r="19" spans="1:18">
      <c r="A19" s="15" t="s">
        <v>443</v>
      </c>
      <c r="B19" s="17" t="n">
        <v>2808</v>
      </c>
      <c r="C19" s="18">
        <f>(2481.0/B19*100)</f>
        <v/>
      </c>
      <c r="D19" s="19" t="n">
        <v>327</v>
      </c>
      <c r="E19" s="18" t="n">
        <v>0</v>
      </c>
      <c r="F19" s="20" t="n">
        <v>0</v>
      </c>
      <c r="G19" s="18" t="n">
        <v>0</v>
      </c>
      <c r="H19" s="20" t="n">
        <v>0</v>
      </c>
      <c r="I19" s="18" t="s">
        <v>431</v>
      </c>
      <c r="J19" s="20" t="s">
        <v>431</v>
      </c>
      <c r="K19" s="18" t="n">
        <v>0</v>
      </c>
      <c r="L19" s="20" t="n">
        <v>0</v>
      </c>
      <c r="M19" s="18" t="n">
        <v>100</v>
      </c>
      <c r="N19" s="20" t="n">
        <v>0</v>
      </c>
      <c r="O19" s="18" t="n">
        <v>0</v>
      </c>
      <c r="P19" s="20" t="n">
        <v>0</v>
      </c>
      <c r="Q19" s="18" t="n">
        <v>0</v>
      </c>
      <c r="R19" s="20" t="n">
        <v>0</v>
      </c>
    </row>
    <row r="20" spans="1:18">
      <c r="A20" s="15" t="s">
        <v>444</v>
      </c>
      <c r="B20" s="17" t="n">
        <v>1630</v>
      </c>
      <c r="C20" s="18">
        <f>(1441.0/B20*100)</f>
        <v/>
      </c>
      <c r="D20" s="19" t="n">
        <v>189</v>
      </c>
      <c r="E20" s="18" t="n">
        <v>60.30949136</v>
      </c>
      <c r="F20" s="20" t="n">
        <v>3.54244358</v>
      </c>
      <c r="G20" s="18" t="n">
        <v>38.72155391</v>
      </c>
      <c r="H20" s="20" t="n">
        <v>3.59741655</v>
      </c>
      <c r="I20" s="18" t="s">
        <v>431</v>
      </c>
      <c r="J20" s="20" t="s">
        <v>431</v>
      </c>
      <c r="K20" s="18" t="n">
        <v>0.96895474</v>
      </c>
      <c r="L20" s="20" t="n">
        <v>0.68334097</v>
      </c>
      <c r="M20" s="18" t="n">
        <v>0</v>
      </c>
      <c r="N20" s="20" t="n">
        <v>0</v>
      </c>
      <c r="O20" s="18" t="n">
        <v>0</v>
      </c>
      <c r="P20" s="20" t="n">
        <v>0</v>
      </c>
      <c r="Q20" s="18" t="n">
        <v>0</v>
      </c>
      <c r="R20" s="20" t="n">
        <v>0</v>
      </c>
    </row>
    <row r="21" spans="1:18">
      <c r="A21" s="15" t="s">
        <v>445</v>
      </c>
      <c r="B21" s="17" t="n">
        <v>2908</v>
      </c>
      <c r="C21" s="18">
        <f>(2431.0/B21*100)</f>
        <v/>
      </c>
      <c r="D21" s="19" t="n">
        <v>477</v>
      </c>
      <c r="E21" s="18" t="n">
        <v>57.95016988</v>
      </c>
      <c r="F21" s="20" t="n">
        <v>2.28846104</v>
      </c>
      <c r="G21" s="18" t="n">
        <v>40.82180757</v>
      </c>
      <c r="H21" s="20" t="n">
        <v>2.27852481</v>
      </c>
      <c r="I21" s="18" t="s">
        <v>431</v>
      </c>
      <c r="J21" s="20" t="s">
        <v>431</v>
      </c>
      <c r="K21" s="18" t="n">
        <v>0.5597220899999999</v>
      </c>
      <c r="L21" s="20" t="n">
        <v>0.30000455</v>
      </c>
      <c r="M21" s="18" t="n">
        <v>0</v>
      </c>
      <c r="N21" s="20" t="n">
        <v>0</v>
      </c>
      <c r="O21" s="18" t="n">
        <v>0</v>
      </c>
      <c r="P21" s="20" t="n">
        <v>0</v>
      </c>
      <c r="Q21" s="18" t="n">
        <v>0.66830046</v>
      </c>
      <c r="R21" s="20" t="n">
        <v>0.34421641</v>
      </c>
    </row>
    <row r="22" spans="1:18">
      <c r="A22" s="15" t="s">
        <v>446</v>
      </c>
      <c r="B22" s="17" t="n">
        <v>2931</v>
      </c>
      <c r="C22" s="18">
        <f>(2592.0/B22*100)</f>
        <v/>
      </c>
      <c r="D22" s="19" t="n">
        <v>339</v>
      </c>
      <c r="E22" s="18" t="n">
        <v>50.6862702</v>
      </c>
      <c r="F22" s="20" t="n">
        <v>3.09580473</v>
      </c>
      <c r="G22" s="18" t="n">
        <v>47.09955924</v>
      </c>
      <c r="H22" s="20" t="n">
        <v>3.12280585</v>
      </c>
      <c r="I22" s="18" t="s">
        <v>431</v>
      </c>
      <c r="J22" s="20" t="s">
        <v>431</v>
      </c>
      <c r="K22" s="18" t="n">
        <v>0.70692855</v>
      </c>
      <c r="L22" s="20" t="n">
        <v>0.40772678</v>
      </c>
      <c r="M22" s="18" t="n">
        <v>0</v>
      </c>
      <c r="N22" s="20" t="n">
        <v>0</v>
      </c>
      <c r="O22" s="18" t="n">
        <v>0</v>
      </c>
      <c r="P22" s="20" t="n">
        <v>0</v>
      </c>
      <c r="Q22" s="18" t="n">
        <v>1.50724201</v>
      </c>
      <c r="R22" s="20" t="n">
        <v>0.6150247599999999</v>
      </c>
    </row>
    <row r="23" spans="1:18">
      <c r="A23" s="15" t="s">
        <v>447</v>
      </c>
      <c r="B23" s="17" t="n">
        <v>5791</v>
      </c>
      <c r="C23" s="18">
        <f>(5056.0/B23*100)</f>
        <v/>
      </c>
      <c r="D23" s="19" t="n">
        <v>735</v>
      </c>
      <c r="E23" s="18" t="n">
        <v>69.73243277</v>
      </c>
      <c r="F23" s="20" t="n">
        <v>2.71365001</v>
      </c>
      <c r="G23" s="18" t="n">
        <v>28.82335264</v>
      </c>
      <c r="H23" s="20" t="n">
        <v>2.75883043</v>
      </c>
      <c r="I23" s="18" t="s">
        <v>431</v>
      </c>
      <c r="J23" s="20" t="s">
        <v>431</v>
      </c>
      <c r="K23" s="18" t="n">
        <v>0.6518496499999999</v>
      </c>
      <c r="L23" s="20" t="n">
        <v>0.45360598</v>
      </c>
      <c r="M23" s="18" t="n">
        <v>0</v>
      </c>
      <c r="N23" s="20" t="n">
        <v>0</v>
      </c>
      <c r="O23" s="18" t="n">
        <v>0</v>
      </c>
      <c r="P23" s="20" t="n">
        <v>0</v>
      </c>
      <c r="Q23" s="18" t="n">
        <v>0.79236494</v>
      </c>
      <c r="R23" s="20" t="n">
        <v>0.65498628</v>
      </c>
    </row>
    <row r="24" spans="1:18">
      <c r="A24" s="15" t="s">
        <v>448</v>
      </c>
      <c r="B24" s="17" t="n">
        <v>3338</v>
      </c>
      <c r="C24" s="18">
        <f>(2944.0/B24*100)</f>
        <v/>
      </c>
      <c r="D24" s="19" t="n">
        <v>394</v>
      </c>
      <c r="E24" s="18" t="n">
        <v>43.4293697</v>
      </c>
      <c r="F24" s="20" t="n">
        <v>2.98112448</v>
      </c>
      <c r="G24" s="18" t="n">
        <v>55.15739238</v>
      </c>
      <c r="H24" s="20" t="n">
        <v>2.92019831</v>
      </c>
      <c r="I24" s="18" t="s">
        <v>431</v>
      </c>
      <c r="J24" s="20" t="s">
        <v>431</v>
      </c>
      <c r="K24" s="18" t="n">
        <v>0.46641204</v>
      </c>
      <c r="L24" s="20" t="n">
        <v>0.3280107</v>
      </c>
      <c r="M24" s="18" t="n">
        <v>0</v>
      </c>
      <c r="N24" s="20" t="n">
        <v>0</v>
      </c>
      <c r="O24" s="18" t="n">
        <v>0</v>
      </c>
      <c r="P24" s="20" t="n">
        <v>0</v>
      </c>
      <c r="Q24" s="18" t="n">
        <v>0.94682588</v>
      </c>
      <c r="R24" s="20" t="n">
        <v>0.47651567</v>
      </c>
    </row>
    <row r="25" spans="1:18">
      <c r="A25" s="15" t="s">
        <v>449</v>
      </c>
      <c r="B25" s="17" t="n">
        <v>2912</v>
      </c>
      <c r="C25" s="18">
        <f>(2569.0/B25*100)</f>
        <v/>
      </c>
      <c r="D25" s="19" t="n">
        <v>343</v>
      </c>
      <c r="E25" s="18" t="n">
        <v>62.5094497</v>
      </c>
      <c r="F25" s="20" t="n">
        <v>2.87976093</v>
      </c>
      <c r="G25" s="18" t="n">
        <v>36.90160212</v>
      </c>
      <c r="H25" s="20" t="n">
        <v>2.8873231</v>
      </c>
      <c r="I25" s="18" t="s">
        <v>431</v>
      </c>
      <c r="J25" s="20" t="s">
        <v>431</v>
      </c>
      <c r="K25" s="18" t="n">
        <v>0.2678666</v>
      </c>
      <c r="L25" s="20" t="n">
        <v>0.26818357</v>
      </c>
      <c r="M25" s="18" t="n">
        <v>0</v>
      </c>
      <c r="N25" s="20" t="n">
        <v>0</v>
      </c>
      <c r="O25" s="18" t="n">
        <v>0</v>
      </c>
      <c r="P25" s="20" t="n">
        <v>0</v>
      </c>
      <c r="Q25" s="18" t="n">
        <v>0.32108158</v>
      </c>
      <c r="R25" s="20" t="n">
        <v>0.32101813</v>
      </c>
    </row>
    <row r="26" spans="1:18">
      <c r="A26" s="15" t="s">
        <v>450</v>
      </c>
      <c r="B26" s="17" t="n">
        <v>2450</v>
      </c>
      <c r="C26" s="18">
        <f>(2141.0/B26*100)</f>
        <v/>
      </c>
      <c r="D26" s="19" t="n">
        <v>309</v>
      </c>
      <c r="E26" s="18" t="n">
        <v>55.18742317</v>
      </c>
      <c r="F26" s="20" t="n">
        <v>3.16319351</v>
      </c>
      <c r="G26" s="18" t="n">
        <v>44.19751639</v>
      </c>
      <c r="H26" s="20" t="n">
        <v>3.18164824</v>
      </c>
      <c r="I26" s="18" t="s">
        <v>431</v>
      </c>
      <c r="J26" s="20" t="s">
        <v>431</v>
      </c>
      <c r="K26" s="18" t="n">
        <v>0</v>
      </c>
      <c r="L26" s="20" t="n">
        <v>0</v>
      </c>
      <c r="M26" s="18" t="n">
        <v>0</v>
      </c>
      <c r="N26" s="20" t="n">
        <v>0</v>
      </c>
      <c r="O26" s="18" t="n">
        <v>0</v>
      </c>
      <c r="P26" s="20" t="n">
        <v>0</v>
      </c>
      <c r="Q26" s="18" t="n">
        <v>0.61506044</v>
      </c>
      <c r="R26" s="20" t="n">
        <v>0.54291146</v>
      </c>
    </row>
    <row r="27" spans="1:18">
      <c r="A27" s="15" t="s">
        <v>451</v>
      </c>
      <c r="B27" s="17" t="n">
        <v>2616</v>
      </c>
      <c r="C27" s="18">
        <f>(2303.0/B27*100)</f>
        <v/>
      </c>
      <c r="D27" s="19" t="n">
        <v>313</v>
      </c>
      <c r="E27" s="18" t="n">
        <v>67.53685329</v>
      </c>
      <c r="F27" s="20" t="n">
        <v>3.13480204</v>
      </c>
      <c r="G27" s="18" t="n">
        <v>31.1995502</v>
      </c>
      <c r="H27" s="20" t="n">
        <v>3.04675031</v>
      </c>
      <c r="I27" s="18" t="s">
        <v>431</v>
      </c>
      <c r="J27" s="20" t="s">
        <v>431</v>
      </c>
      <c r="K27" s="18" t="n">
        <v>0.63382925</v>
      </c>
      <c r="L27" s="20" t="n">
        <v>0.44871343</v>
      </c>
      <c r="M27" s="18" t="n">
        <v>0</v>
      </c>
      <c r="N27" s="20" t="n">
        <v>0</v>
      </c>
      <c r="O27" s="18" t="n">
        <v>0</v>
      </c>
      <c r="P27" s="20" t="n">
        <v>0</v>
      </c>
      <c r="Q27" s="18" t="n">
        <v>0.6297672600000001</v>
      </c>
      <c r="R27" s="20" t="n">
        <v>0.44518789</v>
      </c>
    </row>
    <row r="28" spans="1:18">
      <c r="A28" s="15" t="s">
        <v>452</v>
      </c>
      <c r="B28" s="17" t="n">
        <v>3765</v>
      </c>
      <c r="C28" s="18">
        <f>(3326.0/B28*100)</f>
        <v/>
      </c>
      <c r="D28" s="19" t="n">
        <v>439</v>
      </c>
      <c r="E28" s="18" t="n">
        <v>67.45442370000001</v>
      </c>
      <c r="F28" s="20" t="n">
        <v>2.6363402</v>
      </c>
      <c r="G28" s="18" t="n">
        <v>30.70047676</v>
      </c>
      <c r="H28" s="20" t="n">
        <v>2.49100134</v>
      </c>
      <c r="I28" s="18" t="s">
        <v>431</v>
      </c>
      <c r="J28" s="20" t="s">
        <v>431</v>
      </c>
      <c r="K28" s="18" t="n">
        <v>1.84509954</v>
      </c>
      <c r="L28" s="20" t="n">
        <v>0.75045029</v>
      </c>
      <c r="M28" s="18" t="n">
        <v>0</v>
      </c>
      <c r="N28" s="20" t="n">
        <v>0</v>
      </c>
      <c r="O28" s="18" t="n">
        <v>0</v>
      </c>
      <c r="P28" s="20" t="n">
        <v>0</v>
      </c>
      <c r="Q28" s="18" t="n">
        <v>0</v>
      </c>
      <c r="R28" s="20" t="n">
        <v>0</v>
      </c>
    </row>
    <row r="29" spans="1:18">
      <c r="A29" s="15" t="s">
        <v>453</v>
      </c>
      <c r="B29" s="17" t="n">
        <v>2685</v>
      </c>
      <c r="C29" s="18">
        <f>(2346.0/B29*100)</f>
        <v/>
      </c>
      <c r="D29" s="19" t="n">
        <v>339</v>
      </c>
      <c r="E29" s="18" t="n">
        <v>60.54170152</v>
      </c>
      <c r="F29" s="20" t="n">
        <v>2.64728172</v>
      </c>
      <c r="G29" s="18" t="n">
        <v>38.25663594</v>
      </c>
      <c r="H29" s="20" t="n">
        <v>2.60240608</v>
      </c>
      <c r="I29" s="18" t="s">
        <v>431</v>
      </c>
      <c r="J29" s="20" t="s">
        <v>431</v>
      </c>
      <c r="K29" s="18" t="n">
        <v>0.35523293</v>
      </c>
      <c r="L29" s="20" t="n">
        <v>0.25392862</v>
      </c>
      <c r="M29" s="18" t="n">
        <v>0</v>
      </c>
      <c r="N29" s="20" t="n">
        <v>0</v>
      </c>
      <c r="O29" s="18" t="n">
        <v>0</v>
      </c>
      <c r="P29" s="20" t="n">
        <v>0</v>
      </c>
      <c r="Q29" s="18" t="n">
        <v>0.8464296</v>
      </c>
      <c r="R29" s="20" t="n">
        <v>0.64994849</v>
      </c>
    </row>
    <row r="30" spans="1:18">
      <c r="A30" s="15" t="s">
        <v>454</v>
      </c>
      <c r="B30" s="17" t="n">
        <v>2263</v>
      </c>
      <c r="C30" s="18">
        <f>(1979.0/B30*100)</f>
        <v/>
      </c>
      <c r="D30" s="19" t="n">
        <v>284</v>
      </c>
      <c r="E30" s="18" t="n">
        <v>62.80473218</v>
      </c>
      <c r="F30" s="20" t="n">
        <v>3.43505396</v>
      </c>
      <c r="G30" s="18" t="n">
        <v>34.64035611</v>
      </c>
      <c r="H30" s="20" t="n">
        <v>3.3330732</v>
      </c>
      <c r="I30" s="18" t="s">
        <v>431</v>
      </c>
      <c r="J30" s="20" t="s">
        <v>431</v>
      </c>
      <c r="K30" s="18" t="n">
        <v>1.60964071</v>
      </c>
      <c r="L30" s="20" t="n">
        <v>0.72678901</v>
      </c>
      <c r="M30" s="18" t="n">
        <v>0</v>
      </c>
      <c r="N30" s="20" t="n">
        <v>0</v>
      </c>
      <c r="O30" s="18" t="n">
        <v>0</v>
      </c>
      <c r="P30" s="20" t="n">
        <v>0</v>
      </c>
      <c r="Q30" s="18" t="n">
        <v>0.945271</v>
      </c>
      <c r="R30" s="20" t="n">
        <v>0.55035397</v>
      </c>
    </row>
    <row r="31" spans="1:18">
      <c r="A31" s="15" t="s">
        <v>455</v>
      </c>
      <c r="B31" s="17" t="n">
        <v>2750</v>
      </c>
      <c r="C31" s="18">
        <f>(2421.0/B31*100)</f>
        <v/>
      </c>
      <c r="D31" s="19" t="n">
        <v>329</v>
      </c>
      <c r="E31" s="18" t="n">
        <v>55.70656928</v>
      </c>
      <c r="F31" s="20" t="n">
        <v>3.04601766</v>
      </c>
      <c r="G31" s="18" t="n">
        <v>41.96210584</v>
      </c>
      <c r="H31" s="20" t="n">
        <v>3.03973864</v>
      </c>
      <c r="I31" s="18" t="s">
        <v>431</v>
      </c>
      <c r="J31" s="20" t="s">
        <v>431</v>
      </c>
      <c r="K31" s="18" t="n">
        <v>0.88075972</v>
      </c>
      <c r="L31" s="20" t="n">
        <v>0.5068496300000001</v>
      </c>
      <c r="M31" s="18" t="n">
        <v>0</v>
      </c>
      <c r="N31" s="20" t="n">
        <v>0</v>
      </c>
      <c r="O31" s="18" t="n">
        <v>0</v>
      </c>
      <c r="P31" s="20" t="n">
        <v>0</v>
      </c>
      <c r="Q31" s="18" t="n">
        <v>1.45056516</v>
      </c>
      <c r="R31" s="20" t="n">
        <v>0.63760205</v>
      </c>
    </row>
    <row r="32" spans="1:18">
      <c r="A32" s="15" t="s">
        <v>456</v>
      </c>
      <c r="B32" s="17" t="n">
        <v>2269</v>
      </c>
      <c r="C32" s="18">
        <f>(1917.0/B32*100)</f>
        <v/>
      </c>
      <c r="D32" s="19" t="n">
        <v>352</v>
      </c>
      <c r="E32" s="18" t="n">
        <v>63.80451594</v>
      </c>
      <c r="F32" s="20" t="n">
        <v>2.65678728</v>
      </c>
      <c r="G32" s="18" t="n">
        <v>35.84692203</v>
      </c>
      <c r="H32" s="20" t="n">
        <v>2.65467777</v>
      </c>
      <c r="I32" s="18" t="s">
        <v>431</v>
      </c>
      <c r="J32" s="20" t="s">
        <v>431</v>
      </c>
      <c r="K32" s="18" t="n">
        <v>0</v>
      </c>
      <c r="L32" s="20" t="n">
        <v>0</v>
      </c>
      <c r="M32" s="18" t="n">
        <v>0</v>
      </c>
      <c r="N32" s="20" t="n">
        <v>0</v>
      </c>
      <c r="O32" s="18" t="n">
        <v>0</v>
      </c>
      <c r="P32" s="20" t="n">
        <v>0</v>
      </c>
      <c r="Q32" s="18" t="n">
        <v>0.34856203</v>
      </c>
      <c r="R32" s="20" t="n">
        <v>0.35812865</v>
      </c>
    </row>
    <row r="33" spans="1:18">
      <c r="A33" s="15" t="s">
        <v>457</v>
      </c>
      <c r="B33" s="17" t="n">
        <v>3674</v>
      </c>
      <c r="C33" s="18">
        <f>(3239.0/B33*100)</f>
        <v/>
      </c>
      <c r="D33" s="19" t="n">
        <v>435</v>
      </c>
      <c r="E33" s="18" t="n">
        <v>63.58655548</v>
      </c>
      <c r="F33" s="20" t="n">
        <v>2.53715334</v>
      </c>
      <c r="G33" s="18" t="n">
        <v>35.5657979</v>
      </c>
      <c r="H33" s="20" t="n">
        <v>2.58980023</v>
      </c>
      <c r="I33" s="18" t="s">
        <v>431</v>
      </c>
      <c r="J33" s="20" t="s">
        <v>431</v>
      </c>
      <c r="K33" s="18" t="n">
        <v>0.33303399</v>
      </c>
      <c r="L33" s="20" t="n">
        <v>0.29181045</v>
      </c>
      <c r="M33" s="18" t="n">
        <v>0</v>
      </c>
      <c r="N33" s="20" t="n">
        <v>0</v>
      </c>
      <c r="O33" s="18" t="n">
        <v>0</v>
      </c>
      <c r="P33" s="20" t="n">
        <v>0</v>
      </c>
      <c r="Q33" s="18" t="n">
        <v>0.51461263</v>
      </c>
      <c r="R33" s="20" t="n">
        <v>0.53584994</v>
      </c>
    </row>
    <row r="34" spans="1:18">
      <c r="A34" s="15" t="s">
        <v>458</v>
      </c>
      <c r="B34" s="17" t="n">
        <v>3315</v>
      </c>
      <c r="C34" s="18">
        <f>(2931.0/B34*100)</f>
        <v/>
      </c>
      <c r="D34" s="19" t="n">
        <v>384</v>
      </c>
      <c r="E34" s="18" t="n">
        <v>65.16535561000001</v>
      </c>
      <c r="F34" s="20" t="n">
        <v>2.64843969</v>
      </c>
      <c r="G34" s="18" t="n">
        <v>33.50112518</v>
      </c>
      <c r="H34" s="20" t="n">
        <v>2.58374594</v>
      </c>
      <c r="I34" s="18" t="s">
        <v>431</v>
      </c>
      <c r="J34" s="20" t="s">
        <v>431</v>
      </c>
      <c r="K34" s="18" t="n">
        <v>0.41905579</v>
      </c>
      <c r="L34" s="20" t="n">
        <v>0.41692788</v>
      </c>
      <c r="M34" s="18" t="n">
        <v>0</v>
      </c>
      <c r="N34" s="20" t="n">
        <v>0</v>
      </c>
      <c r="O34" s="18" t="n">
        <v>0</v>
      </c>
      <c r="P34" s="20" t="n">
        <v>0</v>
      </c>
      <c r="Q34" s="18" t="n">
        <v>0.91446341</v>
      </c>
      <c r="R34" s="20" t="n">
        <v>0.48587634</v>
      </c>
    </row>
    <row r="35" spans="1:18">
      <c r="A35" s="15" t="s">
        <v>459</v>
      </c>
      <c r="B35" s="17" t="n">
        <v>3505</v>
      </c>
      <c r="C35" s="18">
        <f>(3101.0/B35*100)</f>
        <v/>
      </c>
      <c r="D35" s="19" t="n">
        <v>404</v>
      </c>
      <c r="E35" s="18" t="n">
        <v>64.71917113000001</v>
      </c>
      <c r="F35" s="20" t="n">
        <v>2.46968029</v>
      </c>
      <c r="G35" s="18" t="n">
        <v>34.58399688</v>
      </c>
      <c r="H35" s="20" t="n">
        <v>2.49963448</v>
      </c>
      <c r="I35" s="18" t="s">
        <v>431</v>
      </c>
      <c r="J35" s="20" t="s">
        <v>431</v>
      </c>
      <c r="K35" s="18" t="n">
        <v>0.17170986</v>
      </c>
      <c r="L35" s="20" t="n">
        <v>0.17171932</v>
      </c>
      <c r="M35" s="18" t="n">
        <v>0</v>
      </c>
      <c r="N35" s="20" t="n">
        <v>0</v>
      </c>
      <c r="O35" s="18" t="n">
        <v>0</v>
      </c>
      <c r="P35" s="20" t="n">
        <v>0</v>
      </c>
      <c r="Q35" s="18" t="n">
        <v>0.52512213</v>
      </c>
      <c r="R35" s="20" t="n">
        <v>0.40755639</v>
      </c>
    </row>
    <row r="36" spans="1:18">
      <c r="A36" s="15" t="s">
        <v>460</v>
      </c>
      <c r="B36" s="17" t="n">
        <v>3332</v>
      </c>
      <c r="C36" s="18">
        <f>(2941.0/B36*100)</f>
        <v/>
      </c>
      <c r="D36" s="19" t="n">
        <v>391</v>
      </c>
      <c r="E36" s="18" t="n">
        <v>61.2134816</v>
      </c>
      <c r="F36" s="20" t="n">
        <v>2.420899</v>
      </c>
      <c r="G36" s="18" t="n">
        <v>37.55774554</v>
      </c>
      <c r="H36" s="20" t="n">
        <v>2.50503561</v>
      </c>
      <c r="I36" s="18" t="s">
        <v>431</v>
      </c>
      <c r="J36" s="20" t="s">
        <v>431</v>
      </c>
      <c r="K36" s="18" t="n">
        <v>0.97267371</v>
      </c>
      <c r="L36" s="20" t="n">
        <v>0.5624466</v>
      </c>
      <c r="M36" s="18" t="n">
        <v>0</v>
      </c>
      <c r="N36" s="20" t="n">
        <v>0</v>
      </c>
      <c r="O36" s="18" t="n">
        <v>0</v>
      </c>
      <c r="P36" s="20" t="n">
        <v>0</v>
      </c>
      <c r="Q36" s="18" t="n">
        <v>0.25609915</v>
      </c>
      <c r="R36" s="20" t="n">
        <v>0.24279509</v>
      </c>
    </row>
    <row r="37" spans="1:18">
      <c r="A37" s="15" t="s">
        <v>461</v>
      </c>
      <c r="B37" s="17" t="n">
        <v>2727</v>
      </c>
      <c r="C37" s="18">
        <f>(2385.0/B37*100)</f>
        <v/>
      </c>
      <c r="D37" s="19" t="n">
        <v>342</v>
      </c>
      <c r="E37" s="18" t="n">
        <v>54.86810717</v>
      </c>
      <c r="F37" s="20" t="n">
        <v>2.63421028</v>
      </c>
      <c r="G37" s="18" t="n">
        <v>41.59156238</v>
      </c>
      <c r="H37" s="20" t="n">
        <v>2.69372613</v>
      </c>
      <c r="I37" s="18" t="s">
        <v>431</v>
      </c>
      <c r="J37" s="20" t="s">
        <v>431</v>
      </c>
      <c r="K37" s="18" t="n">
        <v>1.56627559</v>
      </c>
      <c r="L37" s="20" t="n">
        <v>0.72138133</v>
      </c>
      <c r="M37" s="18" t="n">
        <v>0</v>
      </c>
      <c r="N37" s="20" t="n">
        <v>0</v>
      </c>
      <c r="O37" s="18" t="n">
        <v>0</v>
      </c>
      <c r="P37" s="20" t="n">
        <v>0</v>
      </c>
      <c r="Q37" s="18" t="n">
        <v>1.97405486</v>
      </c>
      <c r="R37" s="20" t="n">
        <v>0.76117203</v>
      </c>
    </row>
    <row r="38" spans="1:18">
      <c r="A38" s="15" t="s">
        <v>462</v>
      </c>
      <c r="B38" s="17" t="n">
        <v>3053</v>
      </c>
      <c r="C38" s="18">
        <f>(2573.0/B38*100)</f>
        <v/>
      </c>
      <c r="D38" s="19" t="n">
        <v>480</v>
      </c>
      <c r="E38" s="18" t="n">
        <v>66.6739276</v>
      </c>
      <c r="F38" s="20" t="n">
        <v>2.40040448</v>
      </c>
      <c r="G38" s="18" t="n">
        <v>31.54378957</v>
      </c>
      <c r="H38" s="20" t="n">
        <v>2.31292454</v>
      </c>
      <c r="I38" s="18" t="s">
        <v>431</v>
      </c>
      <c r="J38" s="20" t="s">
        <v>431</v>
      </c>
      <c r="K38" s="18" t="n">
        <v>1.41804483</v>
      </c>
      <c r="L38" s="20" t="n">
        <v>0.72105069</v>
      </c>
      <c r="M38" s="18" t="n">
        <v>0</v>
      </c>
      <c r="N38" s="20" t="n">
        <v>0</v>
      </c>
      <c r="O38" s="18" t="n">
        <v>0</v>
      </c>
      <c r="P38" s="20" t="n">
        <v>0</v>
      </c>
      <c r="Q38" s="18" t="n">
        <v>0.364238</v>
      </c>
      <c r="R38" s="20" t="n">
        <v>0.23349189</v>
      </c>
    </row>
    <row r="39" spans="1:18">
      <c r="A39" s="15" t="s">
        <v>463</v>
      </c>
      <c r="B39" s="17" t="n">
        <v>2957</v>
      </c>
      <c r="C39" s="18">
        <f>(2588.0/B39*100)</f>
        <v/>
      </c>
      <c r="D39" s="19" t="n">
        <v>369</v>
      </c>
      <c r="E39" s="18" t="n">
        <v>62.62225277</v>
      </c>
      <c r="F39" s="20" t="n">
        <v>2.51698412</v>
      </c>
      <c r="G39" s="18" t="n">
        <v>36.62739338</v>
      </c>
      <c r="H39" s="20" t="n">
        <v>2.50128459</v>
      </c>
      <c r="I39" s="18" t="s">
        <v>431</v>
      </c>
      <c r="J39" s="20" t="s">
        <v>431</v>
      </c>
      <c r="K39" s="18" t="n">
        <v>0.55633288</v>
      </c>
      <c r="L39" s="20" t="n">
        <v>0.40210755</v>
      </c>
      <c r="M39" s="18" t="n">
        <v>0</v>
      </c>
      <c r="N39" s="20" t="n">
        <v>0</v>
      </c>
      <c r="O39" s="18" t="n">
        <v>0</v>
      </c>
      <c r="P39" s="20" t="n">
        <v>0</v>
      </c>
      <c r="Q39" s="18" t="n">
        <v>0.19402098</v>
      </c>
      <c r="R39" s="20" t="n">
        <v>0.18818531</v>
      </c>
    </row>
    <row r="40" spans="1:18">
      <c r="A40" s="15" t="s">
        <v>464</v>
      </c>
      <c r="B40" s="17" t="n">
        <v>7235</v>
      </c>
      <c r="C40" s="18">
        <f>(6356.0/B40*100)</f>
        <v/>
      </c>
      <c r="D40" s="19" t="n">
        <v>879</v>
      </c>
      <c r="E40" s="18" t="n">
        <v>55.91314847</v>
      </c>
      <c r="F40" s="20" t="n">
        <v>2.49459432</v>
      </c>
      <c r="G40" s="18" t="n">
        <v>42.35343489</v>
      </c>
      <c r="H40" s="20" t="n">
        <v>2.50186542</v>
      </c>
      <c r="I40" s="18" t="s">
        <v>431</v>
      </c>
      <c r="J40" s="20" t="s">
        <v>431</v>
      </c>
      <c r="K40" s="18" t="n">
        <v>0.4641013</v>
      </c>
      <c r="L40" s="20" t="n">
        <v>0.37467133</v>
      </c>
      <c r="M40" s="18" t="n">
        <v>0</v>
      </c>
      <c r="N40" s="20" t="n">
        <v>0</v>
      </c>
      <c r="O40" s="18" t="n">
        <v>0</v>
      </c>
      <c r="P40" s="20" t="n">
        <v>0</v>
      </c>
      <c r="Q40" s="18" t="n">
        <v>1.26931534</v>
      </c>
      <c r="R40" s="20" t="n">
        <v>0.51365606</v>
      </c>
    </row>
    <row r="41" spans="1:18">
      <c r="A41" s="15" t="s">
        <v>465</v>
      </c>
      <c r="B41" s="17" t="n">
        <v>2858</v>
      </c>
      <c r="C41" s="18">
        <f>(2519.0/B41*100)</f>
        <v/>
      </c>
      <c r="D41" s="19" t="n">
        <v>339</v>
      </c>
      <c r="E41" s="18" t="n">
        <v>70.24070273</v>
      </c>
      <c r="F41" s="20" t="n">
        <v>2.61870151</v>
      </c>
      <c r="G41" s="18" t="n">
        <v>29.55715823</v>
      </c>
      <c r="H41" s="20" t="n">
        <v>2.61241161</v>
      </c>
      <c r="I41" s="18" t="s">
        <v>431</v>
      </c>
      <c r="J41" s="20" t="s">
        <v>431</v>
      </c>
      <c r="K41" s="18" t="n">
        <v>0.20213905</v>
      </c>
      <c r="L41" s="20" t="n">
        <v>0.19585418</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(10045.0/B46*100)</f>
        <v/>
      </c>
      <c r="D46" s="19" t="n">
        <v>1023</v>
      </c>
      <c r="E46" s="18" t="n">
        <v>63.61081137</v>
      </c>
      <c r="F46" s="20" t="n">
        <v>2.21548121</v>
      </c>
      <c r="G46" s="18" t="n">
        <v>31.89308448</v>
      </c>
      <c r="H46" s="20" t="n">
        <v>2.00310181</v>
      </c>
      <c r="I46" s="18" t="s">
        <v>431</v>
      </c>
      <c r="J46" s="20" t="s">
        <v>431</v>
      </c>
      <c r="K46" s="18" t="n">
        <v>1.90646359</v>
      </c>
      <c r="L46" s="20" t="n">
        <v>0.57592222</v>
      </c>
      <c r="M46" s="18" t="n">
        <v>0</v>
      </c>
      <c r="N46" s="20" t="n">
        <v>0</v>
      </c>
      <c r="O46" s="18" t="n">
        <v>0</v>
      </c>
      <c r="P46" s="20" t="n">
        <v>0</v>
      </c>
      <c r="Q46" s="18" t="n">
        <v>2.58964056</v>
      </c>
      <c r="R46" s="20" t="n">
        <v>0.81726383</v>
      </c>
    </row>
    <row r="47" spans="1:18">
      <c r="A47" s="15" t="s">
        <v>471</v>
      </c>
      <c r="B47" s="17" t="n">
        <v>3105</v>
      </c>
      <c r="C47" s="18">
        <f>(2706.0/B47*100)</f>
        <v/>
      </c>
      <c r="D47" s="19" t="n">
        <v>399</v>
      </c>
      <c r="E47" s="18" t="n">
        <v>59.75616879</v>
      </c>
      <c r="F47" s="20" t="n">
        <v>2.41577242</v>
      </c>
      <c r="G47" s="18" t="n">
        <v>38.75999089</v>
      </c>
      <c r="H47" s="20" t="n">
        <v>2.3810951</v>
      </c>
      <c r="I47" s="18" t="s">
        <v>431</v>
      </c>
      <c r="J47" s="20" t="s">
        <v>431</v>
      </c>
      <c r="K47" s="18" t="n">
        <v>0</v>
      </c>
      <c r="L47" s="20" t="n">
        <v>0</v>
      </c>
      <c r="M47" s="18" t="n">
        <v>0</v>
      </c>
      <c r="N47" s="20" t="n">
        <v>0</v>
      </c>
      <c r="O47" s="18" t="n">
        <v>0</v>
      </c>
      <c r="P47" s="20" t="n">
        <v>0</v>
      </c>
      <c r="Q47" s="18" t="n">
        <v>1.48384032</v>
      </c>
      <c r="R47" s="20" t="n">
        <v>0.74963472</v>
      </c>
    </row>
    <row r="48" spans="1:18">
      <c r="A48" s="15" t="s">
        <v>472</v>
      </c>
      <c r="B48" s="17" t="n">
        <v>5159</v>
      </c>
      <c r="C48" s="18">
        <f>(4533.0/B48*100)</f>
        <v/>
      </c>
      <c r="D48" s="19" t="n">
        <v>626</v>
      </c>
      <c r="E48" s="18" t="n">
        <v>52.90828337</v>
      </c>
      <c r="F48" s="20" t="n">
        <v>3.17966285</v>
      </c>
      <c r="G48" s="18" t="n">
        <v>45.96794127</v>
      </c>
      <c r="H48" s="20" t="n">
        <v>3.12743447</v>
      </c>
      <c r="I48" s="18" t="s">
        <v>431</v>
      </c>
      <c r="J48" s="20" t="s">
        <v>431</v>
      </c>
      <c r="K48" s="18" t="n">
        <v>0.64520447</v>
      </c>
      <c r="L48" s="20" t="n">
        <v>0.46345302</v>
      </c>
      <c r="M48" s="18" t="n">
        <v>0</v>
      </c>
      <c r="N48" s="20" t="n">
        <v>0</v>
      </c>
      <c r="O48" s="18" t="n">
        <v>0</v>
      </c>
      <c r="P48" s="20" t="n">
        <v>0</v>
      </c>
      <c r="Q48" s="18" t="n">
        <v>0.47857089</v>
      </c>
      <c r="R48" s="20" t="n">
        <v>0.48245434</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(4980.0/B50*100)</f>
        <v/>
      </c>
      <c r="D50" s="19" t="n">
        <v>657</v>
      </c>
      <c r="E50" s="18" t="n">
        <v>60.88267155</v>
      </c>
      <c r="F50" s="20" t="n">
        <v>2.86834964</v>
      </c>
      <c r="G50" s="18" t="n">
        <v>34.45373168</v>
      </c>
      <c r="H50" s="20" t="n">
        <v>2.7970978</v>
      </c>
      <c r="I50" s="18" t="s">
        <v>431</v>
      </c>
      <c r="J50" s="20" t="s">
        <v>431</v>
      </c>
      <c r="K50" s="18" t="n">
        <v>3.22370667</v>
      </c>
      <c r="L50" s="20" t="n">
        <v>1.07486639</v>
      </c>
      <c r="M50" s="18" t="n">
        <v>0</v>
      </c>
      <c r="N50" s="20" t="n">
        <v>0</v>
      </c>
      <c r="O50" s="18" t="n">
        <v>0</v>
      </c>
      <c r="P50" s="20" t="n">
        <v>0</v>
      </c>
      <c r="Q50" s="18" t="n">
        <v>1.43989011</v>
      </c>
      <c r="R50" s="20" t="n">
        <v>0.53350272</v>
      </c>
    </row>
    <row r="51" spans="1:18">
      <c r="A51" s="15" t="s">
        <v>475</v>
      </c>
      <c r="B51" s="17" t="n">
        <v>3372</v>
      </c>
      <c r="C51" s="18">
        <f>(3023.0/B51*100)</f>
        <v/>
      </c>
      <c r="D51" s="19" t="n">
        <v>349</v>
      </c>
      <c r="E51" s="18" t="n">
        <v>66.5296008</v>
      </c>
      <c r="F51" s="20" t="n">
        <v>2.95872204</v>
      </c>
      <c r="G51" s="18" t="n">
        <v>30.96702053</v>
      </c>
      <c r="H51" s="20" t="n">
        <v>2.87609787</v>
      </c>
      <c r="I51" s="18" t="s">
        <v>431</v>
      </c>
      <c r="J51" s="20" t="s">
        <v>431</v>
      </c>
      <c r="K51" s="18" t="n">
        <v>1.34306122</v>
      </c>
      <c r="L51" s="20" t="n">
        <v>0.66672835</v>
      </c>
      <c r="M51" s="18" t="n">
        <v>0</v>
      </c>
      <c r="N51" s="20" t="n">
        <v>0</v>
      </c>
      <c r="O51" s="18" t="n">
        <v>0</v>
      </c>
      <c r="P51" s="20" t="n">
        <v>0</v>
      </c>
      <c r="Q51" s="18" t="n">
        <v>1.16031745</v>
      </c>
      <c r="R51" s="20" t="n">
        <v>0.7323094</v>
      </c>
    </row>
    <row r="52" spans="1:18">
      <c r="A52" s="15" t="s">
        <v>476</v>
      </c>
      <c r="B52" s="17" t="n">
        <v>2796</v>
      </c>
      <c r="C52" s="18">
        <f>(2431.0/B52*100)</f>
        <v/>
      </c>
      <c r="D52" s="19" t="n">
        <v>365</v>
      </c>
      <c r="E52" s="18" t="n">
        <v>66.46077876</v>
      </c>
      <c r="F52" s="20" t="n">
        <v>2.23666566</v>
      </c>
      <c r="G52" s="18" t="n">
        <v>32.66269322</v>
      </c>
      <c r="H52" s="20" t="n">
        <v>2.14404734</v>
      </c>
      <c r="I52" s="18" t="s">
        <v>431</v>
      </c>
      <c r="J52" s="20" t="s">
        <v>431</v>
      </c>
      <c r="K52" s="18" t="n">
        <v>0.20829304</v>
      </c>
      <c r="L52" s="20" t="n">
        <v>0.19890601</v>
      </c>
      <c r="M52" s="18" t="n">
        <v>0</v>
      </c>
      <c r="N52" s="20" t="n">
        <v>0</v>
      </c>
      <c r="O52" s="18" t="n">
        <v>0</v>
      </c>
      <c r="P52" s="20" t="n">
        <v>0</v>
      </c>
      <c r="Q52" s="18" t="n">
        <v>0.66823498</v>
      </c>
      <c r="R52" s="20" t="n">
        <v>0.38539169</v>
      </c>
    </row>
    <row r="53" spans="1:18">
      <c r="A53" s="15" t="s">
        <v>477</v>
      </c>
      <c r="B53" s="17" t="n">
        <v>2811</v>
      </c>
      <c r="C53" s="18">
        <f>(2483.0/B53*100)</f>
        <v/>
      </c>
      <c r="D53" s="19" t="n">
        <v>328</v>
      </c>
      <c r="E53" s="18" t="n">
        <v>62.69549574</v>
      </c>
      <c r="F53" s="20" t="n">
        <v>2.58382677</v>
      </c>
      <c r="G53" s="18" t="n">
        <v>35.70418644</v>
      </c>
      <c r="H53" s="20" t="n">
        <v>2.73722367</v>
      </c>
      <c r="I53" s="18" t="s">
        <v>431</v>
      </c>
      <c r="J53" s="20" t="s">
        <v>431</v>
      </c>
      <c r="K53" s="18" t="n">
        <v>0</v>
      </c>
      <c r="L53" s="20" t="n">
        <v>0</v>
      </c>
      <c r="M53" s="18" t="n">
        <v>0</v>
      </c>
      <c r="N53" s="20" t="n">
        <v>0</v>
      </c>
      <c r="O53" s="18" t="n">
        <v>0</v>
      </c>
      <c r="P53" s="20" t="n">
        <v>0</v>
      </c>
      <c r="Q53" s="18" t="n">
        <v>1.60031782</v>
      </c>
      <c r="R53" s="20" t="n">
        <v>0.69177584</v>
      </c>
    </row>
    <row r="54" spans="1:18">
      <c r="A54" s="15" t="s">
        <v>478</v>
      </c>
      <c r="B54" s="17" t="n">
        <v>2266</v>
      </c>
      <c r="C54" s="18">
        <f>(1882.0/B54*100)</f>
        <v/>
      </c>
      <c r="D54" s="19" t="n">
        <v>384</v>
      </c>
      <c r="E54" s="18" t="n">
        <v>53.4330476</v>
      </c>
      <c r="F54" s="20" t="n">
        <v>3.08326097</v>
      </c>
      <c r="G54" s="18" t="n">
        <v>24.95209069</v>
      </c>
      <c r="H54" s="20" t="n">
        <v>2.49995246</v>
      </c>
      <c r="I54" s="18" t="s">
        <v>431</v>
      </c>
      <c r="J54" s="20" t="s">
        <v>431</v>
      </c>
      <c r="K54" s="18" t="n">
        <v>19.83050306</v>
      </c>
      <c r="L54" s="20" t="n">
        <v>2.4234532</v>
      </c>
      <c r="M54" s="18" t="n">
        <v>0</v>
      </c>
      <c r="N54" s="20" t="n">
        <v>0</v>
      </c>
      <c r="O54" s="18" t="n">
        <v>0</v>
      </c>
      <c r="P54" s="20" t="n">
        <v>0</v>
      </c>
      <c r="Q54" s="18" t="n">
        <v>1.78435864</v>
      </c>
      <c r="R54" s="20" t="n">
        <v>0.81567568</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(2345.0/B56*100)</f>
        <v/>
      </c>
      <c r="D56" s="19" t="n">
        <v>339</v>
      </c>
      <c r="E56" s="18" t="n">
        <v>50.79940639</v>
      </c>
      <c r="F56" s="20" t="n">
        <v>3.30907283</v>
      </c>
      <c r="G56" s="18" t="n">
        <v>47.78315094</v>
      </c>
      <c r="H56" s="20" t="n">
        <v>3.34480842</v>
      </c>
      <c r="I56" s="18" t="s">
        <v>431</v>
      </c>
      <c r="J56" s="20" t="s">
        <v>431</v>
      </c>
      <c r="K56" s="18" t="n">
        <v>0.65855915</v>
      </c>
      <c r="L56" s="20" t="n">
        <v>0.48556177</v>
      </c>
      <c r="M56" s="18" t="n">
        <v>0</v>
      </c>
      <c r="N56" s="20" t="n">
        <v>0</v>
      </c>
      <c r="O56" s="18" t="n">
        <v>0</v>
      </c>
      <c r="P56" s="20" t="n">
        <v>0</v>
      </c>
      <c r="Q56" s="18" t="n">
        <v>0.75888352</v>
      </c>
      <c r="R56" s="20" t="n">
        <v>0.44062999</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(2928.0/B61*100)</f>
        <v/>
      </c>
      <c r="D61" s="19" t="n">
        <v>396</v>
      </c>
      <c r="E61" s="18" t="n">
        <v>64.76188741</v>
      </c>
      <c r="F61" s="20" t="n">
        <v>2.70719955</v>
      </c>
      <c r="G61" s="18" t="n">
        <v>33.50702355</v>
      </c>
      <c r="H61" s="20" t="n">
        <v>2.52170926</v>
      </c>
      <c r="I61" s="18" t="s">
        <v>431</v>
      </c>
      <c r="J61" s="20" t="s">
        <v>431</v>
      </c>
      <c r="K61" s="18" t="n">
        <v>0.6367912</v>
      </c>
      <c r="L61" s="20" t="n">
        <v>0.44669327</v>
      </c>
      <c r="M61" s="18" t="n">
        <v>0</v>
      </c>
      <c r="N61" s="20" t="n">
        <v>0</v>
      </c>
      <c r="O61" s="18" t="n">
        <v>0</v>
      </c>
      <c r="P61" s="20" t="n">
        <v>0</v>
      </c>
      <c r="Q61" s="18" t="n">
        <v>1.09429784</v>
      </c>
      <c r="R61" s="20" t="n">
        <v>0.51514878</v>
      </c>
    </row>
    <row r="62" spans="1:18">
      <c r="A62" s="15" t="s">
        <v>486</v>
      </c>
      <c r="B62" s="17" t="n">
        <v>2246</v>
      </c>
      <c r="C62" s="18">
        <f>(1983.0/B62*100)</f>
        <v/>
      </c>
      <c r="D62" s="19" t="n">
        <v>263</v>
      </c>
      <c r="E62" s="18" t="n">
        <v>55.54375656</v>
      </c>
      <c r="F62" s="20" t="n">
        <v>3.37420032</v>
      </c>
      <c r="G62" s="18" t="n">
        <v>44.45624344</v>
      </c>
      <c r="H62" s="20" t="n">
        <v>3.37420032</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(2553.0/B66*100)</f>
        <v/>
      </c>
      <c r="D66" s="19" t="n">
        <v>341</v>
      </c>
      <c r="E66" s="18" t="n">
        <v>57.22476024</v>
      </c>
      <c r="F66" s="20" t="n">
        <v>2.59693598</v>
      </c>
      <c r="G66" s="18" t="n">
        <v>38.89453026</v>
      </c>
      <c r="H66" s="20" t="n">
        <v>2.77324795</v>
      </c>
      <c r="I66" s="18" t="s">
        <v>431</v>
      </c>
      <c r="J66" s="20" t="s">
        <v>431</v>
      </c>
      <c r="K66" s="18" t="n">
        <v>0.88907378</v>
      </c>
      <c r="L66" s="20" t="n">
        <v>0.52811178</v>
      </c>
      <c r="M66" s="18" t="n">
        <v>0</v>
      </c>
      <c r="N66" s="20" t="n">
        <v>0</v>
      </c>
      <c r="O66" s="18" t="n">
        <v>0</v>
      </c>
      <c r="P66" s="20" t="n">
        <v>0</v>
      </c>
      <c r="Q66" s="18" t="n">
        <v>2.99163572</v>
      </c>
      <c r="R66" s="20" t="n">
        <v>0.90929257</v>
      </c>
    </row>
    <row r="67" spans="1:18">
      <c r="A67" s="15" t="s">
        <v>491</v>
      </c>
      <c r="B67" s="17" t="n">
        <v>3511</v>
      </c>
      <c r="C67" s="18">
        <f>(3139.0/B67*100)</f>
        <v/>
      </c>
      <c r="D67" s="19" t="n">
        <v>372</v>
      </c>
      <c r="E67" s="18" t="n">
        <v>0</v>
      </c>
      <c r="F67" s="20" t="n">
        <v>0</v>
      </c>
      <c r="G67" s="18" t="n">
        <v>0</v>
      </c>
      <c r="H67" s="20" t="n">
        <v>0</v>
      </c>
      <c r="I67" s="18" t="s">
        <v>431</v>
      </c>
      <c r="J67" s="20" t="s">
        <v>431</v>
      </c>
      <c r="K67" s="18" t="n">
        <v>0</v>
      </c>
      <c r="L67" s="20" t="n">
        <v>0</v>
      </c>
      <c r="M67" s="18" t="n">
        <v>100</v>
      </c>
      <c r="N67" s="20" t="n">
        <v>0</v>
      </c>
      <c r="O67" s="18" t="n">
        <v>0</v>
      </c>
      <c r="P67" s="20" t="n">
        <v>0</v>
      </c>
      <c r="Q67" s="18" t="n">
        <v>0</v>
      </c>
      <c r="R67" s="20" t="n">
        <v>0</v>
      </c>
    </row>
    <row r="68" spans="1:18">
      <c r="A68" s="15" t="s">
        <v>492</v>
      </c>
      <c r="B68" s="17" t="n">
        <v>6049</v>
      </c>
      <c r="C68" s="18">
        <f>(5049.0/B68*100)</f>
        <v/>
      </c>
      <c r="D68" s="19" t="n">
        <v>1000</v>
      </c>
      <c r="E68" s="18" t="n">
        <v>25.79539392</v>
      </c>
      <c r="F68" s="20" t="n">
        <v>1.34280085</v>
      </c>
      <c r="G68" s="18" t="n">
        <v>13.41188709</v>
      </c>
      <c r="H68" s="20" t="n">
        <v>1.07756101</v>
      </c>
      <c r="I68" s="18" t="s">
        <v>431</v>
      </c>
      <c r="J68" s="20" t="s">
        <v>431</v>
      </c>
      <c r="K68" s="18" t="n">
        <v>1.36795422</v>
      </c>
      <c r="L68" s="20" t="n">
        <v>0.35317906</v>
      </c>
      <c r="M68" s="18" t="n">
        <v>59.13395586</v>
      </c>
      <c r="N68" s="20" t="n">
        <v>1.49254282</v>
      </c>
      <c r="O68" s="18" t="n">
        <v>0</v>
      </c>
      <c r="P68" s="20" t="n">
        <v>0</v>
      </c>
      <c r="Q68" s="18" t="n">
        <v>0.29080891</v>
      </c>
      <c r="R68" s="20" t="n">
        <v>0.16842758</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(2576.0/B70*100)</f>
        <v/>
      </c>
      <c r="D70" s="19" t="n">
        <v>353</v>
      </c>
      <c r="E70" s="18" t="n">
        <v>63.24517394</v>
      </c>
      <c r="F70" s="20" t="n">
        <v>2.63506715</v>
      </c>
      <c r="G70" s="18" t="n">
        <v>35.46143374</v>
      </c>
      <c r="H70" s="20" t="n">
        <v>2.64576369</v>
      </c>
      <c r="I70" s="18" t="s">
        <v>431</v>
      </c>
      <c r="J70" s="20" t="s">
        <v>431</v>
      </c>
      <c r="K70" s="18" t="n">
        <v>0.38226939</v>
      </c>
      <c r="L70" s="20" t="n">
        <v>0.24907595</v>
      </c>
      <c r="M70" s="18" t="n">
        <v>0</v>
      </c>
      <c r="N70" s="20" t="n">
        <v>0</v>
      </c>
      <c r="O70" s="18" t="n">
        <v>0</v>
      </c>
      <c r="P70" s="20" t="n">
        <v>0</v>
      </c>
      <c r="Q70" s="18" t="n">
        <v>0.91112294</v>
      </c>
      <c r="R70" s="20" t="n">
        <v>0.21481322</v>
      </c>
    </row>
    <row r="71" spans="1:18">
      <c r="A71" s="15" t="s">
        <v>495</v>
      </c>
      <c r="B71" s="17" t="n">
        <v>3142</v>
      </c>
      <c r="C71" s="18">
        <f>(2759.0/B71*100)</f>
        <v/>
      </c>
      <c r="D71" s="19" t="n">
        <v>383</v>
      </c>
      <c r="E71" s="18" t="n">
        <v>67.86802279</v>
      </c>
      <c r="F71" s="20" t="n">
        <v>2.37487056</v>
      </c>
      <c r="G71" s="18" t="n">
        <v>31.89428869</v>
      </c>
      <c r="H71" s="20" t="n">
        <v>2.38675648</v>
      </c>
      <c r="I71" s="18" t="s">
        <v>431</v>
      </c>
      <c r="J71" s="20" t="s">
        <v>431</v>
      </c>
      <c r="K71" s="18" t="n">
        <v>0.23768852</v>
      </c>
      <c r="L71" s="20" t="n">
        <v>0.236413</v>
      </c>
      <c r="M71" s="18" t="n">
        <v>0</v>
      </c>
      <c r="N71" s="20" t="n">
        <v>0</v>
      </c>
      <c r="O71" s="18" t="n">
        <v>0</v>
      </c>
      <c r="P71" s="20" t="n">
        <v>0</v>
      </c>
      <c r="Q71" s="18" t="n">
        <v>0</v>
      </c>
      <c r="R71" s="20" t="n">
        <v>0</v>
      </c>
    </row>
    <row r="72" spans="1:18">
      <c r="A72" s="15" t="s">
        <v>496</v>
      </c>
      <c r="B72" s="17" t="n">
        <v>3889</v>
      </c>
      <c r="C72" s="18">
        <f>(3397.0/B72*100)</f>
        <v/>
      </c>
      <c r="D72" s="19" t="n">
        <v>492</v>
      </c>
      <c r="E72" s="18" t="n">
        <v>65.17812709</v>
      </c>
      <c r="F72" s="20" t="n">
        <v>2.12614523</v>
      </c>
      <c r="G72" s="18" t="n">
        <v>34.23633768</v>
      </c>
      <c r="H72" s="20" t="n">
        <v>2.16393059</v>
      </c>
      <c r="I72" s="18" t="s">
        <v>431</v>
      </c>
      <c r="J72" s="20" t="s">
        <v>431</v>
      </c>
      <c r="K72" s="18" t="n">
        <v>0.14090157</v>
      </c>
      <c r="L72" s="20" t="n">
        <v>0.14368853</v>
      </c>
      <c r="M72" s="18" t="n">
        <v>0</v>
      </c>
      <c r="N72" s="20" t="n">
        <v>0</v>
      </c>
      <c r="O72" s="18" t="n">
        <v>0</v>
      </c>
      <c r="P72" s="20" t="n">
        <v>0</v>
      </c>
      <c r="Q72" s="18" t="n">
        <v>0.44463365</v>
      </c>
      <c r="R72" s="20" t="n">
        <v>0.32424994</v>
      </c>
    </row>
    <row r="73" spans="1:18">
      <c r="A73" s="15" t="s">
        <v>497</v>
      </c>
      <c r="B73" s="17" t="n">
        <v>3597</v>
      </c>
      <c r="C73" s="18">
        <f>(3203.0/B73*100)</f>
        <v/>
      </c>
      <c r="D73" s="19" t="n">
        <v>394</v>
      </c>
      <c r="E73" s="18" t="n">
        <v>61.41763707</v>
      </c>
      <c r="F73" s="20" t="n">
        <v>3.03607518</v>
      </c>
      <c r="G73" s="18" t="n">
        <v>37.43645018</v>
      </c>
      <c r="H73" s="20" t="n">
        <v>3.13478941</v>
      </c>
      <c r="I73" s="18" t="s">
        <v>431</v>
      </c>
      <c r="J73" s="20" t="s">
        <v>431</v>
      </c>
      <c r="K73" s="18" t="n">
        <v>0.36232604</v>
      </c>
      <c r="L73" s="20" t="n">
        <v>0.26124908</v>
      </c>
      <c r="M73" s="18" t="n">
        <v>0</v>
      </c>
      <c r="N73" s="20" t="n">
        <v>0</v>
      </c>
      <c r="O73" s="18" t="n">
        <v>0</v>
      </c>
      <c r="P73" s="20" t="n">
        <v>0</v>
      </c>
      <c r="Q73" s="18" t="n">
        <v>0.78358671</v>
      </c>
      <c r="R73" s="20" t="n">
        <v>0.5623930499999999</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(2148.0/B75*100)</f>
        <v/>
      </c>
      <c r="D75" s="19" t="n">
        <v>258</v>
      </c>
      <c r="E75" s="18" t="n">
        <v>62.7099682</v>
      </c>
      <c r="F75" s="20" t="n">
        <v>2.98122768</v>
      </c>
      <c r="G75" s="18" t="n">
        <v>29.4396976</v>
      </c>
      <c r="H75" s="20" t="n">
        <v>3.13716172</v>
      </c>
      <c r="I75" s="18" t="s">
        <v>431</v>
      </c>
      <c r="J75" s="20" t="s">
        <v>431</v>
      </c>
      <c r="K75" s="18" t="n">
        <v>5.38908956</v>
      </c>
      <c r="L75" s="20" t="n">
        <v>1.49517771</v>
      </c>
      <c r="M75" s="18" t="n">
        <v>0</v>
      </c>
      <c r="N75" s="20" t="n">
        <v>0</v>
      </c>
      <c r="O75" s="18" t="n">
        <v>0</v>
      </c>
      <c r="P75" s="20" t="n">
        <v>0</v>
      </c>
      <c r="Q75" s="18" t="n">
        <v>2.46124464</v>
      </c>
      <c r="R75" s="20" t="n">
        <v>0.94998552</v>
      </c>
    </row>
    <row r="76" spans="1:18">
      <c r="A76" s="15" t="s">
        <v>500</v>
      </c>
      <c r="B76" s="17" t="n">
        <v>7052</v>
      </c>
      <c r="C76" s="18">
        <f>(6203.0/B76*100)</f>
        <v/>
      </c>
      <c r="D76" s="19" t="n">
        <v>849</v>
      </c>
      <c r="E76" s="18" t="n">
        <v>29.70916654</v>
      </c>
      <c r="F76" s="20" t="n">
        <v>2.43707449</v>
      </c>
      <c r="G76" s="18" t="n">
        <v>15.79524772</v>
      </c>
      <c r="H76" s="20" t="n">
        <v>1.62624607</v>
      </c>
      <c r="I76" s="18" t="s">
        <v>431</v>
      </c>
      <c r="J76" s="20" t="s">
        <v>431</v>
      </c>
      <c r="K76" s="18" t="n">
        <v>0.05319838</v>
      </c>
      <c r="L76" s="20" t="n">
        <v>0.05358447</v>
      </c>
      <c r="M76" s="18" t="n">
        <v>54.01790205</v>
      </c>
      <c r="N76" s="20" t="n">
        <v>2.57020672</v>
      </c>
      <c r="O76" s="18" t="n">
        <v>0</v>
      </c>
      <c r="P76" s="20" t="n">
        <v>0</v>
      </c>
      <c r="Q76" s="18" t="n">
        <v>0.4244853</v>
      </c>
      <c r="R76" s="20" t="n">
        <v>0.20903009</v>
      </c>
    </row>
    <row r="77" spans="1:18">
      <c r="A77" s="15" t="s">
        <v>501</v>
      </c>
      <c r="B77" s="17" t="n">
        <v>2908</v>
      </c>
      <c r="C77" s="18">
        <f>(2571.0/B77*100)</f>
        <v/>
      </c>
      <c r="D77" s="19" t="n">
        <v>337</v>
      </c>
      <c r="E77" s="18" t="n">
        <v>0</v>
      </c>
      <c r="F77" s="20" t="n">
        <v>0</v>
      </c>
      <c r="G77" s="18" t="n">
        <v>0</v>
      </c>
      <c r="H77" s="20" t="n">
        <v>0</v>
      </c>
      <c r="I77" s="18" t="s">
        <v>431</v>
      </c>
      <c r="J77" s="20" t="s">
        <v>431</v>
      </c>
      <c r="K77" s="18" t="n">
        <v>0</v>
      </c>
      <c r="L77" s="20" t="n">
        <v>0</v>
      </c>
      <c r="M77" s="18" t="n">
        <v>100</v>
      </c>
      <c r="N77" s="20" t="n">
        <v>0</v>
      </c>
      <c r="O77" s="18" t="n">
        <v>0</v>
      </c>
      <c r="P77" s="20" t="n">
        <v>0</v>
      </c>
      <c r="Q77" s="18" t="n">
        <v>0</v>
      </c>
      <c r="R77" s="20" t="n">
        <v>0</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(3632.0/B81*100)</f>
        <v/>
      </c>
      <c r="D81" s="19" t="n">
        <v>531</v>
      </c>
      <c r="E81" s="18" t="n">
        <v>71.19666631</v>
      </c>
      <c r="F81" s="20" t="n">
        <v>2.59037128</v>
      </c>
      <c r="G81" s="18" t="n">
        <v>28.34704527</v>
      </c>
      <c r="H81" s="20" t="n">
        <v>2.56287359</v>
      </c>
      <c r="I81" s="18" t="s">
        <v>431</v>
      </c>
      <c r="J81" s="20" t="s">
        <v>431</v>
      </c>
      <c r="K81" s="18" t="n">
        <v>0.1822183</v>
      </c>
      <c r="L81" s="20" t="n">
        <v>0.17646731</v>
      </c>
      <c r="M81" s="18" t="n">
        <v>0</v>
      </c>
      <c r="N81" s="20" t="n">
        <v>0</v>
      </c>
      <c r="O81" s="18" t="n">
        <v>0</v>
      </c>
      <c r="P81" s="20" t="n">
        <v>0</v>
      </c>
      <c r="Q81" s="18" t="n">
        <v>0.27407013</v>
      </c>
      <c r="R81" s="20" t="n">
        <v>0.28736591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(6482.0/B7*100)</f>
        <v/>
      </c>
      <c r="D7" s="19" t="n">
        <v>885</v>
      </c>
      <c r="E7" s="18" t="n">
        <v>53.29379126</v>
      </c>
      <c r="F7" s="20" t="n">
        <v>1.96659901</v>
      </c>
      <c r="G7" s="18" t="n">
        <v>44.11489681</v>
      </c>
      <c r="H7" s="20" t="n">
        <v>1.9596285</v>
      </c>
      <c r="I7" s="18" t="s">
        <v>431</v>
      </c>
      <c r="J7" s="20" t="s">
        <v>431</v>
      </c>
      <c r="K7" s="18" t="n">
        <v>2.07012235</v>
      </c>
      <c r="L7" s="20" t="n">
        <v>0.5787297300000001</v>
      </c>
      <c r="M7" s="18" t="n">
        <v>0</v>
      </c>
      <c r="N7" s="20" t="n">
        <v>0</v>
      </c>
      <c r="O7" s="18" t="n">
        <v>0</v>
      </c>
      <c r="P7" s="20" t="n">
        <v>0</v>
      </c>
      <c r="Q7" s="18" t="n">
        <v>0.52118958</v>
      </c>
      <c r="R7" s="20" t="n">
        <v>0.22324538</v>
      </c>
    </row>
    <row r="8" spans="1:18">
      <c r="A8" s="15" t="s">
        <v>432</v>
      </c>
      <c r="B8" s="17" t="n">
        <v>3564</v>
      </c>
      <c r="C8" s="18">
        <f>(3149.0/B8*100)</f>
        <v/>
      </c>
      <c r="D8" s="19" t="n">
        <v>415</v>
      </c>
      <c r="E8" s="18" t="n">
        <v>49.64118916</v>
      </c>
      <c r="F8" s="20" t="n">
        <v>2.89439244</v>
      </c>
      <c r="G8" s="18" t="n">
        <v>48.10068377</v>
      </c>
      <c r="H8" s="20" t="n">
        <v>3.09344024</v>
      </c>
      <c r="I8" s="18" t="s">
        <v>431</v>
      </c>
      <c r="J8" s="20" t="s">
        <v>431</v>
      </c>
      <c r="K8" s="18" t="n">
        <v>1.1686658</v>
      </c>
      <c r="L8" s="20" t="n">
        <v>0.59946143</v>
      </c>
      <c r="M8" s="18" t="n">
        <v>0</v>
      </c>
      <c r="N8" s="20" t="n">
        <v>0</v>
      </c>
      <c r="O8" s="18" t="n">
        <v>0</v>
      </c>
      <c r="P8" s="20" t="n">
        <v>0</v>
      </c>
      <c r="Q8" s="18" t="n">
        <v>1.08946127</v>
      </c>
      <c r="R8" s="20" t="n">
        <v>0.51549311</v>
      </c>
    </row>
    <row r="9" spans="1:18">
      <c r="A9" s="15" t="s">
        <v>433</v>
      </c>
      <c r="B9" s="17" t="n">
        <v>4899</v>
      </c>
      <c r="C9" s="18">
        <f>(4337.0/B9*100)</f>
        <v/>
      </c>
      <c r="D9" s="19" t="n">
        <v>562</v>
      </c>
      <c r="E9" s="18" t="n">
        <v>49.02234225</v>
      </c>
      <c r="F9" s="20" t="n">
        <v>2.158326</v>
      </c>
      <c r="G9" s="18" t="n">
        <v>48.90444724</v>
      </c>
      <c r="H9" s="20" t="n">
        <v>2.03697117</v>
      </c>
      <c r="I9" s="18" t="s">
        <v>431</v>
      </c>
      <c r="J9" s="20" t="s">
        <v>431</v>
      </c>
      <c r="K9" s="18" t="n">
        <v>0.97976135</v>
      </c>
      <c r="L9" s="20" t="n">
        <v>0.4436146</v>
      </c>
      <c r="M9" s="18" t="n">
        <v>0</v>
      </c>
      <c r="N9" s="20" t="n">
        <v>0</v>
      </c>
      <c r="O9" s="18" t="n">
        <v>0</v>
      </c>
      <c r="P9" s="20" t="n">
        <v>0</v>
      </c>
      <c r="Q9" s="18" t="n">
        <v>1.09344915</v>
      </c>
      <c r="R9" s="20" t="n">
        <v>0.41390157</v>
      </c>
    </row>
    <row r="10" spans="1:18">
      <c r="A10" s="15" t="s">
        <v>434</v>
      </c>
      <c r="B10" s="17" t="n">
        <v>10036</v>
      </c>
      <c r="C10" s="18">
        <f>(8796.0/B10*100)</f>
        <v/>
      </c>
      <c r="D10" s="19" t="n">
        <v>1240</v>
      </c>
      <c r="E10" s="18" t="n">
        <v>49.33679368</v>
      </c>
      <c r="F10" s="20" t="n">
        <v>2.35221085</v>
      </c>
      <c r="G10" s="18" t="n">
        <v>49.03733245</v>
      </c>
      <c r="H10" s="20" t="n">
        <v>2.39166319</v>
      </c>
      <c r="I10" s="18" t="s">
        <v>431</v>
      </c>
      <c r="J10" s="20" t="s">
        <v>431</v>
      </c>
      <c r="K10" s="18" t="n">
        <v>1.10181174</v>
      </c>
      <c r="L10" s="20" t="n">
        <v>0.42086879</v>
      </c>
      <c r="M10" s="18" t="n">
        <v>0</v>
      </c>
      <c r="N10" s="20" t="n">
        <v>0</v>
      </c>
      <c r="O10" s="18" t="n">
        <v>0</v>
      </c>
      <c r="P10" s="20" t="n">
        <v>0</v>
      </c>
      <c r="Q10" s="18" t="n">
        <v>0.52406212</v>
      </c>
      <c r="R10" s="20" t="n">
        <v>0.32916428</v>
      </c>
    </row>
    <row r="11" spans="1:18">
      <c r="A11" s="15" t="s">
        <v>435</v>
      </c>
      <c r="B11" s="17" t="n">
        <v>3553</v>
      </c>
      <c r="C11" s="18">
        <f>(3145.0/B11*100)</f>
        <v/>
      </c>
      <c r="D11" s="19" t="n">
        <v>408</v>
      </c>
      <c r="E11" s="18" t="n">
        <v>58.26510702</v>
      </c>
      <c r="F11" s="20" t="n">
        <v>2.66656325</v>
      </c>
      <c r="G11" s="18" t="n">
        <v>36.33436948</v>
      </c>
      <c r="H11" s="20" t="n">
        <v>2.58513867</v>
      </c>
      <c r="I11" s="18" t="s">
        <v>431</v>
      </c>
      <c r="J11" s="20" t="s">
        <v>431</v>
      </c>
      <c r="K11" s="18" t="n">
        <v>4.02782623</v>
      </c>
      <c r="L11" s="20" t="n">
        <v>1.0275234</v>
      </c>
      <c r="M11" s="18" t="n">
        <v>0</v>
      </c>
      <c r="N11" s="20" t="n">
        <v>0</v>
      </c>
      <c r="O11" s="18" t="n">
        <v>0</v>
      </c>
      <c r="P11" s="20" t="n">
        <v>0</v>
      </c>
      <c r="Q11" s="18" t="n">
        <v>1.37269727</v>
      </c>
      <c r="R11" s="20" t="n">
        <v>0.68831349</v>
      </c>
    </row>
    <row r="12" spans="1:18">
      <c r="A12" s="15" t="s">
        <v>436</v>
      </c>
      <c r="B12" s="17" t="n">
        <v>3472</v>
      </c>
      <c r="C12" s="18">
        <f>(3065.0/B12*100)</f>
        <v/>
      </c>
      <c r="D12" s="19" t="n">
        <v>407</v>
      </c>
      <c r="E12" s="18" t="n">
        <v>44.31336917</v>
      </c>
      <c r="F12" s="20" t="n">
        <v>2.41940071</v>
      </c>
      <c r="G12" s="18" t="n">
        <v>54.50514266</v>
      </c>
      <c r="H12" s="20" t="n">
        <v>2.41245532</v>
      </c>
      <c r="I12" s="18" t="s">
        <v>431</v>
      </c>
      <c r="J12" s="20" t="s">
        <v>431</v>
      </c>
      <c r="K12" s="18" t="n">
        <v>1.06522183</v>
      </c>
      <c r="L12" s="20" t="n">
        <v>0.81830562</v>
      </c>
      <c r="M12" s="18" t="n">
        <v>0</v>
      </c>
      <c r="N12" s="20" t="n">
        <v>0</v>
      </c>
      <c r="O12" s="18" t="n">
        <v>0</v>
      </c>
      <c r="P12" s="20" t="n">
        <v>0</v>
      </c>
      <c r="Q12" s="18" t="n">
        <v>0.11626633</v>
      </c>
      <c r="R12" s="20" t="n">
        <v>0.11615562</v>
      </c>
    </row>
    <row r="13" spans="1:18">
      <c r="A13" s="15" t="s">
        <v>437</v>
      </c>
      <c r="B13" s="17" t="n">
        <v>3559</v>
      </c>
      <c r="C13" s="18">
        <f>(3156.0/B13*100)</f>
        <v/>
      </c>
      <c r="D13" s="19" t="n">
        <v>403</v>
      </c>
      <c r="E13" s="18" t="n">
        <v>49.37222117</v>
      </c>
      <c r="F13" s="20" t="n">
        <v>2.97333029</v>
      </c>
      <c r="G13" s="18" t="n">
        <v>49.68205211</v>
      </c>
      <c r="H13" s="20" t="n">
        <v>2.9882674</v>
      </c>
      <c r="I13" s="18" t="s">
        <v>431</v>
      </c>
      <c r="J13" s="20" t="s">
        <v>431</v>
      </c>
      <c r="K13" s="18" t="n">
        <v>0.7114568100000001</v>
      </c>
      <c r="L13" s="20" t="n">
        <v>0.55492941</v>
      </c>
      <c r="M13" s="18" t="n">
        <v>0</v>
      </c>
      <c r="N13" s="20" t="n">
        <v>0</v>
      </c>
      <c r="O13" s="18" t="n">
        <v>0</v>
      </c>
      <c r="P13" s="20" t="n">
        <v>0</v>
      </c>
      <c r="Q13" s="18" t="n">
        <v>0.2342699</v>
      </c>
      <c r="R13" s="20" t="n">
        <v>0.23635105</v>
      </c>
    </row>
    <row r="14" spans="1:18">
      <c r="A14" s="15" t="s">
        <v>438</v>
      </c>
      <c r="B14" s="17" t="n">
        <v>2799</v>
      </c>
      <c r="C14" s="18">
        <f>(2457.0/B14*100)</f>
        <v/>
      </c>
      <c r="D14" s="19" t="n">
        <v>342</v>
      </c>
      <c r="E14" s="18" t="n">
        <v>47.52302033</v>
      </c>
      <c r="F14" s="20" t="n">
        <v>3.13523987</v>
      </c>
      <c r="G14" s="18" t="n">
        <v>51.95057891</v>
      </c>
      <c r="H14" s="20" t="n">
        <v>3.09256784</v>
      </c>
      <c r="I14" s="18" t="s">
        <v>431</v>
      </c>
      <c r="J14" s="20" t="s">
        <v>431</v>
      </c>
      <c r="K14" s="18" t="n">
        <v>0.3181747</v>
      </c>
      <c r="L14" s="20" t="n">
        <v>0.31847711</v>
      </c>
      <c r="M14" s="18" t="n">
        <v>0</v>
      </c>
      <c r="N14" s="20" t="n">
        <v>0</v>
      </c>
      <c r="O14" s="18" t="n">
        <v>0</v>
      </c>
      <c r="P14" s="20" t="n">
        <v>0</v>
      </c>
      <c r="Q14" s="18" t="n">
        <v>0.20822606</v>
      </c>
      <c r="R14" s="20" t="n">
        <v>0.20808396</v>
      </c>
    </row>
    <row r="15" spans="1:18">
      <c r="A15" s="15" t="s">
        <v>439</v>
      </c>
      <c r="B15" s="17" t="n">
        <v>3019</v>
      </c>
      <c r="C15" s="18">
        <f>(2654.0/B15*100)</f>
        <v/>
      </c>
      <c r="D15" s="19" t="n">
        <v>365</v>
      </c>
      <c r="E15" s="18" t="n">
        <v>52.37880192</v>
      </c>
      <c r="F15" s="20" t="n">
        <v>2.55559528</v>
      </c>
      <c r="G15" s="18" t="n">
        <v>47.62119808</v>
      </c>
      <c r="H15" s="20" t="n">
        <v>2.55559528</v>
      </c>
      <c r="I15" s="18" t="s">
        <v>431</v>
      </c>
      <c r="J15" s="20" t="s">
        <v>431</v>
      </c>
      <c r="K15" s="18" t="n">
        <v>0</v>
      </c>
      <c r="L15" s="20" t="n">
        <v>0</v>
      </c>
      <c r="M15" s="18" t="n">
        <v>0</v>
      </c>
      <c r="N15" s="20" t="n">
        <v>0</v>
      </c>
      <c r="O15" s="18" t="n">
        <v>0</v>
      </c>
      <c r="P15" s="20" t="n">
        <v>0</v>
      </c>
      <c r="Q15" s="18" t="n">
        <v>0</v>
      </c>
      <c r="R15" s="20" t="n">
        <v>0</v>
      </c>
    </row>
    <row r="16" spans="1:18">
      <c r="A16" s="15" t="s">
        <v>440</v>
      </c>
      <c r="B16" s="17" t="n">
        <v>2997</v>
      </c>
      <c r="C16" s="18">
        <f>(2649.0/B16*100)</f>
        <v/>
      </c>
      <c r="D16" s="19" t="n">
        <v>348</v>
      </c>
      <c r="E16" s="18" t="n">
        <v>40.82408417</v>
      </c>
      <c r="F16" s="20" t="n">
        <v>2.8978067</v>
      </c>
      <c r="G16" s="18" t="n">
        <v>58.33229879</v>
      </c>
      <c r="H16" s="20" t="n">
        <v>2.86565164</v>
      </c>
      <c r="I16" s="18" t="s">
        <v>431</v>
      </c>
      <c r="J16" s="20" t="s">
        <v>431</v>
      </c>
      <c r="K16" s="18" t="n">
        <v>0.25476979</v>
      </c>
      <c r="L16" s="20" t="n">
        <v>0.25482404</v>
      </c>
      <c r="M16" s="18" t="n">
        <v>0</v>
      </c>
      <c r="N16" s="20" t="n">
        <v>0</v>
      </c>
      <c r="O16" s="18" t="n">
        <v>0</v>
      </c>
      <c r="P16" s="20" t="n">
        <v>0</v>
      </c>
      <c r="Q16" s="18" t="n">
        <v>0.58884725</v>
      </c>
      <c r="R16" s="20" t="n">
        <v>0.40591369</v>
      </c>
    </row>
    <row r="17" spans="1:18">
      <c r="A17" s="15" t="s">
        <v>441</v>
      </c>
      <c r="B17" s="17" t="n">
        <v>3307</v>
      </c>
      <c r="C17" s="18">
        <f>(2925.0/B17*100)</f>
        <v/>
      </c>
      <c r="D17" s="19" t="n">
        <v>382</v>
      </c>
      <c r="E17" s="18" t="n">
        <v>52.94926089</v>
      </c>
      <c r="F17" s="20" t="n">
        <v>3.21482865</v>
      </c>
      <c r="G17" s="18" t="n">
        <v>44.17043127</v>
      </c>
      <c r="H17" s="20" t="n">
        <v>3.22986028</v>
      </c>
      <c r="I17" s="18" t="s">
        <v>431</v>
      </c>
      <c r="J17" s="20" t="s">
        <v>431</v>
      </c>
      <c r="K17" s="18" t="n">
        <v>2.08787737</v>
      </c>
      <c r="L17" s="20" t="n">
        <v>0.72847906</v>
      </c>
      <c r="M17" s="18" t="n">
        <v>0</v>
      </c>
      <c r="N17" s="20" t="n">
        <v>0</v>
      </c>
      <c r="O17" s="18" t="n">
        <v>0</v>
      </c>
      <c r="P17" s="20" t="n">
        <v>0</v>
      </c>
      <c r="Q17" s="18" t="n">
        <v>0.79243047</v>
      </c>
      <c r="R17" s="20" t="n">
        <v>0.43248211</v>
      </c>
    </row>
    <row r="18" spans="1:18">
      <c r="A18" s="15" t="s">
        <v>442</v>
      </c>
      <c r="B18" s="17" t="n">
        <v>2826</v>
      </c>
      <c r="C18" s="18">
        <f>(2489.0/B18*100)</f>
        <v/>
      </c>
      <c r="D18" s="19" t="n">
        <v>337</v>
      </c>
      <c r="E18" s="18" t="n">
        <v>47.51135319</v>
      </c>
      <c r="F18" s="20" t="n">
        <v>3.29075683</v>
      </c>
      <c r="G18" s="18" t="n">
        <v>49.70119768</v>
      </c>
      <c r="H18" s="20" t="n">
        <v>3.1782089</v>
      </c>
      <c r="I18" s="18" t="s">
        <v>431</v>
      </c>
      <c r="J18" s="20" t="s">
        <v>431</v>
      </c>
      <c r="K18" s="18" t="n">
        <v>1.52219545</v>
      </c>
      <c r="L18" s="20" t="n">
        <v>0.7428402</v>
      </c>
      <c r="M18" s="18" t="n">
        <v>0</v>
      </c>
      <c r="N18" s="20" t="n">
        <v>0</v>
      </c>
      <c r="O18" s="18" t="n">
        <v>0</v>
      </c>
      <c r="P18" s="20" t="n">
        <v>0</v>
      </c>
      <c r="Q18" s="18" t="n">
        <v>1.26525369</v>
      </c>
      <c r="R18" s="20" t="n">
        <v>0.74856557</v>
      </c>
    </row>
    <row r="19" spans="1:18">
      <c r="A19" s="15" t="s">
        <v>443</v>
      </c>
      <c r="B19" s="17" t="n">
        <v>2808</v>
      </c>
      <c r="C19" s="18">
        <f>(2483.0/B19*100)</f>
        <v/>
      </c>
      <c r="D19" s="19" t="n">
        <v>325</v>
      </c>
      <c r="E19" s="18" t="n">
        <v>54.83746006</v>
      </c>
      <c r="F19" s="20" t="n">
        <v>2.74502327</v>
      </c>
      <c r="G19" s="18" t="n">
        <v>44.54305629</v>
      </c>
      <c r="H19" s="20" t="n">
        <v>2.69417207</v>
      </c>
      <c r="I19" s="18" t="s">
        <v>431</v>
      </c>
      <c r="J19" s="20" t="s">
        <v>431</v>
      </c>
      <c r="K19" s="18" t="n">
        <v>0.28452151</v>
      </c>
      <c r="L19" s="20" t="n">
        <v>0.29633611</v>
      </c>
      <c r="M19" s="18" t="n">
        <v>0</v>
      </c>
      <c r="N19" s="20" t="n">
        <v>0</v>
      </c>
      <c r="O19" s="18" t="n">
        <v>0</v>
      </c>
      <c r="P19" s="20" t="n">
        <v>0</v>
      </c>
      <c r="Q19" s="18" t="n">
        <v>0.33496215</v>
      </c>
      <c r="R19" s="20" t="n">
        <v>0.3393188</v>
      </c>
    </row>
    <row r="20" spans="1:18">
      <c r="A20" s="15" t="s">
        <v>444</v>
      </c>
      <c r="B20" s="17" t="n">
        <v>1630</v>
      </c>
      <c r="C20" s="18">
        <f>(1444.0/B20*100)</f>
        <v/>
      </c>
      <c r="D20" s="19" t="n">
        <v>186</v>
      </c>
      <c r="E20" s="18" t="n">
        <v>58.38247737</v>
      </c>
      <c r="F20" s="20" t="n">
        <v>3.24902094</v>
      </c>
      <c r="G20" s="18" t="n">
        <v>39.56068936</v>
      </c>
      <c r="H20" s="20" t="n">
        <v>3.26140896</v>
      </c>
      <c r="I20" s="18" t="s">
        <v>431</v>
      </c>
      <c r="J20" s="20" t="s">
        <v>431</v>
      </c>
      <c r="K20" s="18" t="n">
        <v>1.55850429</v>
      </c>
      <c r="L20" s="20" t="n">
        <v>0.87752906</v>
      </c>
      <c r="M20" s="18" t="n">
        <v>0</v>
      </c>
      <c r="N20" s="20" t="n">
        <v>0</v>
      </c>
      <c r="O20" s="18" t="n">
        <v>0</v>
      </c>
      <c r="P20" s="20" t="n">
        <v>0</v>
      </c>
      <c r="Q20" s="18" t="n">
        <v>0.49832898</v>
      </c>
      <c r="R20" s="20" t="n">
        <v>0.49394983</v>
      </c>
    </row>
    <row r="21" spans="1:18">
      <c r="A21" s="15" t="s">
        <v>445</v>
      </c>
      <c r="B21" s="17" t="n">
        <v>2908</v>
      </c>
      <c r="C21" s="18">
        <f>(2435.0/B21*100)</f>
        <v/>
      </c>
      <c r="D21" s="19" t="n">
        <v>473</v>
      </c>
      <c r="E21" s="18" t="n">
        <v>57.22076041</v>
      </c>
      <c r="F21" s="20" t="n">
        <v>2.20214745</v>
      </c>
      <c r="G21" s="18" t="n">
        <v>41.85193542</v>
      </c>
      <c r="H21" s="20" t="n">
        <v>2.14763206</v>
      </c>
      <c r="I21" s="18" t="s">
        <v>431</v>
      </c>
      <c r="J21" s="20" t="s">
        <v>431</v>
      </c>
      <c r="K21" s="18" t="n">
        <v>0.76671515</v>
      </c>
      <c r="L21" s="20" t="n">
        <v>0.37052665</v>
      </c>
      <c r="M21" s="18" t="n">
        <v>0</v>
      </c>
      <c r="N21" s="20" t="n">
        <v>0</v>
      </c>
      <c r="O21" s="18" t="n">
        <v>0</v>
      </c>
      <c r="P21" s="20" t="n">
        <v>0</v>
      </c>
      <c r="Q21" s="18" t="n">
        <v>0.16058902</v>
      </c>
      <c r="R21" s="20" t="n">
        <v>0.15277261</v>
      </c>
    </row>
    <row r="22" spans="1:18">
      <c r="A22" s="15" t="s">
        <v>446</v>
      </c>
      <c r="B22" s="17" t="n">
        <v>2931</v>
      </c>
      <c r="C22" s="18">
        <f>(2607.0/B22*100)</f>
        <v/>
      </c>
      <c r="D22" s="19" t="n">
        <v>324</v>
      </c>
      <c r="E22" s="18" t="n">
        <v>59.05046453</v>
      </c>
      <c r="F22" s="20" t="n">
        <v>3.22756428</v>
      </c>
      <c r="G22" s="18" t="n">
        <v>39.34266991</v>
      </c>
      <c r="H22" s="20" t="n">
        <v>3.34088378</v>
      </c>
      <c r="I22" s="18" t="s">
        <v>431</v>
      </c>
      <c r="J22" s="20" t="s">
        <v>431</v>
      </c>
      <c r="K22" s="18" t="n">
        <v>1.03448954</v>
      </c>
      <c r="L22" s="20" t="n">
        <v>0.5223182200000001</v>
      </c>
      <c r="M22" s="18" t="n">
        <v>0</v>
      </c>
      <c r="N22" s="20" t="n">
        <v>0</v>
      </c>
      <c r="O22" s="18" t="n">
        <v>0</v>
      </c>
      <c r="P22" s="20" t="n">
        <v>0</v>
      </c>
      <c r="Q22" s="18" t="n">
        <v>0.57237602</v>
      </c>
      <c r="R22" s="20" t="n">
        <v>0.56503442</v>
      </c>
    </row>
    <row r="23" spans="1:18">
      <c r="A23" s="15" t="s">
        <v>447</v>
      </c>
      <c r="B23" s="17" t="n">
        <v>5791</v>
      </c>
      <c r="C23" s="18">
        <f>(5061.0/B23*100)</f>
        <v/>
      </c>
      <c r="D23" s="19" t="n">
        <v>730</v>
      </c>
      <c r="E23" s="18" t="n">
        <v>55.36807428</v>
      </c>
      <c r="F23" s="20" t="n">
        <v>2.68325876</v>
      </c>
      <c r="G23" s="18" t="n">
        <v>43.70935969</v>
      </c>
      <c r="H23" s="20" t="n">
        <v>2.77678078</v>
      </c>
      <c r="I23" s="18" t="s">
        <v>431</v>
      </c>
      <c r="J23" s="20" t="s">
        <v>431</v>
      </c>
      <c r="K23" s="18" t="n">
        <v>0.66222981</v>
      </c>
      <c r="L23" s="20" t="n">
        <v>0.45744939</v>
      </c>
      <c r="M23" s="18" t="n">
        <v>0</v>
      </c>
      <c r="N23" s="20" t="n">
        <v>0</v>
      </c>
      <c r="O23" s="18" t="n">
        <v>0</v>
      </c>
      <c r="P23" s="20" t="n">
        <v>0</v>
      </c>
      <c r="Q23" s="18" t="n">
        <v>0.26033622</v>
      </c>
      <c r="R23" s="20" t="n">
        <v>0.24868277</v>
      </c>
    </row>
    <row r="24" spans="1:18">
      <c r="A24" s="15" t="s">
        <v>448</v>
      </c>
      <c r="B24" s="17" t="n">
        <v>3338</v>
      </c>
      <c r="C24" s="18">
        <f>(2953.0/B24*100)</f>
        <v/>
      </c>
      <c r="D24" s="19" t="n">
        <v>385</v>
      </c>
      <c r="E24" s="18" t="n">
        <v>62.17665854</v>
      </c>
      <c r="F24" s="20" t="n">
        <v>2.66809993</v>
      </c>
      <c r="G24" s="18" t="n">
        <v>36.6123235</v>
      </c>
      <c r="H24" s="20" t="n">
        <v>2.68944906</v>
      </c>
      <c r="I24" s="18" t="s">
        <v>431</v>
      </c>
      <c r="J24" s="20" t="s">
        <v>431</v>
      </c>
      <c r="K24" s="18" t="n">
        <v>0.73463431</v>
      </c>
      <c r="L24" s="20" t="n">
        <v>0.38138833</v>
      </c>
      <c r="M24" s="18" t="n">
        <v>0</v>
      </c>
      <c r="N24" s="20" t="n">
        <v>0</v>
      </c>
      <c r="O24" s="18" t="n">
        <v>0</v>
      </c>
      <c r="P24" s="20" t="n">
        <v>0</v>
      </c>
      <c r="Q24" s="18" t="n">
        <v>0.47638366</v>
      </c>
      <c r="R24" s="20" t="n">
        <v>0.33356322</v>
      </c>
    </row>
    <row r="25" spans="1:18">
      <c r="A25" s="15" t="s">
        <v>449</v>
      </c>
      <c r="B25" s="17" t="n">
        <v>2912</v>
      </c>
      <c r="C25" s="18">
        <f>(2569.0/B25*100)</f>
        <v/>
      </c>
      <c r="D25" s="19" t="n">
        <v>343</v>
      </c>
      <c r="E25" s="18" t="n">
        <v>54.44233708</v>
      </c>
      <c r="F25" s="20" t="n">
        <v>2.73568188</v>
      </c>
      <c r="G25" s="18" t="n">
        <v>44.98793162</v>
      </c>
      <c r="H25" s="20" t="n">
        <v>2.71898081</v>
      </c>
      <c r="I25" s="18" t="s">
        <v>431</v>
      </c>
      <c r="J25" s="20" t="s">
        <v>431</v>
      </c>
      <c r="K25" s="18" t="n">
        <v>0.5697313000000001</v>
      </c>
      <c r="L25" s="20" t="n">
        <v>0.4089077</v>
      </c>
      <c r="M25" s="18" t="n">
        <v>0</v>
      </c>
      <c r="N25" s="20" t="n">
        <v>0</v>
      </c>
      <c r="O25" s="18" t="n">
        <v>0</v>
      </c>
      <c r="P25" s="20" t="n">
        <v>0</v>
      </c>
      <c r="Q25" s="18" t="n">
        <v>0</v>
      </c>
      <c r="R25" s="20" t="n">
        <v>0</v>
      </c>
    </row>
    <row r="26" spans="1:18">
      <c r="A26" s="15" t="s">
        <v>450</v>
      </c>
      <c r="B26" s="17" t="n">
        <v>2450</v>
      </c>
      <c r="C26" s="18">
        <f>(2143.0/B26*100)</f>
        <v/>
      </c>
      <c r="D26" s="19" t="n">
        <v>307</v>
      </c>
      <c r="E26" s="18" t="n">
        <v>50.27024539</v>
      </c>
      <c r="F26" s="20" t="n">
        <v>2.94577079</v>
      </c>
      <c r="G26" s="18" t="n">
        <v>47.93783647</v>
      </c>
      <c r="H26" s="20" t="n">
        <v>2.9863046</v>
      </c>
      <c r="I26" s="18" t="s">
        <v>431</v>
      </c>
      <c r="J26" s="20" t="s">
        <v>431</v>
      </c>
      <c r="K26" s="18" t="n">
        <v>0</v>
      </c>
      <c r="L26" s="20" t="n">
        <v>0</v>
      </c>
      <c r="M26" s="18" t="n">
        <v>0</v>
      </c>
      <c r="N26" s="20" t="n">
        <v>0</v>
      </c>
      <c r="O26" s="18" t="n">
        <v>0</v>
      </c>
      <c r="P26" s="20" t="n">
        <v>0</v>
      </c>
      <c r="Q26" s="18" t="n">
        <v>1.79191815</v>
      </c>
      <c r="R26" s="20" t="n">
        <v>0.96977104</v>
      </c>
    </row>
    <row r="27" spans="1:18">
      <c r="A27" s="15" t="s">
        <v>451</v>
      </c>
      <c r="B27" s="17" t="n">
        <v>2616</v>
      </c>
      <c r="C27" s="18">
        <f>(2304.0/B27*100)</f>
        <v/>
      </c>
      <c r="D27" s="19" t="n">
        <v>312</v>
      </c>
      <c r="E27" s="18" t="n">
        <v>54.46395865</v>
      </c>
      <c r="F27" s="20" t="n">
        <v>2.65808554</v>
      </c>
      <c r="G27" s="18" t="n">
        <v>44.20729788</v>
      </c>
      <c r="H27" s="20" t="n">
        <v>2.71087669</v>
      </c>
      <c r="I27" s="18" t="s">
        <v>431</v>
      </c>
      <c r="J27" s="20" t="s">
        <v>431</v>
      </c>
      <c r="K27" s="18" t="n">
        <v>1.00267068</v>
      </c>
      <c r="L27" s="20" t="n">
        <v>0.57748031</v>
      </c>
      <c r="M27" s="18" t="n">
        <v>0</v>
      </c>
      <c r="N27" s="20" t="n">
        <v>0</v>
      </c>
      <c r="O27" s="18" t="n">
        <v>0</v>
      </c>
      <c r="P27" s="20" t="n">
        <v>0</v>
      </c>
      <c r="Q27" s="18" t="n">
        <v>0.32607279</v>
      </c>
      <c r="R27" s="20" t="n">
        <v>0.32515738</v>
      </c>
    </row>
    <row r="28" spans="1:18">
      <c r="A28" s="15" t="s">
        <v>452</v>
      </c>
      <c r="B28" s="17" t="n">
        <v>3765</v>
      </c>
      <c r="C28" s="18">
        <f>(3330.0/B28*100)</f>
        <v/>
      </c>
      <c r="D28" s="19" t="n">
        <v>435</v>
      </c>
      <c r="E28" s="18" t="n">
        <v>74.16380683</v>
      </c>
      <c r="F28" s="20" t="n">
        <v>2.18915062</v>
      </c>
      <c r="G28" s="18" t="n">
        <v>21.96467863</v>
      </c>
      <c r="H28" s="20" t="n">
        <v>2.11645339</v>
      </c>
      <c r="I28" s="18" t="s">
        <v>431</v>
      </c>
      <c r="J28" s="20" t="s">
        <v>431</v>
      </c>
      <c r="K28" s="18" t="n">
        <v>2.27459597</v>
      </c>
      <c r="L28" s="20" t="n">
        <v>0.8032863099999999</v>
      </c>
      <c r="M28" s="18" t="n">
        <v>0</v>
      </c>
      <c r="N28" s="20" t="n">
        <v>0</v>
      </c>
      <c r="O28" s="18" t="n">
        <v>0</v>
      </c>
      <c r="P28" s="20" t="n">
        <v>0</v>
      </c>
      <c r="Q28" s="18" t="n">
        <v>1.59691856</v>
      </c>
      <c r="R28" s="20" t="n">
        <v>0.64261547</v>
      </c>
    </row>
    <row r="29" spans="1:18">
      <c r="A29" s="15" t="s">
        <v>453</v>
      </c>
      <c r="B29" s="17" t="n">
        <v>2685</v>
      </c>
      <c r="C29" s="18">
        <f>(2346.0/B29*100)</f>
        <v/>
      </c>
      <c r="D29" s="19" t="n">
        <v>339</v>
      </c>
      <c r="E29" s="18" t="n">
        <v>57.03912336</v>
      </c>
      <c r="F29" s="20" t="n">
        <v>2.47468769</v>
      </c>
      <c r="G29" s="18" t="n">
        <v>42.39395103</v>
      </c>
      <c r="H29" s="20" t="n">
        <v>2.45877214</v>
      </c>
      <c r="I29" s="18" t="s">
        <v>431</v>
      </c>
      <c r="J29" s="20" t="s">
        <v>431</v>
      </c>
      <c r="K29" s="18" t="n">
        <v>0.35523293</v>
      </c>
      <c r="L29" s="20" t="n">
        <v>0.25392862</v>
      </c>
      <c r="M29" s="18" t="n">
        <v>0</v>
      </c>
      <c r="N29" s="20" t="n">
        <v>0</v>
      </c>
      <c r="O29" s="18" t="n">
        <v>0</v>
      </c>
      <c r="P29" s="20" t="n">
        <v>0</v>
      </c>
      <c r="Q29" s="18" t="n">
        <v>0.21169268</v>
      </c>
      <c r="R29" s="20" t="n">
        <v>0.24786677</v>
      </c>
    </row>
    <row r="30" spans="1:18">
      <c r="A30" s="15" t="s">
        <v>454</v>
      </c>
      <c r="B30" s="17" t="n">
        <v>2263</v>
      </c>
      <c r="C30" s="18">
        <f>(1980.0/B30*100)</f>
        <v/>
      </c>
      <c r="D30" s="19" t="n">
        <v>283</v>
      </c>
      <c r="E30" s="18" t="n">
        <v>59.07869068</v>
      </c>
      <c r="F30" s="20" t="n">
        <v>2.75914511</v>
      </c>
      <c r="G30" s="18" t="n">
        <v>37.69331582</v>
      </c>
      <c r="H30" s="20" t="n">
        <v>2.81738748</v>
      </c>
      <c r="I30" s="18" t="s">
        <v>431</v>
      </c>
      <c r="J30" s="20" t="s">
        <v>431</v>
      </c>
      <c r="K30" s="18" t="n">
        <v>1.91829103</v>
      </c>
      <c r="L30" s="20" t="n">
        <v>0.78885324</v>
      </c>
      <c r="M30" s="18" t="n">
        <v>0</v>
      </c>
      <c r="N30" s="20" t="n">
        <v>0</v>
      </c>
      <c r="O30" s="18" t="n">
        <v>0</v>
      </c>
      <c r="P30" s="20" t="n">
        <v>0</v>
      </c>
      <c r="Q30" s="18" t="n">
        <v>1.30970246</v>
      </c>
      <c r="R30" s="20" t="n">
        <v>0.65264109</v>
      </c>
    </row>
    <row r="31" spans="1:18">
      <c r="A31" s="15" t="s">
        <v>455</v>
      </c>
      <c r="B31" s="17" t="n">
        <v>2750</v>
      </c>
      <c r="C31" s="18">
        <f>(2423.0/B31*100)</f>
        <v/>
      </c>
      <c r="D31" s="19" t="n">
        <v>327</v>
      </c>
      <c r="E31" s="18" t="n">
        <v>56.15073804</v>
      </c>
      <c r="F31" s="20" t="n">
        <v>2.92293656</v>
      </c>
      <c r="G31" s="18" t="n">
        <v>42.37358547</v>
      </c>
      <c r="H31" s="20" t="n">
        <v>2.89472278</v>
      </c>
      <c r="I31" s="18" t="s">
        <v>431</v>
      </c>
      <c r="J31" s="20" t="s">
        <v>431</v>
      </c>
      <c r="K31" s="18" t="n">
        <v>1.47567649</v>
      </c>
      <c r="L31" s="20" t="n">
        <v>0.78556652</v>
      </c>
      <c r="M31" s="18" t="n">
        <v>0</v>
      </c>
      <c r="N31" s="20" t="n">
        <v>0</v>
      </c>
      <c r="O31" s="18" t="n">
        <v>0</v>
      </c>
      <c r="P31" s="20" t="n">
        <v>0</v>
      </c>
      <c r="Q31" s="18" t="n">
        <v>0</v>
      </c>
      <c r="R31" s="20" t="n">
        <v>0</v>
      </c>
    </row>
    <row r="32" spans="1:18">
      <c r="A32" s="15" t="s">
        <v>456</v>
      </c>
      <c r="B32" s="17" t="n">
        <v>2269</v>
      </c>
      <c r="C32" s="18">
        <f>(1920.0/B32*100)</f>
        <v/>
      </c>
      <c r="D32" s="19" t="n">
        <v>349</v>
      </c>
      <c r="E32" s="18" t="n">
        <v>38.51382492</v>
      </c>
      <c r="F32" s="20" t="n">
        <v>2.65399476</v>
      </c>
      <c r="G32" s="18" t="n">
        <v>60.94670016</v>
      </c>
      <c r="H32" s="20" t="n">
        <v>2.64434111</v>
      </c>
      <c r="I32" s="18" t="s">
        <v>431</v>
      </c>
      <c r="J32" s="20" t="s">
        <v>431</v>
      </c>
      <c r="K32" s="18" t="n">
        <v>0</v>
      </c>
      <c r="L32" s="20" t="n">
        <v>0</v>
      </c>
      <c r="M32" s="18" t="n">
        <v>0</v>
      </c>
      <c r="N32" s="20" t="n">
        <v>0</v>
      </c>
      <c r="O32" s="18" t="n">
        <v>0</v>
      </c>
      <c r="P32" s="20" t="n">
        <v>0</v>
      </c>
      <c r="Q32" s="18" t="n">
        <v>0.53947492</v>
      </c>
      <c r="R32" s="20" t="n">
        <v>0.37674805</v>
      </c>
    </row>
    <row r="33" spans="1:18">
      <c r="A33" s="15" t="s">
        <v>457</v>
      </c>
      <c r="B33" s="17" t="n">
        <v>3674</v>
      </c>
      <c r="C33" s="18">
        <f>(3243.0/B33*100)</f>
        <v/>
      </c>
      <c r="D33" s="19" t="n">
        <v>431</v>
      </c>
      <c r="E33" s="18" t="n">
        <v>68.18045343</v>
      </c>
      <c r="F33" s="20" t="n">
        <v>2.54729097</v>
      </c>
      <c r="G33" s="18" t="n">
        <v>30.40957846</v>
      </c>
      <c r="H33" s="20" t="n">
        <v>2.42238407</v>
      </c>
      <c r="I33" s="18" t="s">
        <v>431</v>
      </c>
      <c r="J33" s="20" t="s">
        <v>431</v>
      </c>
      <c r="K33" s="18" t="n">
        <v>0.33705402</v>
      </c>
      <c r="L33" s="20" t="n">
        <v>0.29535142</v>
      </c>
      <c r="M33" s="18" t="n">
        <v>0</v>
      </c>
      <c r="N33" s="20" t="n">
        <v>0</v>
      </c>
      <c r="O33" s="18" t="n">
        <v>0</v>
      </c>
      <c r="P33" s="20" t="n">
        <v>0</v>
      </c>
      <c r="Q33" s="18" t="n">
        <v>1.07291409</v>
      </c>
      <c r="R33" s="20" t="n">
        <v>0.61142514</v>
      </c>
    </row>
    <row r="34" spans="1:18">
      <c r="A34" s="15" t="s">
        <v>458</v>
      </c>
      <c r="B34" s="17" t="n">
        <v>3315</v>
      </c>
      <c r="C34" s="18">
        <f>(2933.0/B34*100)</f>
        <v/>
      </c>
      <c r="D34" s="19" t="n">
        <v>382</v>
      </c>
      <c r="E34" s="18" t="n">
        <v>53.53534604</v>
      </c>
      <c r="F34" s="20" t="n">
        <v>2.90840494</v>
      </c>
      <c r="G34" s="18" t="n">
        <v>44.6233197</v>
      </c>
      <c r="H34" s="20" t="n">
        <v>2.86868071</v>
      </c>
      <c r="I34" s="18" t="s">
        <v>431</v>
      </c>
      <c r="J34" s="20" t="s">
        <v>431</v>
      </c>
      <c r="K34" s="18" t="n">
        <v>0.42108842</v>
      </c>
      <c r="L34" s="20" t="n">
        <v>0.41898433</v>
      </c>
      <c r="M34" s="18" t="n">
        <v>0</v>
      </c>
      <c r="N34" s="20" t="n">
        <v>0</v>
      </c>
      <c r="O34" s="18" t="n">
        <v>0</v>
      </c>
      <c r="P34" s="20" t="n">
        <v>0</v>
      </c>
      <c r="Q34" s="18" t="n">
        <v>1.42024584</v>
      </c>
      <c r="R34" s="20" t="n">
        <v>0.65205493</v>
      </c>
    </row>
    <row r="35" spans="1:18">
      <c r="A35" s="15" t="s">
        <v>459</v>
      </c>
      <c r="B35" s="17" t="n">
        <v>3505</v>
      </c>
      <c r="C35" s="18">
        <f>(3101.0/B35*100)</f>
        <v/>
      </c>
      <c r="D35" s="19" t="n">
        <v>404</v>
      </c>
      <c r="E35" s="18" t="n">
        <v>50.23667103</v>
      </c>
      <c r="F35" s="20" t="n">
        <v>2.87802003</v>
      </c>
      <c r="G35" s="18" t="n">
        <v>48.04208335</v>
      </c>
      <c r="H35" s="20" t="n">
        <v>2.93618517</v>
      </c>
      <c r="I35" s="18" t="s">
        <v>431</v>
      </c>
      <c r="J35" s="20" t="s">
        <v>431</v>
      </c>
      <c r="K35" s="18" t="n">
        <v>0.87632446</v>
      </c>
      <c r="L35" s="20" t="n">
        <v>0.58874479</v>
      </c>
      <c r="M35" s="18" t="n">
        <v>0</v>
      </c>
      <c r="N35" s="20" t="n">
        <v>0</v>
      </c>
      <c r="O35" s="18" t="n">
        <v>0</v>
      </c>
      <c r="P35" s="20" t="n">
        <v>0</v>
      </c>
      <c r="Q35" s="18" t="n">
        <v>0.8449211599999999</v>
      </c>
      <c r="R35" s="20" t="n">
        <v>0.47055197</v>
      </c>
    </row>
    <row r="36" spans="1:18">
      <c r="A36" s="15" t="s">
        <v>460</v>
      </c>
      <c r="B36" s="17" t="n">
        <v>3332</v>
      </c>
      <c r="C36" s="18">
        <f>(2946.0/B36*100)</f>
        <v/>
      </c>
      <c r="D36" s="19" t="n">
        <v>386</v>
      </c>
      <c r="E36" s="18" t="n">
        <v>50.74734874</v>
      </c>
      <c r="F36" s="20" t="n">
        <v>2.45666177</v>
      </c>
      <c r="G36" s="18" t="n">
        <v>45.86419876</v>
      </c>
      <c r="H36" s="20" t="n">
        <v>2.38758632</v>
      </c>
      <c r="I36" s="18" t="s">
        <v>431</v>
      </c>
      <c r="J36" s="20" t="s">
        <v>431</v>
      </c>
      <c r="K36" s="18" t="n">
        <v>2.82426944</v>
      </c>
      <c r="L36" s="20" t="n">
        <v>0.77029291</v>
      </c>
      <c r="M36" s="18" t="n">
        <v>0</v>
      </c>
      <c r="N36" s="20" t="n">
        <v>0</v>
      </c>
      <c r="O36" s="18" t="n">
        <v>0</v>
      </c>
      <c r="P36" s="20" t="n">
        <v>0</v>
      </c>
      <c r="Q36" s="18" t="n">
        <v>0.56418306</v>
      </c>
      <c r="R36" s="20" t="n">
        <v>0.46132525</v>
      </c>
    </row>
    <row r="37" spans="1:18">
      <c r="A37" s="15" t="s">
        <v>461</v>
      </c>
      <c r="B37" s="17" t="n">
        <v>2727</v>
      </c>
      <c r="C37" s="18">
        <f>(2389.0/B37*100)</f>
        <v/>
      </c>
      <c r="D37" s="19" t="n">
        <v>338</v>
      </c>
      <c r="E37" s="18" t="n">
        <v>50.9764153</v>
      </c>
      <c r="F37" s="20" t="n">
        <v>2.94189795</v>
      </c>
      <c r="G37" s="18" t="n">
        <v>46.4196807</v>
      </c>
      <c r="H37" s="20" t="n">
        <v>2.64095501</v>
      </c>
      <c r="I37" s="18" t="s">
        <v>431</v>
      </c>
      <c r="J37" s="20" t="s">
        <v>431</v>
      </c>
      <c r="K37" s="18" t="n">
        <v>2.36137147</v>
      </c>
      <c r="L37" s="20" t="n">
        <v>0.94672216</v>
      </c>
      <c r="M37" s="18" t="n">
        <v>0</v>
      </c>
      <c r="N37" s="20" t="n">
        <v>0</v>
      </c>
      <c r="O37" s="18" t="n">
        <v>0</v>
      </c>
      <c r="P37" s="20" t="n">
        <v>0</v>
      </c>
      <c r="Q37" s="18" t="n">
        <v>0.24253252</v>
      </c>
      <c r="R37" s="20" t="n">
        <v>0.24410609</v>
      </c>
    </row>
    <row r="38" spans="1:18">
      <c r="A38" s="15" t="s">
        <v>462</v>
      </c>
      <c r="B38" s="17" t="n">
        <v>3053</v>
      </c>
      <c r="C38" s="18">
        <f>(2576.0/B38*100)</f>
        <v/>
      </c>
      <c r="D38" s="19" t="n">
        <v>477</v>
      </c>
      <c r="E38" s="18" t="n">
        <v>51.06735305</v>
      </c>
      <c r="F38" s="20" t="n">
        <v>2.52811205</v>
      </c>
      <c r="G38" s="18" t="n">
        <v>46.23584455</v>
      </c>
      <c r="H38" s="20" t="n">
        <v>2.6620108</v>
      </c>
      <c r="I38" s="18" t="s">
        <v>431</v>
      </c>
      <c r="J38" s="20" t="s">
        <v>431</v>
      </c>
      <c r="K38" s="18" t="n">
        <v>2.07281896</v>
      </c>
      <c r="L38" s="20" t="n">
        <v>0.79217193</v>
      </c>
      <c r="M38" s="18" t="n">
        <v>0</v>
      </c>
      <c r="N38" s="20" t="n">
        <v>0</v>
      </c>
      <c r="O38" s="18" t="n">
        <v>0</v>
      </c>
      <c r="P38" s="20" t="n">
        <v>0</v>
      </c>
      <c r="Q38" s="18" t="n">
        <v>0.62398345</v>
      </c>
      <c r="R38" s="20" t="n">
        <v>0.37014998</v>
      </c>
    </row>
    <row r="39" spans="1:18">
      <c r="A39" s="15" t="s">
        <v>463</v>
      </c>
      <c r="B39" s="17" t="n">
        <v>2957</v>
      </c>
      <c r="C39" s="18">
        <f>(2588.0/B39*100)</f>
        <v/>
      </c>
      <c r="D39" s="19" t="n">
        <v>369</v>
      </c>
      <c r="E39" s="18" t="n">
        <v>69.11012001</v>
      </c>
      <c r="F39" s="20" t="n">
        <v>2.88868735</v>
      </c>
      <c r="G39" s="18" t="n">
        <v>30.33354711</v>
      </c>
      <c r="H39" s="20" t="n">
        <v>2.82899017</v>
      </c>
      <c r="I39" s="18" t="s">
        <v>431</v>
      </c>
      <c r="J39" s="20" t="s">
        <v>431</v>
      </c>
      <c r="K39" s="18" t="n">
        <v>0.55633288</v>
      </c>
      <c r="L39" s="20" t="n">
        <v>0.40210755</v>
      </c>
      <c r="M39" s="18" t="n">
        <v>0</v>
      </c>
      <c r="N39" s="20" t="n">
        <v>0</v>
      </c>
      <c r="O39" s="18" t="n">
        <v>0</v>
      </c>
      <c r="P39" s="20" t="n">
        <v>0</v>
      </c>
      <c r="Q39" s="18" t="n">
        <v>0</v>
      </c>
      <c r="R39" s="20" t="n">
        <v>0</v>
      </c>
    </row>
    <row r="40" spans="1:18">
      <c r="A40" s="15" t="s">
        <v>464</v>
      </c>
      <c r="B40" s="17" t="n">
        <v>7235</v>
      </c>
      <c r="C40" s="18">
        <f>(6358.0/B40*100)</f>
        <v/>
      </c>
      <c r="D40" s="19" t="n">
        <v>877</v>
      </c>
      <c r="E40" s="18" t="n">
        <v>51.92825961</v>
      </c>
      <c r="F40" s="20" t="n">
        <v>2.73032546</v>
      </c>
      <c r="G40" s="18" t="n">
        <v>46.05154956</v>
      </c>
      <c r="H40" s="20" t="n">
        <v>2.88865782</v>
      </c>
      <c r="I40" s="18" t="s">
        <v>431</v>
      </c>
      <c r="J40" s="20" t="s">
        <v>431</v>
      </c>
      <c r="K40" s="18" t="n">
        <v>1.37064977</v>
      </c>
      <c r="L40" s="20" t="n">
        <v>0.63417616</v>
      </c>
      <c r="M40" s="18" t="n">
        <v>0</v>
      </c>
      <c r="N40" s="20" t="n">
        <v>0</v>
      </c>
      <c r="O40" s="18" t="n">
        <v>0</v>
      </c>
      <c r="P40" s="20" t="n">
        <v>0</v>
      </c>
      <c r="Q40" s="18" t="n">
        <v>0.64954106</v>
      </c>
      <c r="R40" s="20" t="n">
        <v>0.40535175</v>
      </c>
    </row>
    <row r="41" spans="1:18">
      <c r="A41" s="15" t="s">
        <v>465</v>
      </c>
      <c r="B41" s="17" t="n">
        <v>2858</v>
      </c>
      <c r="C41" s="18">
        <f>(2524.0/B41*100)</f>
        <v/>
      </c>
      <c r="D41" s="19" t="n">
        <v>334</v>
      </c>
      <c r="E41" s="18" t="n">
        <v>45.03109394</v>
      </c>
      <c r="F41" s="20" t="n">
        <v>2.89519906</v>
      </c>
      <c r="G41" s="18" t="n">
        <v>53.49916281</v>
      </c>
      <c r="H41" s="20" t="n">
        <v>2.9291575</v>
      </c>
      <c r="I41" s="18" t="s">
        <v>431</v>
      </c>
      <c r="J41" s="20" t="s">
        <v>431</v>
      </c>
      <c r="K41" s="18" t="n">
        <v>0.9586719</v>
      </c>
      <c r="L41" s="20" t="n">
        <v>0.51458384</v>
      </c>
      <c r="M41" s="18" t="n">
        <v>0</v>
      </c>
      <c r="N41" s="20" t="n">
        <v>0</v>
      </c>
      <c r="O41" s="18" t="n">
        <v>0</v>
      </c>
      <c r="P41" s="20" t="n">
        <v>0</v>
      </c>
      <c r="Q41" s="18" t="n">
        <v>0.51107136</v>
      </c>
      <c r="R41" s="20" t="n">
        <v>0.33977677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(10078.0/B46*100)</f>
        <v/>
      </c>
      <c r="D46" s="19" t="n">
        <v>990</v>
      </c>
      <c r="E46" s="18" t="n">
        <v>57.865464</v>
      </c>
      <c r="F46" s="20" t="n">
        <v>2.00483126</v>
      </c>
      <c r="G46" s="18" t="n">
        <v>38.48196654</v>
      </c>
      <c r="H46" s="20" t="n">
        <v>2.04461001</v>
      </c>
      <c r="I46" s="18" t="s">
        <v>431</v>
      </c>
      <c r="J46" s="20" t="s">
        <v>431</v>
      </c>
      <c r="K46" s="18" t="n">
        <v>2.691815</v>
      </c>
      <c r="L46" s="20" t="n">
        <v>0.68716667</v>
      </c>
      <c r="M46" s="18" t="n">
        <v>0</v>
      </c>
      <c r="N46" s="20" t="n">
        <v>0</v>
      </c>
      <c r="O46" s="18" t="n">
        <v>0</v>
      </c>
      <c r="P46" s="20" t="n">
        <v>0</v>
      </c>
      <c r="Q46" s="18" t="n">
        <v>0.96075445</v>
      </c>
      <c r="R46" s="20" t="n">
        <v>0.41897256</v>
      </c>
    </row>
    <row r="47" spans="1:18">
      <c r="A47" s="15" t="s">
        <v>471</v>
      </c>
      <c r="B47" s="17" t="n">
        <v>3105</v>
      </c>
      <c r="C47" s="18">
        <f>(2710.0/B47*100)</f>
        <v/>
      </c>
      <c r="D47" s="19" t="n">
        <v>395</v>
      </c>
      <c r="E47" s="18" t="n">
        <v>52.2128193</v>
      </c>
      <c r="F47" s="20" t="n">
        <v>2.25436841</v>
      </c>
      <c r="G47" s="18" t="n">
        <v>46.7848565</v>
      </c>
      <c r="H47" s="20" t="n">
        <v>2.30734153</v>
      </c>
      <c r="I47" s="18" t="s">
        <v>431</v>
      </c>
      <c r="J47" s="20" t="s">
        <v>431</v>
      </c>
      <c r="K47" s="18" t="n">
        <v>0</v>
      </c>
      <c r="L47" s="20" t="n">
        <v>0</v>
      </c>
      <c r="M47" s="18" t="n">
        <v>0</v>
      </c>
      <c r="N47" s="20" t="n">
        <v>0</v>
      </c>
      <c r="O47" s="18" t="n">
        <v>0</v>
      </c>
      <c r="P47" s="20" t="n">
        <v>0</v>
      </c>
      <c r="Q47" s="18" t="n">
        <v>1.0023242</v>
      </c>
      <c r="R47" s="20" t="n">
        <v>0.5212223</v>
      </c>
    </row>
    <row r="48" spans="1:18">
      <c r="A48" s="15" t="s">
        <v>472</v>
      </c>
      <c r="B48" s="17" t="n">
        <v>5159</v>
      </c>
      <c r="C48" s="18">
        <f>(4533.0/B48*100)</f>
        <v/>
      </c>
      <c r="D48" s="19" t="n">
        <v>626</v>
      </c>
      <c r="E48" s="18" t="n">
        <v>57.44484314</v>
      </c>
      <c r="F48" s="20" t="n">
        <v>2.40558535</v>
      </c>
      <c r="G48" s="18" t="n">
        <v>41.34790778</v>
      </c>
      <c r="H48" s="20" t="n">
        <v>2.39992629</v>
      </c>
      <c r="I48" s="18" t="s">
        <v>431</v>
      </c>
      <c r="J48" s="20" t="s">
        <v>431</v>
      </c>
      <c r="K48" s="18" t="n">
        <v>0.7424814</v>
      </c>
      <c r="L48" s="20" t="n">
        <v>0.48218658</v>
      </c>
      <c r="M48" s="18" t="n">
        <v>0</v>
      </c>
      <c r="N48" s="20" t="n">
        <v>0</v>
      </c>
      <c r="O48" s="18" t="n">
        <v>0</v>
      </c>
      <c r="P48" s="20" t="n">
        <v>0</v>
      </c>
      <c r="Q48" s="18" t="n">
        <v>0.46476769</v>
      </c>
      <c r="R48" s="20" t="n">
        <v>0.33112739</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(4989.0/B50*100)</f>
        <v/>
      </c>
      <c r="D50" s="19" t="n">
        <v>648</v>
      </c>
      <c r="E50" s="18" t="n">
        <v>67.72862793</v>
      </c>
      <c r="F50" s="20" t="n">
        <v>2.49248946</v>
      </c>
      <c r="G50" s="18" t="n">
        <v>27.72497066</v>
      </c>
      <c r="H50" s="20" t="n">
        <v>2.28469524</v>
      </c>
      <c r="I50" s="18" t="s">
        <v>431</v>
      </c>
      <c r="J50" s="20" t="s">
        <v>431</v>
      </c>
      <c r="K50" s="18" t="n">
        <v>3.72308745</v>
      </c>
      <c r="L50" s="20" t="n">
        <v>1.16320769</v>
      </c>
      <c r="M50" s="18" t="n">
        <v>0</v>
      </c>
      <c r="N50" s="20" t="n">
        <v>0</v>
      </c>
      <c r="O50" s="18" t="n">
        <v>0</v>
      </c>
      <c r="P50" s="20" t="n">
        <v>0</v>
      </c>
      <c r="Q50" s="18" t="n">
        <v>0.82331397</v>
      </c>
      <c r="R50" s="20" t="n">
        <v>0.69615016</v>
      </c>
    </row>
    <row r="51" spans="1:18">
      <c r="A51" s="15" t="s">
        <v>475</v>
      </c>
      <c r="B51" s="17" t="n">
        <v>3372</v>
      </c>
      <c r="C51" s="18">
        <f>(3029.0/B51*100)</f>
        <v/>
      </c>
      <c r="D51" s="19" t="n">
        <v>343</v>
      </c>
      <c r="E51" s="18" t="n">
        <v>58.20641625</v>
      </c>
      <c r="F51" s="20" t="n">
        <v>3.11077265</v>
      </c>
      <c r="G51" s="18" t="n">
        <v>39.23179301</v>
      </c>
      <c r="H51" s="20" t="n">
        <v>3.2113256</v>
      </c>
      <c r="I51" s="18" t="s">
        <v>431</v>
      </c>
      <c r="J51" s="20" t="s">
        <v>431</v>
      </c>
      <c r="K51" s="18" t="n">
        <v>2.10112257</v>
      </c>
      <c r="L51" s="20" t="n">
        <v>0.81752727</v>
      </c>
      <c r="M51" s="18" t="n">
        <v>0</v>
      </c>
      <c r="N51" s="20" t="n">
        <v>0</v>
      </c>
      <c r="O51" s="18" t="n">
        <v>0</v>
      </c>
      <c r="P51" s="20" t="n">
        <v>0</v>
      </c>
      <c r="Q51" s="18" t="n">
        <v>0.46066818</v>
      </c>
      <c r="R51" s="20" t="n">
        <v>0.34584952</v>
      </c>
    </row>
    <row r="52" spans="1:18">
      <c r="A52" s="15" t="s">
        <v>476</v>
      </c>
      <c r="B52" s="17" t="n">
        <v>2796</v>
      </c>
      <c r="C52" s="18">
        <f>(2431.0/B52*100)</f>
        <v/>
      </c>
      <c r="D52" s="19" t="n">
        <v>365</v>
      </c>
      <c r="E52" s="18" t="n">
        <v>59.56216675</v>
      </c>
      <c r="F52" s="20" t="n">
        <v>2.71684572</v>
      </c>
      <c r="G52" s="18" t="n">
        <v>39.36142988</v>
      </c>
      <c r="H52" s="20" t="n">
        <v>2.6765313</v>
      </c>
      <c r="I52" s="18" t="s">
        <v>431</v>
      </c>
      <c r="J52" s="20" t="s">
        <v>431</v>
      </c>
      <c r="K52" s="18" t="n">
        <v>0.20829304</v>
      </c>
      <c r="L52" s="20" t="n">
        <v>0.19890601</v>
      </c>
      <c r="M52" s="18" t="n">
        <v>0</v>
      </c>
      <c r="N52" s="20" t="n">
        <v>0</v>
      </c>
      <c r="O52" s="18" t="n">
        <v>0</v>
      </c>
      <c r="P52" s="20" t="n">
        <v>0</v>
      </c>
      <c r="Q52" s="18" t="n">
        <v>0.86811033</v>
      </c>
      <c r="R52" s="20" t="n">
        <v>0.49900479</v>
      </c>
    </row>
    <row r="53" spans="1:18">
      <c r="A53" s="15" t="s">
        <v>477</v>
      </c>
      <c r="B53" s="17" t="n">
        <v>2811</v>
      </c>
      <c r="C53" s="18">
        <f>(2486.0/B53*100)</f>
        <v/>
      </c>
      <c r="D53" s="19" t="n">
        <v>325</v>
      </c>
      <c r="E53" s="18" t="n">
        <v>58.03093873</v>
      </c>
      <c r="F53" s="20" t="n">
        <v>2.28096399</v>
      </c>
      <c r="G53" s="18" t="n">
        <v>40.04767442</v>
      </c>
      <c r="H53" s="20" t="n">
        <v>2.17934311</v>
      </c>
      <c r="I53" s="18" t="s">
        <v>431</v>
      </c>
      <c r="J53" s="20" t="s">
        <v>431</v>
      </c>
      <c r="K53" s="18" t="n">
        <v>0.80692135</v>
      </c>
      <c r="L53" s="20" t="n">
        <v>0.48606785</v>
      </c>
      <c r="M53" s="18" t="n">
        <v>0</v>
      </c>
      <c r="N53" s="20" t="n">
        <v>0</v>
      </c>
      <c r="O53" s="18" t="n">
        <v>0</v>
      </c>
      <c r="P53" s="20" t="n">
        <v>0</v>
      </c>
      <c r="Q53" s="18" t="n">
        <v>1.1144655</v>
      </c>
      <c r="R53" s="20" t="n">
        <v>0.56934215</v>
      </c>
    </row>
    <row r="54" spans="1:18">
      <c r="A54" s="15" t="s">
        <v>478</v>
      </c>
      <c r="B54" s="17" t="n">
        <v>2266</v>
      </c>
      <c r="C54" s="18">
        <f>(1883.0/B54*100)</f>
        <v/>
      </c>
      <c r="D54" s="19" t="n">
        <v>383</v>
      </c>
      <c r="E54" s="18" t="n">
        <v>49.35553664</v>
      </c>
      <c r="F54" s="20" t="n">
        <v>3.18996415</v>
      </c>
      <c r="G54" s="18" t="n">
        <v>27.37856339</v>
      </c>
      <c r="H54" s="20" t="n">
        <v>2.61115173</v>
      </c>
      <c r="I54" s="18" t="s">
        <v>431</v>
      </c>
      <c r="J54" s="20" t="s">
        <v>431</v>
      </c>
      <c r="K54" s="18" t="n">
        <v>22.13813932</v>
      </c>
      <c r="L54" s="20" t="n">
        <v>2.32207851</v>
      </c>
      <c r="M54" s="18" t="n">
        <v>0</v>
      </c>
      <c r="N54" s="20" t="n">
        <v>0</v>
      </c>
      <c r="O54" s="18" t="n">
        <v>0</v>
      </c>
      <c r="P54" s="20" t="n">
        <v>0</v>
      </c>
      <c r="Q54" s="18" t="n">
        <v>1.12776065</v>
      </c>
      <c r="R54" s="20" t="n">
        <v>0.66117749</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(2347.0/B56*100)</f>
        <v/>
      </c>
      <c r="D56" s="19" t="n">
        <v>337</v>
      </c>
      <c r="E56" s="18" t="n">
        <v>63.26606968</v>
      </c>
      <c r="F56" s="20" t="n">
        <v>3.0942957</v>
      </c>
      <c r="G56" s="18" t="n">
        <v>35.60502</v>
      </c>
      <c r="H56" s="20" t="n">
        <v>2.99257331</v>
      </c>
      <c r="I56" s="18" t="s">
        <v>431</v>
      </c>
      <c r="J56" s="20" t="s">
        <v>431</v>
      </c>
      <c r="K56" s="18" t="n">
        <v>0.90684021</v>
      </c>
      <c r="L56" s="20" t="n">
        <v>0.54717571</v>
      </c>
      <c r="M56" s="18" t="n">
        <v>0</v>
      </c>
      <c r="N56" s="20" t="n">
        <v>0</v>
      </c>
      <c r="O56" s="18" t="n">
        <v>0</v>
      </c>
      <c r="P56" s="20" t="n">
        <v>0</v>
      </c>
      <c r="Q56" s="18" t="n">
        <v>0.22207012</v>
      </c>
      <c r="R56" s="20" t="n">
        <v>0.22334743</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(2935.0/B61*100)</f>
        <v/>
      </c>
      <c r="D61" s="19" t="n">
        <v>389</v>
      </c>
      <c r="E61" s="18" t="n">
        <v>45.18184411</v>
      </c>
      <c r="F61" s="20" t="n">
        <v>3.17491549</v>
      </c>
      <c r="G61" s="18" t="n">
        <v>53.31280449</v>
      </c>
      <c r="H61" s="20" t="n">
        <v>3.32807274</v>
      </c>
      <c r="I61" s="18" t="s">
        <v>431</v>
      </c>
      <c r="J61" s="20" t="s">
        <v>431</v>
      </c>
      <c r="K61" s="18" t="n">
        <v>1.5053514</v>
      </c>
      <c r="L61" s="20" t="n">
        <v>0.62937911</v>
      </c>
      <c r="M61" s="18" t="n">
        <v>0</v>
      </c>
      <c r="N61" s="20" t="n">
        <v>0</v>
      </c>
      <c r="O61" s="18" t="n">
        <v>0</v>
      </c>
      <c r="P61" s="20" t="n">
        <v>0</v>
      </c>
      <c r="Q61" s="18" t="n">
        <v>0</v>
      </c>
      <c r="R61" s="20" t="n">
        <v>0</v>
      </c>
    </row>
    <row r="62" spans="1:18">
      <c r="A62" s="15" t="s">
        <v>486</v>
      </c>
      <c r="B62" s="17" t="n">
        <v>2246</v>
      </c>
      <c r="C62" s="18">
        <f>(1985.0/B62*100)</f>
        <v/>
      </c>
      <c r="D62" s="19" t="n">
        <v>261</v>
      </c>
      <c r="E62" s="18" t="n">
        <v>65.51323711000001</v>
      </c>
      <c r="F62" s="20" t="n">
        <v>3.27121482</v>
      </c>
      <c r="G62" s="18" t="n">
        <v>34.48676289</v>
      </c>
      <c r="H62" s="20" t="n">
        <v>3.27121482</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(2555.0/B66*100)</f>
        <v/>
      </c>
      <c r="D66" s="19" t="n">
        <v>339</v>
      </c>
      <c r="E66" s="18" t="n">
        <v>52.69525165</v>
      </c>
      <c r="F66" s="20" t="n">
        <v>3.00852737</v>
      </c>
      <c r="G66" s="18" t="n">
        <v>44.2918064</v>
      </c>
      <c r="H66" s="20" t="n">
        <v>2.91172618</v>
      </c>
      <c r="I66" s="18" t="s">
        <v>431</v>
      </c>
      <c r="J66" s="20" t="s">
        <v>431</v>
      </c>
      <c r="K66" s="18" t="n">
        <v>1.7024287</v>
      </c>
      <c r="L66" s="20" t="n">
        <v>0.70393204</v>
      </c>
      <c r="M66" s="18" t="n">
        <v>0</v>
      </c>
      <c r="N66" s="20" t="n">
        <v>0</v>
      </c>
      <c r="O66" s="18" t="n">
        <v>0</v>
      </c>
      <c r="P66" s="20" t="n">
        <v>0</v>
      </c>
      <c r="Q66" s="18" t="n">
        <v>1.31051325</v>
      </c>
      <c r="R66" s="20" t="n">
        <v>0.6491757500000001</v>
      </c>
    </row>
    <row r="67" spans="1:18">
      <c r="A67" s="15" t="s">
        <v>491</v>
      </c>
      <c r="B67" s="17" t="n">
        <v>3511</v>
      </c>
      <c r="C67" s="18">
        <f>(3150.0/B67*100)</f>
        <v/>
      </c>
      <c r="D67" s="19" t="n">
        <v>361</v>
      </c>
      <c r="E67" s="18" t="n">
        <v>73.30905887</v>
      </c>
      <c r="F67" s="20" t="n">
        <v>2.33470954</v>
      </c>
      <c r="G67" s="18" t="n">
        <v>25.97113846</v>
      </c>
      <c r="H67" s="20" t="n">
        <v>2.25057201</v>
      </c>
      <c r="I67" s="18" t="s">
        <v>431</v>
      </c>
      <c r="J67" s="20" t="s">
        <v>431</v>
      </c>
      <c r="K67" s="18" t="n">
        <v>0.46181935</v>
      </c>
      <c r="L67" s="20" t="n">
        <v>0.32006153</v>
      </c>
      <c r="M67" s="18" t="n">
        <v>0</v>
      </c>
      <c r="N67" s="20" t="n">
        <v>0</v>
      </c>
      <c r="O67" s="18" t="n">
        <v>0</v>
      </c>
      <c r="P67" s="20" t="n">
        <v>0</v>
      </c>
      <c r="Q67" s="18" t="n">
        <v>0.25798332</v>
      </c>
      <c r="R67" s="20" t="n">
        <v>0.255721</v>
      </c>
    </row>
    <row r="68" spans="1:18">
      <c r="A68" s="15" t="s">
        <v>492</v>
      </c>
      <c r="B68" s="17" t="n">
        <v>6049</v>
      </c>
      <c r="C68" s="18">
        <f>(5049.0/B68*100)</f>
        <v/>
      </c>
      <c r="D68" s="19" t="n">
        <v>1000</v>
      </c>
      <c r="E68" s="18" t="n">
        <v>58.53328541</v>
      </c>
      <c r="F68" s="20" t="n">
        <v>1.58564404</v>
      </c>
      <c r="G68" s="18" t="n">
        <v>33.98102056</v>
      </c>
      <c r="H68" s="20" t="n">
        <v>1.54191797</v>
      </c>
      <c r="I68" s="18" t="s">
        <v>431</v>
      </c>
      <c r="J68" s="20" t="s">
        <v>431</v>
      </c>
      <c r="K68" s="18" t="n">
        <v>5.81024632</v>
      </c>
      <c r="L68" s="20" t="n">
        <v>0.73366321</v>
      </c>
      <c r="M68" s="18" t="n">
        <v>0</v>
      </c>
      <c r="N68" s="20" t="n">
        <v>0</v>
      </c>
      <c r="O68" s="18" t="n">
        <v>0</v>
      </c>
      <c r="P68" s="20" t="n">
        <v>0</v>
      </c>
      <c r="Q68" s="18" t="n">
        <v>1.67544771</v>
      </c>
      <c r="R68" s="20" t="n">
        <v>0.40352086</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(2578.0/B70*100)</f>
        <v/>
      </c>
      <c r="D70" s="19" t="n">
        <v>351</v>
      </c>
      <c r="E70" s="18" t="n">
        <v>62.89409729</v>
      </c>
      <c r="F70" s="20" t="n">
        <v>2.43845469</v>
      </c>
      <c r="G70" s="18" t="n">
        <v>36.54120487</v>
      </c>
      <c r="H70" s="20" t="n">
        <v>2.44314682</v>
      </c>
      <c r="I70" s="18" t="s">
        <v>431</v>
      </c>
      <c r="J70" s="20" t="s">
        <v>431</v>
      </c>
      <c r="K70" s="18" t="n">
        <v>0.38570703</v>
      </c>
      <c r="L70" s="20" t="n">
        <v>0.25130321</v>
      </c>
      <c r="M70" s="18" t="n">
        <v>0</v>
      </c>
      <c r="N70" s="20" t="n">
        <v>0</v>
      </c>
      <c r="O70" s="18" t="n">
        <v>0</v>
      </c>
      <c r="P70" s="20" t="n">
        <v>0</v>
      </c>
      <c r="Q70" s="18" t="n">
        <v>0.17899082</v>
      </c>
      <c r="R70" s="20" t="n">
        <v>0.179878</v>
      </c>
    </row>
    <row r="71" spans="1:18">
      <c r="A71" s="15" t="s">
        <v>495</v>
      </c>
      <c r="B71" s="17" t="n">
        <v>3142</v>
      </c>
      <c r="C71" s="18">
        <f>(2759.0/B71*100)</f>
        <v/>
      </c>
      <c r="D71" s="19" t="n">
        <v>383</v>
      </c>
      <c r="E71" s="18" t="n">
        <v>51.90783172</v>
      </c>
      <c r="F71" s="20" t="n">
        <v>2.71152938</v>
      </c>
      <c r="G71" s="18" t="n">
        <v>47.59543616</v>
      </c>
      <c r="H71" s="20" t="n">
        <v>2.73239622</v>
      </c>
      <c r="I71" s="18" t="s">
        <v>431</v>
      </c>
      <c r="J71" s="20" t="s">
        <v>431</v>
      </c>
      <c r="K71" s="18" t="n">
        <v>0.23768852</v>
      </c>
      <c r="L71" s="20" t="n">
        <v>0.236413</v>
      </c>
      <c r="M71" s="18" t="n">
        <v>0</v>
      </c>
      <c r="N71" s="20" t="n">
        <v>0</v>
      </c>
      <c r="O71" s="18" t="n">
        <v>0</v>
      </c>
      <c r="P71" s="20" t="n">
        <v>0</v>
      </c>
      <c r="Q71" s="18" t="n">
        <v>0.25904359</v>
      </c>
      <c r="R71" s="20" t="n">
        <v>0.25923112</v>
      </c>
    </row>
    <row r="72" spans="1:18">
      <c r="A72" s="15" t="s">
        <v>496</v>
      </c>
      <c r="B72" s="17" t="n">
        <v>3889</v>
      </c>
      <c r="C72" s="18">
        <f>(3397.0/B72*100)</f>
        <v/>
      </c>
      <c r="D72" s="19" t="n">
        <v>492</v>
      </c>
      <c r="E72" s="18" t="n">
        <v>57.33391653</v>
      </c>
      <c r="F72" s="20" t="n">
        <v>2.49931656</v>
      </c>
      <c r="G72" s="18" t="n">
        <v>42.25694033</v>
      </c>
      <c r="H72" s="20" t="n">
        <v>2.5677515</v>
      </c>
      <c r="I72" s="18" t="s">
        <v>431</v>
      </c>
      <c r="J72" s="20" t="s">
        <v>431</v>
      </c>
      <c r="K72" s="18" t="n">
        <v>0.14090157</v>
      </c>
      <c r="L72" s="20" t="n">
        <v>0.14368853</v>
      </c>
      <c r="M72" s="18" t="n">
        <v>0</v>
      </c>
      <c r="N72" s="20" t="n">
        <v>0</v>
      </c>
      <c r="O72" s="18" t="n">
        <v>0</v>
      </c>
      <c r="P72" s="20" t="n">
        <v>0</v>
      </c>
      <c r="Q72" s="18" t="n">
        <v>0.26824157</v>
      </c>
      <c r="R72" s="20" t="n">
        <v>0.26774077</v>
      </c>
    </row>
    <row r="73" spans="1:18">
      <c r="A73" s="15" t="s">
        <v>497</v>
      </c>
      <c r="B73" s="17" t="n">
        <v>3597</v>
      </c>
      <c r="C73" s="18">
        <f>(3208.0/B73*100)</f>
        <v/>
      </c>
      <c r="D73" s="19" t="n">
        <v>389</v>
      </c>
      <c r="E73" s="18" t="n">
        <v>67.20761147</v>
      </c>
      <c r="F73" s="20" t="n">
        <v>2.65707125</v>
      </c>
      <c r="G73" s="18" t="n">
        <v>32.27902049</v>
      </c>
      <c r="H73" s="20" t="n">
        <v>2.64644434</v>
      </c>
      <c r="I73" s="18" t="s">
        <v>431</v>
      </c>
      <c r="J73" s="20" t="s">
        <v>431</v>
      </c>
      <c r="K73" s="18" t="n">
        <v>0.36839582</v>
      </c>
      <c r="L73" s="20" t="n">
        <v>0.26579551</v>
      </c>
      <c r="M73" s="18" t="n">
        <v>0</v>
      </c>
      <c r="N73" s="20" t="n">
        <v>0</v>
      </c>
      <c r="O73" s="18" t="n">
        <v>0</v>
      </c>
      <c r="P73" s="20" t="n">
        <v>0</v>
      </c>
      <c r="Q73" s="18" t="n">
        <v>0.14497222</v>
      </c>
      <c r="R73" s="20" t="n">
        <v>0.14288292</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(2151.0/B75*100)</f>
        <v/>
      </c>
      <c r="D75" s="19" t="n">
        <v>255</v>
      </c>
      <c r="E75" s="18" t="n">
        <v>63.19982407</v>
      </c>
      <c r="F75" s="20" t="n">
        <v>2.99286643</v>
      </c>
      <c r="G75" s="18" t="n">
        <v>29.9021737</v>
      </c>
      <c r="H75" s="20" t="n">
        <v>2.75267984</v>
      </c>
      <c r="I75" s="18" t="s">
        <v>431</v>
      </c>
      <c r="J75" s="20" t="s">
        <v>431</v>
      </c>
      <c r="K75" s="18" t="n">
        <v>6.18239742</v>
      </c>
      <c r="L75" s="20" t="n">
        <v>1.52178256</v>
      </c>
      <c r="M75" s="18" t="n">
        <v>0</v>
      </c>
      <c r="N75" s="20" t="n">
        <v>0</v>
      </c>
      <c r="O75" s="18" t="n">
        <v>0</v>
      </c>
      <c r="P75" s="20" t="n">
        <v>0</v>
      </c>
      <c r="Q75" s="18" t="n">
        <v>0.71560481</v>
      </c>
      <c r="R75" s="20" t="n">
        <v>0.48002181</v>
      </c>
    </row>
    <row r="76" spans="1:18">
      <c r="A76" s="15" t="s">
        <v>500</v>
      </c>
      <c r="B76" s="17" t="n">
        <v>7052</v>
      </c>
      <c r="C76" s="18">
        <f>(6207.0/B76*100)</f>
        <v/>
      </c>
      <c r="D76" s="19" t="n">
        <v>845</v>
      </c>
      <c r="E76" s="18" t="n">
        <v>63.28310756</v>
      </c>
      <c r="F76" s="20" t="n">
        <v>2.38829468</v>
      </c>
      <c r="G76" s="18" t="n">
        <v>34.23924279</v>
      </c>
      <c r="H76" s="20" t="n">
        <v>2.37929693</v>
      </c>
      <c r="I76" s="18" t="s">
        <v>431</v>
      </c>
      <c r="J76" s="20" t="s">
        <v>431</v>
      </c>
      <c r="K76" s="18" t="n">
        <v>1.58869207</v>
      </c>
      <c r="L76" s="20" t="n">
        <v>0.54375524</v>
      </c>
      <c r="M76" s="18" t="n">
        <v>0</v>
      </c>
      <c r="N76" s="20" t="n">
        <v>0</v>
      </c>
      <c r="O76" s="18" t="n">
        <v>0</v>
      </c>
      <c r="P76" s="20" t="n">
        <v>0</v>
      </c>
      <c r="Q76" s="18" t="n">
        <v>0.88895758</v>
      </c>
      <c r="R76" s="20" t="n">
        <v>0.31416539</v>
      </c>
    </row>
    <row r="77" spans="1:18">
      <c r="A77" s="15" t="s">
        <v>501</v>
      </c>
      <c r="B77" s="17" t="n">
        <v>2908</v>
      </c>
      <c r="C77" s="18">
        <f>(2575.0/B77*100)</f>
        <v/>
      </c>
      <c r="D77" s="19" t="n">
        <v>333</v>
      </c>
      <c r="E77" s="18" t="n">
        <v>67.73074756</v>
      </c>
      <c r="F77" s="20" t="n">
        <v>2.45624348</v>
      </c>
      <c r="G77" s="18" t="n">
        <v>27.94455729</v>
      </c>
      <c r="H77" s="20" t="n">
        <v>2.36668322</v>
      </c>
      <c r="I77" s="18" t="s">
        <v>431</v>
      </c>
      <c r="J77" s="20" t="s">
        <v>431</v>
      </c>
      <c r="K77" s="18" t="n">
        <v>3.75378085</v>
      </c>
      <c r="L77" s="20" t="n">
        <v>1.07287631</v>
      </c>
      <c r="M77" s="18" t="n">
        <v>0</v>
      </c>
      <c r="N77" s="20" t="n">
        <v>0</v>
      </c>
      <c r="O77" s="18" t="n">
        <v>0</v>
      </c>
      <c r="P77" s="20" t="n">
        <v>0</v>
      </c>
      <c r="Q77" s="18" t="n">
        <v>0.5709143</v>
      </c>
      <c r="R77" s="20" t="n">
        <v>0.36814297</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(3635.0/B81*100)</f>
        <v/>
      </c>
      <c r="D81" s="19" t="n">
        <v>528</v>
      </c>
      <c r="E81" s="18" t="n">
        <v>74.53626824</v>
      </c>
      <c r="F81" s="20" t="n">
        <v>2.39972578</v>
      </c>
      <c r="G81" s="18" t="n">
        <v>25.25186444</v>
      </c>
      <c r="H81" s="20" t="n">
        <v>2.38179641</v>
      </c>
      <c r="I81" s="18" t="s">
        <v>431</v>
      </c>
      <c r="J81" s="20" t="s">
        <v>431</v>
      </c>
      <c r="K81" s="18" t="n">
        <v>0.19762361</v>
      </c>
      <c r="L81" s="20" t="n">
        <v>0.17891627</v>
      </c>
      <c r="M81" s="18" t="n">
        <v>0</v>
      </c>
      <c r="N81" s="20" t="n">
        <v>0</v>
      </c>
      <c r="O81" s="18" t="n">
        <v>0</v>
      </c>
      <c r="P81" s="20" t="n">
        <v>0</v>
      </c>
      <c r="Q81" s="18" t="n">
        <v>0.01424371</v>
      </c>
      <c r="R81" s="20" t="n">
        <v>0.01407068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(6486.0/B7*100)</f>
        <v/>
      </c>
      <c r="D7" s="19" t="n">
        <v>881</v>
      </c>
      <c r="E7" s="18" t="n">
        <v>69.3030849</v>
      </c>
      <c r="F7" s="20" t="n">
        <v>1.74248804</v>
      </c>
      <c r="G7" s="18" t="n">
        <v>12.723486</v>
      </c>
      <c r="H7" s="20" t="n">
        <v>1.38900969</v>
      </c>
      <c r="I7" s="18" t="s">
        <v>431</v>
      </c>
      <c r="J7" s="20" t="s">
        <v>431</v>
      </c>
      <c r="K7" s="18" t="n">
        <v>2.50641269</v>
      </c>
      <c r="L7" s="20" t="n">
        <v>0.61197189</v>
      </c>
      <c r="M7" s="18" t="n">
        <v>0.01511257</v>
      </c>
      <c r="N7" s="20" t="n">
        <v>0.01553077</v>
      </c>
      <c r="O7" s="18" t="n">
        <v>0</v>
      </c>
      <c r="P7" s="20" t="n">
        <v>0</v>
      </c>
      <c r="Q7" s="18" t="n">
        <v>15.45190385</v>
      </c>
      <c r="R7" s="20" t="n">
        <v>1.45567944</v>
      </c>
    </row>
    <row r="8" spans="1:18">
      <c r="A8" s="15" t="s">
        <v>432</v>
      </c>
      <c r="B8" s="17" t="n">
        <v>3564</v>
      </c>
      <c r="C8" s="18">
        <f>(3151.0/B8*100)</f>
        <v/>
      </c>
      <c r="D8" s="19" t="n">
        <v>413</v>
      </c>
      <c r="E8" s="18" t="n">
        <v>62.87745181</v>
      </c>
      <c r="F8" s="20" t="n">
        <v>2.25620362</v>
      </c>
      <c r="G8" s="18" t="n">
        <v>13.11865011</v>
      </c>
      <c r="H8" s="20" t="n">
        <v>1.79477859</v>
      </c>
      <c r="I8" s="18" t="s">
        <v>431</v>
      </c>
      <c r="J8" s="20" t="s">
        <v>431</v>
      </c>
      <c r="K8" s="18" t="n">
        <v>1.4368541</v>
      </c>
      <c r="L8" s="20" t="n">
        <v>0.65606156</v>
      </c>
      <c r="M8" s="18" t="n">
        <v>0</v>
      </c>
      <c r="N8" s="20" t="n">
        <v>0</v>
      </c>
      <c r="O8" s="18" t="n">
        <v>0</v>
      </c>
      <c r="P8" s="20" t="n">
        <v>0</v>
      </c>
      <c r="Q8" s="18" t="n">
        <v>22.56704398</v>
      </c>
      <c r="R8" s="20" t="n">
        <v>1.87422392</v>
      </c>
    </row>
    <row r="9" spans="1:18">
      <c r="A9" s="15" t="s">
        <v>433</v>
      </c>
      <c r="B9" s="17" t="n">
        <v>4899</v>
      </c>
      <c r="C9" s="18">
        <f>(4342.0/B9*100)</f>
        <v/>
      </c>
      <c r="D9" s="19" t="n">
        <v>557</v>
      </c>
      <c r="E9" s="18" t="n">
        <v>62.53075997</v>
      </c>
      <c r="F9" s="20" t="n">
        <v>1.99072359</v>
      </c>
      <c r="G9" s="18" t="n">
        <v>16.50893606</v>
      </c>
      <c r="H9" s="20" t="n">
        <v>1.37389241</v>
      </c>
      <c r="I9" s="18" t="s">
        <v>431</v>
      </c>
      <c r="J9" s="20" t="s">
        <v>431</v>
      </c>
      <c r="K9" s="18" t="n">
        <v>1.99879613</v>
      </c>
      <c r="L9" s="20" t="n">
        <v>0.66754696</v>
      </c>
      <c r="M9" s="18" t="n">
        <v>0</v>
      </c>
      <c r="N9" s="20" t="n">
        <v>0</v>
      </c>
      <c r="O9" s="18" t="n">
        <v>0</v>
      </c>
      <c r="P9" s="20" t="n">
        <v>0</v>
      </c>
      <c r="Q9" s="18" t="n">
        <v>18.96150784</v>
      </c>
      <c r="R9" s="20" t="n">
        <v>1.84187527</v>
      </c>
    </row>
    <row r="10" spans="1:18">
      <c r="A10" s="15" t="s">
        <v>434</v>
      </c>
      <c r="B10" s="17" t="n">
        <v>10036</v>
      </c>
      <c r="C10" s="18">
        <f>(8795.0/B10*100)</f>
        <v/>
      </c>
      <c r="D10" s="19" t="n">
        <v>1241</v>
      </c>
      <c r="E10" s="18" t="n">
        <v>73.35018101999999</v>
      </c>
      <c r="F10" s="20" t="n">
        <v>1.53664725</v>
      </c>
      <c r="G10" s="18" t="n">
        <v>15.54412635</v>
      </c>
      <c r="H10" s="20" t="n">
        <v>1.217661</v>
      </c>
      <c r="I10" s="18" t="s">
        <v>431</v>
      </c>
      <c r="J10" s="20" t="s">
        <v>431</v>
      </c>
      <c r="K10" s="18" t="n">
        <v>1.44071541</v>
      </c>
      <c r="L10" s="20" t="n">
        <v>0.4766724</v>
      </c>
      <c r="M10" s="18" t="n">
        <v>0</v>
      </c>
      <c r="N10" s="20" t="n">
        <v>0</v>
      </c>
      <c r="O10" s="18" t="n">
        <v>0</v>
      </c>
      <c r="P10" s="20" t="n">
        <v>0</v>
      </c>
      <c r="Q10" s="18" t="n">
        <v>9.66497721</v>
      </c>
      <c r="R10" s="20" t="n">
        <v>1.04009337</v>
      </c>
    </row>
    <row r="11" spans="1:18">
      <c r="A11" s="15" t="s">
        <v>435</v>
      </c>
      <c r="B11" s="17" t="n">
        <v>3553</v>
      </c>
      <c r="C11" s="18">
        <f>(3145.0/B11*100)</f>
        <v/>
      </c>
      <c r="D11" s="19" t="n">
        <v>408</v>
      </c>
      <c r="E11" s="18" t="n">
        <v>65.45783249</v>
      </c>
      <c r="F11" s="20" t="n">
        <v>2.90490723</v>
      </c>
      <c r="G11" s="18" t="n">
        <v>9.73081831</v>
      </c>
      <c r="H11" s="20" t="n">
        <v>1.53223253</v>
      </c>
      <c r="I11" s="18" t="s">
        <v>431</v>
      </c>
      <c r="J11" s="20" t="s">
        <v>431</v>
      </c>
      <c r="K11" s="18" t="n">
        <v>4.46266712</v>
      </c>
      <c r="L11" s="20" t="n">
        <v>1.19630868</v>
      </c>
      <c r="M11" s="18" t="n">
        <v>0</v>
      </c>
      <c r="N11" s="20" t="n">
        <v>0</v>
      </c>
      <c r="O11" s="18" t="n">
        <v>0</v>
      </c>
      <c r="P11" s="20" t="n">
        <v>0</v>
      </c>
      <c r="Q11" s="18" t="n">
        <v>20.34868208</v>
      </c>
      <c r="R11" s="20" t="n">
        <v>2.63508355</v>
      </c>
    </row>
    <row r="12" spans="1:18">
      <c r="A12" s="15" t="s">
        <v>436</v>
      </c>
      <c r="B12" s="17" t="n">
        <v>3472</v>
      </c>
      <c r="C12" s="18">
        <f>(3067.0/B12*100)</f>
        <v/>
      </c>
      <c r="D12" s="19" t="n">
        <v>405</v>
      </c>
      <c r="E12" s="18" t="n">
        <v>57.95846858</v>
      </c>
      <c r="F12" s="20" t="n">
        <v>2.86264815</v>
      </c>
      <c r="G12" s="18" t="n">
        <v>14.95811795</v>
      </c>
      <c r="H12" s="20" t="n">
        <v>1.85083019</v>
      </c>
      <c r="I12" s="18" t="s">
        <v>431</v>
      </c>
      <c r="J12" s="20" t="s">
        <v>431</v>
      </c>
      <c r="K12" s="18" t="n">
        <v>1.19001249</v>
      </c>
      <c r="L12" s="20" t="n">
        <v>0.83142291</v>
      </c>
      <c r="M12" s="18" t="n">
        <v>0</v>
      </c>
      <c r="N12" s="20" t="n">
        <v>0</v>
      </c>
      <c r="O12" s="18" t="n">
        <v>0</v>
      </c>
      <c r="P12" s="20" t="n">
        <v>0</v>
      </c>
      <c r="Q12" s="18" t="n">
        <v>25.89340097</v>
      </c>
      <c r="R12" s="20" t="n">
        <v>2.50663866</v>
      </c>
    </row>
    <row r="13" spans="1:18">
      <c r="A13" s="15" t="s">
        <v>437</v>
      </c>
      <c r="B13" s="17" t="n">
        <v>3559</v>
      </c>
      <c r="C13" s="18">
        <f>(3157.0/B13*100)</f>
        <v/>
      </c>
      <c r="D13" s="19" t="n">
        <v>402</v>
      </c>
      <c r="E13" s="18" t="n">
        <v>77.51386179000001</v>
      </c>
      <c r="F13" s="20" t="n">
        <v>2.50789956</v>
      </c>
      <c r="G13" s="18" t="n">
        <v>11.67853998</v>
      </c>
      <c r="H13" s="20" t="n">
        <v>1.93539245</v>
      </c>
      <c r="I13" s="18" t="s">
        <v>431</v>
      </c>
      <c r="J13" s="20" t="s">
        <v>431</v>
      </c>
      <c r="K13" s="18" t="n">
        <v>0.81014513</v>
      </c>
      <c r="L13" s="20" t="n">
        <v>0.56646231</v>
      </c>
      <c r="M13" s="18" t="n">
        <v>0</v>
      </c>
      <c r="N13" s="20" t="n">
        <v>0</v>
      </c>
      <c r="O13" s="18" t="n">
        <v>0</v>
      </c>
      <c r="P13" s="20" t="n">
        <v>0</v>
      </c>
      <c r="Q13" s="18" t="n">
        <v>9.9974531</v>
      </c>
      <c r="R13" s="20" t="n">
        <v>1.53499125</v>
      </c>
    </row>
    <row r="14" spans="1:18">
      <c r="A14" s="15" t="s">
        <v>438</v>
      </c>
      <c r="B14" s="17" t="n">
        <v>2799</v>
      </c>
      <c r="C14" s="18">
        <f>(2457.0/B14*100)</f>
        <v/>
      </c>
      <c r="D14" s="19" t="n">
        <v>342</v>
      </c>
      <c r="E14" s="18" t="n">
        <v>72.40870569000001</v>
      </c>
      <c r="F14" s="20" t="n">
        <v>2.57572427</v>
      </c>
      <c r="G14" s="18" t="n">
        <v>16.0565373</v>
      </c>
      <c r="H14" s="20" t="n">
        <v>2.22441707</v>
      </c>
      <c r="I14" s="18" t="s">
        <v>431</v>
      </c>
      <c r="J14" s="20" t="s">
        <v>431</v>
      </c>
      <c r="K14" s="18" t="n">
        <v>0.3181747</v>
      </c>
      <c r="L14" s="20" t="n">
        <v>0.31847711</v>
      </c>
      <c r="M14" s="18" t="n">
        <v>0</v>
      </c>
      <c r="N14" s="20" t="n">
        <v>0</v>
      </c>
      <c r="O14" s="18" t="n">
        <v>0</v>
      </c>
      <c r="P14" s="20" t="n">
        <v>0</v>
      </c>
      <c r="Q14" s="18" t="n">
        <v>11.2165823</v>
      </c>
      <c r="R14" s="20" t="n">
        <v>1.68777122</v>
      </c>
    </row>
    <row r="15" spans="1:18">
      <c r="A15" s="15" t="s">
        <v>439</v>
      </c>
      <c r="B15" s="17" t="n">
        <v>3019</v>
      </c>
      <c r="C15" s="18">
        <f>(2654.0/B15*100)</f>
        <v/>
      </c>
      <c r="D15" s="19" t="n">
        <v>365</v>
      </c>
      <c r="E15" s="18" t="n">
        <v>69.62856342000001</v>
      </c>
      <c r="F15" s="20" t="n">
        <v>2.58792803</v>
      </c>
      <c r="G15" s="18" t="n">
        <v>10.1304254</v>
      </c>
      <c r="H15" s="20" t="n">
        <v>1.5489663</v>
      </c>
      <c r="I15" s="18" t="s">
        <v>431</v>
      </c>
      <c r="J15" s="20" t="s">
        <v>431</v>
      </c>
      <c r="K15" s="18" t="n">
        <v>0.33922285</v>
      </c>
      <c r="L15" s="20" t="n">
        <v>0.35712848</v>
      </c>
      <c r="M15" s="18" t="n">
        <v>0</v>
      </c>
      <c r="N15" s="20" t="n">
        <v>0</v>
      </c>
      <c r="O15" s="18" t="n">
        <v>0</v>
      </c>
      <c r="P15" s="20" t="n">
        <v>0</v>
      </c>
      <c r="Q15" s="18" t="n">
        <v>19.90178834</v>
      </c>
      <c r="R15" s="20" t="n">
        <v>2.0386263</v>
      </c>
    </row>
    <row r="16" spans="1:18">
      <c r="A16" s="15" t="s">
        <v>440</v>
      </c>
      <c r="B16" s="17" t="n">
        <v>2997</v>
      </c>
      <c r="C16" s="18">
        <f>(2649.0/B16*100)</f>
        <v/>
      </c>
      <c r="D16" s="19" t="n">
        <v>348</v>
      </c>
      <c r="E16" s="18" t="n">
        <v>54.73345657</v>
      </c>
      <c r="F16" s="20" t="n">
        <v>2.903023</v>
      </c>
      <c r="G16" s="18" t="n">
        <v>14.38977433</v>
      </c>
      <c r="H16" s="20" t="n">
        <v>1.92992602</v>
      </c>
      <c r="I16" s="18" t="s">
        <v>431</v>
      </c>
      <c r="J16" s="20" t="s">
        <v>431</v>
      </c>
      <c r="K16" s="18" t="n">
        <v>1.72740982</v>
      </c>
      <c r="L16" s="20" t="n">
        <v>0.70885875</v>
      </c>
      <c r="M16" s="18" t="n">
        <v>0</v>
      </c>
      <c r="N16" s="20" t="n">
        <v>0</v>
      </c>
      <c r="O16" s="18" t="n">
        <v>0</v>
      </c>
      <c r="P16" s="20" t="n">
        <v>0</v>
      </c>
      <c r="Q16" s="18" t="n">
        <v>29.14935927</v>
      </c>
      <c r="R16" s="20" t="n">
        <v>2.69734001</v>
      </c>
    </row>
    <row r="17" spans="1:18">
      <c r="A17" s="15" t="s">
        <v>441</v>
      </c>
      <c r="B17" s="17" t="n">
        <v>3307</v>
      </c>
      <c r="C17" s="18">
        <f>(2926.0/B17*100)</f>
        <v/>
      </c>
      <c r="D17" s="19" t="n">
        <v>381</v>
      </c>
      <c r="E17" s="18" t="n">
        <v>63.65090749</v>
      </c>
      <c r="F17" s="20" t="n">
        <v>2.00607338</v>
      </c>
      <c r="G17" s="18" t="n">
        <v>9.92423846</v>
      </c>
      <c r="H17" s="20" t="n">
        <v>1.40454732</v>
      </c>
      <c r="I17" s="18" t="s">
        <v>431</v>
      </c>
      <c r="J17" s="20" t="s">
        <v>431</v>
      </c>
      <c r="K17" s="18" t="n">
        <v>2.7790554</v>
      </c>
      <c r="L17" s="20" t="n">
        <v>0.82416705</v>
      </c>
      <c r="M17" s="18" t="n">
        <v>0</v>
      </c>
      <c r="N17" s="20" t="n">
        <v>0</v>
      </c>
      <c r="O17" s="18" t="n">
        <v>0</v>
      </c>
      <c r="P17" s="20" t="n">
        <v>0</v>
      </c>
      <c r="Q17" s="18" t="n">
        <v>23.64579865</v>
      </c>
      <c r="R17" s="20" t="n">
        <v>2.31850911</v>
      </c>
    </row>
    <row r="18" spans="1:18">
      <c r="A18" s="15" t="s">
        <v>442</v>
      </c>
      <c r="B18" s="17" t="n">
        <v>2826</v>
      </c>
      <c r="C18" s="18">
        <f>(2492.0/B18*100)</f>
        <v/>
      </c>
      <c r="D18" s="19" t="n">
        <v>334</v>
      </c>
      <c r="E18" s="18" t="n">
        <v>65.19731136</v>
      </c>
      <c r="F18" s="20" t="n">
        <v>2.77293927</v>
      </c>
      <c r="G18" s="18" t="n">
        <v>7.49498851</v>
      </c>
      <c r="H18" s="20" t="n">
        <v>1.39256268</v>
      </c>
      <c r="I18" s="18" t="s">
        <v>431</v>
      </c>
      <c r="J18" s="20" t="s">
        <v>431</v>
      </c>
      <c r="K18" s="18" t="n">
        <v>2.48045757</v>
      </c>
      <c r="L18" s="20" t="n">
        <v>0.98485011</v>
      </c>
      <c r="M18" s="18" t="n">
        <v>0</v>
      </c>
      <c r="N18" s="20" t="n">
        <v>0</v>
      </c>
      <c r="O18" s="18" t="n">
        <v>0</v>
      </c>
      <c r="P18" s="20" t="n">
        <v>0</v>
      </c>
      <c r="Q18" s="18" t="n">
        <v>24.82724256</v>
      </c>
      <c r="R18" s="20" t="n">
        <v>2.64263323</v>
      </c>
    </row>
    <row r="19" spans="1:18">
      <c r="A19" s="15" t="s">
        <v>443</v>
      </c>
      <c r="B19" s="17" t="n">
        <v>2808</v>
      </c>
      <c r="C19" s="18">
        <f>(2482.0/B19*100)</f>
        <v/>
      </c>
      <c r="D19" s="19" t="n">
        <v>326</v>
      </c>
      <c r="E19" s="18" t="n">
        <v>50.47315455</v>
      </c>
      <c r="F19" s="20" t="n">
        <v>2.74581552</v>
      </c>
      <c r="G19" s="18" t="n">
        <v>20.32786245</v>
      </c>
      <c r="H19" s="20" t="n">
        <v>2.37019301</v>
      </c>
      <c r="I19" s="18" t="s">
        <v>431</v>
      </c>
      <c r="J19" s="20" t="s">
        <v>431</v>
      </c>
      <c r="K19" s="18" t="n">
        <v>1.99885914</v>
      </c>
      <c r="L19" s="20" t="n">
        <v>0.80561107</v>
      </c>
      <c r="M19" s="18" t="n">
        <v>0</v>
      </c>
      <c r="N19" s="20" t="n">
        <v>0</v>
      </c>
      <c r="O19" s="18" t="n">
        <v>0</v>
      </c>
      <c r="P19" s="20" t="n">
        <v>0</v>
      </c>
      <c r="Q19" s="18" t="n">
        <v>27.20012386</v>
      </c>
      <c r="R19" s="20" t="n">
        <v>2.30478982</v>
      </c>
    </row>
    <row r="20" spans="1:18">
      <c r="A20" s="15" t="s">
        <v>444</v>
      </c>
      <c r="B20" s="17" t="n">
        <v>1630</v>
      </c>
      <c r="C20" s="18">
        <f>(1446.0/B20*100)</f>
        <v/>
      </c>
      <c r="D20" s="19" t="n">
        <v>184</v>
      </c>
      <c r="E20" s="18" t="n">
        <v>67.5313165</v>
      </c>
      <c r="F20" s="20" t="n">
        <v>3.04721272</v>
      </c>
      <c r="G20" s="18" t="n">
        <v>13.11624818</v>
      </c>
      <c r="H20" s="20" t="n">
        <v>2.62637491</v>
      </c>
      <c r="I20" s="18" t="s">
        <v>431</v>
      </c>
      <c r="J20" s="20" t="s">
        <v>431</v>
      </c>
      <c r="K20" s="18" t="n">
        <v>2.07775924</v>
      </c>
      <c r="L20" s="20" t="n">
        <v>1.01420858</v>
      </c>
      <c r="M20" s="18" t="n">
        <v>0</v>
      </c>
      <c r="N20" s="20" t="n">
        <v>0</v>
      </c>
      <c r="O20" s="18" t="n">
        <v>0</v>
      </c>
      <c r="P20" s="20" t="n">
        <v>0</v>
      </c>
      <c r="Q20" s="18" t="n">
        <v>17.27467608</v>
      </c>
      <c r="R20" s="20" t="n">
        <v>2.39204996</v>
      </c>
    </row>
    <row r="21" spans="1:18">
      <c r="A21" s="15" t="s">
        <v>445</v>
      </c>
      <c r="B21" s="17" t="n">
        <v>2908</v>
      </c>
      <c r="C21" s="18">
        <f>(2438.0/B21*100)</f>
        <v/>
      </c>
      <c r="D21" s="19" t="n">
        <v>470</v>
      </c>
      <c r="E21" s="18" t="n">
        <v>72.35437052</v>
      </c>
      <c r="F21" s="20" t="n">
        <v>1.86334803</v>
      </c>
      <c r="G21" s="18" t="n">
        <v>12.47335793</v>
      </c>
      <c r="H21" s="20" t="n">
        <v>1.54159939</v>
      </c>
      <c r="I21" s="18" t="s">
        <v>431</v>
      </c>
      <c r="J21" s="20" t="s">
        <v>431</v>
      </c>
      <c r="K21" s="18" t="n">
        <v>1.84377701</v>
      </c>
      <c r="L21" s="20" t="n">
        <v>0.60947552</v>
      </c>
      <c r="M21" s="18" t="n">
        <v>0</v>
      </c>
      <c r="N21" s="20" t="n">
        <v>0</v>
      </c>
      <c r="O21" s="18" t="n">
        <v>0</v>
      </c>
      <c r="P21" s="20" t="n">
        <v>0</v>
      </c>
      <c r="Q21" s="18" t="n">
        <v>13.32849454</v>
      </c>
      <c r="R21" s="20" t="n">
        <v>1.64103746</v>
      </c>
    </row>
    <row r="22" spans="1:18">
      <c r="A22" s="15" t="s">
        <v>446</v>
      </c>
      <c r="B22" s="17" t="n">
        <v>2931</v>
      </c>
      <c r="C22" s="18">
        <f>(2609.0/B22*100)</f>
        <v/>
      </c>
      <c r="D22" s="19" t="n">
        <v>322</v>
      </c>
      <c r="E22" s="18" t="n">
        <v>57.04148515</v>
      </c>
      <c r="F22" s="20" t="n">
        <v>2.92341975</v>
      </c>
      <c r="G22" s="18" t="n">
        <v>25.32078664</v>
      </c>
      <c r="H22" s="20" t="n">
        <v>2.57344316</v>
      </c>
      <c r="I22" s="18" t="s">
        <v>431</v>
      </c>
      <c r="J22" s="20" t="s">
        <v>431</v>
      </c>
      <c r="K22" s="18" t="n">
        <v>1.58169386</v>
      </c>
      <c r="L22" s="20" t="n">
        <v>0.77124533</v>
      </c>
      <c r="M22" s="18" t="n">
        <v>0</v>
      </c>
      <c r="N22" s="20" t="n">
        <v>0</v>
      </c>
      <c r="O22" s="18" t="n">
        <v>0</v>
      </c>
      <c r="P22" s="20" t="n">
        <v>0</v>
      </c>
      <c r="Q22" s="18" t="n">
        <v>16.05603435</v>
      </c>
      <c r="R22" s="20" t="n">
        <v>2.27438652</v>
      </c>
    </row>
    <row r="23" spans="1:18">
      <c r="A23" s="15" t="s">
        <v>447</v>
      </c>
      <c r="B23" s="17" t="n">
        <v>5791</v>
      </c>
      <c r="C23" s="18">
        <f>(5063.0/B23*100)</f>
        <v/>
      </c>
      <c r="D23" s="19" t="n">
        <v>728</v>
      </c>
      <c r="E23" s="18" t="n">
        <v>57.60469275</v>
      </c>
      <c r="F23" s="20" t="n">
        <v>3.0139295</v>
      </c>
      <c r="G23" s="18" t="n">
        <v>12.83819176</v>
      </c>
      <c r="H23" s="20" t="n">
        <v>2.15511584</v>
      </c>
      <c r="I23" s="18" t="s">
        <v>431</v>
      </c>
      <c r="J23" s="20" t="s">
        <v>431</v>
      </c>
      <c r="K23" s="18" t="n">
        <v>1.30329215</v>
      </c>
      <c r="L23" s="20" t="n">
        <v>0.48794045</v>
      </c>
      <c r="M23" s="18" t="n">
        <v>0.2066018</v>
      </c>
      <c r="N23" s="20" t="n">
        <v>0.23885274</v>
      </c>
      <c r="O23" s="18" t="n">
        <v>0</v>
      </c>
      <c r="P23" s="20" t="n">
        <v>0</v>
      </c>
      <c r="Q23" s="18" t="n">
        <v>28.04722153</v>
      </c>
      <c r="R23" s="20" t="n">
        <v>2.43093774</v>
      </c>
    </row>
    <row r="24" spans="1:18">
      <c r="A24" s="15" t="s">
        <v>448</v>
      </c>
      <c r="B24" s="17" t="n">
        <v>3338</v>
      </c>
      <c r="C24" s="18">
        <f>(2961.0/B24*100)</f>
        <v/>
      </c>
      <c r="D24" s="19" t="n">
        <v>377</v>
      </c>
      <c r="E24" s="18" t="n">
        <v>45.05847336</v>
      </c>
      <c r="F24" s="20" t="n">
        <v>2.88886308</v>
      </c>
      <c r="G24" s="18" t="n">
        <v>25.49830059</v>
      </c>
      <c r="H24" s="20" t="n">
        <v>2.36161061</v>
      </c>
      <c r="I24" s="18" t="s">
        <v>431</v>
      </c>
      <c r="J24" s="20" t="s">
        <v>431</v>
      </c>
      <c r="K24" s="18" t="n">
        <v>2.23430343</v>
      </c>
      <c r="L24" s="20" t="n">
        <v>0.72192816</v>
      </c>
      <c r="M24" s="18" t="n">
        <v>0</v>
      </c>
      <c r="N24" s="20" t="n">
        <v>0</v>
      </c>
      <c r="O24" s="18" t="n">
        <v>0</v>
      </c>
      <c r="P24" s="20" t="n">
        <v>0</v>
      </c>
      <c r="Q24" s="18" t="n">
        <v>27.20892262</v>
      </c>
      <c r="R24" s="20" t="n">
        <v>2.61223354</v>
      </c>
    </row>
    <row r="25" spans="1:18">
      <c r="A25" s="15" t="s">
        <v>449</v>
      </c>
      <c r="B25" s="17" t="n">
        <v>2912</v>
      </c>
      <c r="C25" s="18">
        <f>(2568.0/B25*100)</f>
        <v/>
      </c>
      <c r="D25" s="19" t="n">
        <v>344</v>
      </c>
      <c r="E25" s="18" t="n">
        <v>62.72715763</v>
      </c>
      <c r="F25" s="20" t="n">
        <v>2.5581164</v>
      </c>
      <c r="G25" s="18" t="n">
        <v>14.32700653</v>
      </c>
      <c r="H25" s="20" t="n">
        <v>1.75258709</v>
      </c>
      <c r="I25" s="18" t="s">
        <v>431</v>
      </c>
      <c r="J25" s="20" t="s">
        <v>431</v>
      </c>
      <c r="K25" s="18" t="n">
        <v>0.84546877</v>
      </c>
      <c r="L25" s="20" t="n">
        <v>0.49310992</v>
      </c>
      <c r="M25" s="18" t="n">
        <v>0</v>
      </c>
      <c r="N25" s="20" t="n">
        <v>0</v>
      </c>
      <c r="O25" s="18" t="n">
        <v>0</v>
      </c>
      <c r="P25" s="20" t="n">
        <v>0</v>
      </c>
      <c r="Q25" s="18" t="n">
        <v>22.10036707</v>
      </c>
      <c r="R25" s="20" t="n">
        <v>2.30827393</v>
      </c>
    </row>
    <row r="26" spans="1:18">
      <c r="A26" s="15" t="s">
        <v>450</v>
      </c>
      <c r="B26" s="17" t="n">
        <v>2450</v>
      </c>
      <c r="C26" s="18">
        <f>(2143.0/B26*100)</f>
        <v/>
      </c>
      <c r="D26" s="19" t="n">
        <v>307</v>
      </c>
      <c r="E26" s="18" t="n">
        <v>70.3920026</v>
      </c>
      <c r="F26" s="20" t="n">
        <v>2.62650112</v>
      </c>
      <c r="G26" s="18" t="n">
        <v>13.30046947</v>
      </c>
      <c r="H26" s="20" t="n">
        <v>2.16710036</v>
      </c>
      <c r="I26" s="18" t="s">
        <v>431</v>
      </c>
      <c r="J26" s="20" t="s">
        <v>431</v>
      </c>
      <c r="K26" s="18" t="n">
        <v>0.68091978</v>
      </c>
      <c r="L26" s="20" t="n">
        <v>0.48036512</v>
      </c>
      <c r="M26" s="18" t="n">
        <v>0.64699945</v>
      </c>
      <c r="N26" s="20" t="n">
        <v>0.65480271</v>
      </c>
      <c r="O26" s="18" t="n">
        <v>0</v>
      </c>
      <c r="P26" s="20" t="n">
        <v>0</v>
      </c>
      <c r="Q26" s="18" t="n">
        <v>14.9796087</v>
      </c>
      <c r="R26" s="20" t="n">
        <v>2.11437974</v>
      </c>
    </row>
    <row r="27" spans="1:18">
      <c r="A27" s="15" t="s">
        <v>451</v>
      </c>
      <c r="B27" s="17" t="n">
        <v>2616</v>
      </c>
      <c r="C27" s="18">
        <f>(2311.0/B27*100)</f>
        <v/>
      </c>
      <c r="D27" s="19" t="n">
        <v>305</v>
      </c>
      <c r="E27" s="18" t="n">
        <v>62.70064577</v>
      </c>
      <c r="F27" s="20" t="n">
        <v>3.00826022</v>
      </c>
      <c r="G27" s="18" t="n">
        <v>11.00360099</v>
      </c>
      <c r="H27" s="20" t="n">
        <v>1.74170081</v>
      </c>
      <c r="I27" s="18" t="s">
        <v>431</v>
      </c>
      <c r="J27" s="20" t="s">
        <v>431</v>
      </c>
      <c r="K27" s="18" t="n">
        <v>2.37593871</v>
      </c>
      <c r="L27" s="20" t="n">
        <v>0.88853824</v>
      </c>
      <c r="M27" s="18" t="n">
        <v>0</v>
      </c>
      <c r="N27" s="20" t="n">
        <v>0</v>
      </c>
      <c r="O27" s="18" t="n">
        <v>0</v>
      </c>
      <c r="P27" s="20" t="n">
        <v>0</v>
      </c>
      <c r="Q27" s="18" t="n">
        <v>23.91981454</v>
      </c>
      <c r="R27" s="20" t="n">
        <v>2.44299755</v>
      </c>
    </row>
    <row r="28" spans="1:18">
      <c r="A28" s="15" t="s">
        <v>452</v>
      </c>
      <c r="B28" s="17" t="n">
        <v>3765</v>
      </c>
      <c r="C28" s="18">
        <f>(3337.0/B28*100)</f>
        <v/>
      </c>
      <c r="D28" s="19" t="n">
        <v>428</v>
      </c>
      <c r="E28" s="18" t="n">
        <v>81.15696134</v>
      </c>
      <c r="F28" s="20" t="n">
        <v>2.10036496</v>
      </c>
      <c r="G28" s="18" t="n">
        <v>8.51971256</v>
      </c>
      <c r="H28" s="20" t="n">
        <v>1.58935087</v>
      </c>
      <c r="I28" s="18" t="s">
        <v>431</v>
      </c>
      <c r="J28" s="20" t="s">
        <v>431</v>
      </c>
      <c r="K28" s="18" t="n">
        <v>2.30440627</v>
      </c>
      <c r="L28" s="20" t="n">
        <v>0.81346866</v>
      </c>
      <c r="M28" s="18" t="n">
        <v>0</v>
      </c>
      <c r="N28" s="20" t="n">
        <v>0</v>
      </c>
      <c r="O28" s="18" t="n">
        <v>0</v>
      </c>
      <c r="P28" s="20" t="n">
        <v>0</v>
      </c>
      <c r="Q28" s="18" t="n">
        <v>8.01891983</v>
      </c>
      <c r="R28" s="20" t="n">
        <v>1.54049666</v>
      </c>
    </row>
    <row r="29" spans="1:18">
      <c r="A29" s="15" t="s">
        <v>453</v>
      </c>
      <c r="B29" s="17" t="n">
        <v>2685</v>
      </c>
      <c r="C29" s="18">
        <f>(2346.0/B29*100)</f>
        <v/>
      </c>
      <c r="D29" s="19" t="n">
        <v>339</v>
      </c>
      <c r="E29" s="18" t="n">
        <v>82.74644309</v>
      </c>
      <c r="F29" s="20" t="n">
        <v>2.10881675</v>
      </c>
      <c r="G29" s="18" t="n">
        <v>9.36611559</v>
      </c>
      <c r="H29" s="20" t="n">
        <v>1.61332145</v>
      </c>
      <c r="I29" s="18" t="s">
        <v>431</v>
      </c>
      <c r="J29" s="20" t="s">
        <v>431</v>
      </c>
      <c r="K29" s="18" t="n">
        <v>0.57199981</v>
      </c>
      <c r="L29" s="20" t="n">
        <v>0.50952615</v>
      </c>
      <c r="M29" s="18" t="n">
        <v>0</v>
      </c>
      <c r="N29" s="20" t="n">
        <v>0</v>
      </c>
      <c r="O29" s="18" t="n">
        <v>0</v>
      </c>
      <c r="P29" s="20" t="n">
        <v>0</v>
      </c>
      <c r="Q29" s="18" t="n">
        <v>7.31544151</v>
      </c>
      <c r="R29" s="20" t="n">
        <v>1.36370501</v>
      </c>
    </row>
    <row r="30" spans="1:18">
      <c r="A30" s="15" t="s">
        <v>454</v>
      </c>
      <c r="B30" s="17" t="n">
        <v>2263</v>
      </c>
      <c r="C30" s="18">
        <f>(1983.0/B30*100)</f>
        <v/>
      </c>
      <c r="D30" s="19" t="n">
        <v>280</v>
      </c>
      <c r="E30" s="18" t="n">
        <v>62.22576304</v>
      </c>
      <c r="F30" s="20" t="n">
        <v>2.66031561</v>
      </c>
      <c r="G30" s="18" t="n">
        <v>16.37165767</v>
      </c>
      <c r="H30" s="20" t="n">
        <v>1.87612346</v>
      </c>
      <c r="I30" s="18" t="s">
        <v>431</v>
      </c>
      <c r="J30" s="20" t="s">
        <v>431</v>
      </c>
      <c r="K30" s="18" t="n">
        <v>2.249682</v>
      </c>
      <c r="L30" s="20" t="n">
        <v>0.85216163</v>
      </c>
      <c r="M30" s="18" t="n">
        <v>0.28494655</v>
      </c>
      <c r="N30" s="20" t="n">
        <v>0.28626513</v>
      </c>
      <c r="O30" s="18" t="n">
        <v>0</v>
      </c>
      <c r="P30" s="20" t="n">
        <v>0</v>
      </c>
      <c r="Q30" s="18" t="n">
        <v>18.86795075</v>
      </c>
      <c r="R30" s="20" t="n">
        <v>2.62368045</v>
      </c>
    </row>
    <row r="31" spans="1:18">
      <c r="A31" s="15" t="s">
        <v>455</v>
      </c>
      <c r="B31" s="17" t="n">
        <v>2750</v>
      </c>
      <c r="C31" s="18">
        <f>(2423.0/B31*100)</f>
        <v/>
      </c>
      <c r="D31" s="19" t="n">
        <v>327</v>
      </c>
      <c r="E31" s="18" t="n">
        <v>64.05796862</v>
      </c>
      <c r="F31" s="20" t="n">
        <v>3.00422092</v>
      </c>
      <c r="G31" s="18" t="n">
        <v>15.6453926</v>
      </c>
      <c r="H31" s="20" t="n">
        <v>2.29942038</v>
      </c>
      <c r="I31" s="18" t="s">
        <v>431</v>
      </c>
      <c r="J31" s="20" t="s">
        <v>431</v>
      </c>
      <c r="K31" s="18" t="n">
        <v>2.99648542</v>
      </c>
      <c r="L31" s="20" t="n">
        <v>1.05935447</v>
      </c>
      <c r="M31" s="18" t="n">
        <v>0</v>
      </c>
      <c r="N31" s="20" t="n">
        <v>0</v>
      </c>
      <c r="O31" s="18" t="n">
        <v>0</v>
      </c>
      <c r="P31" s="20" t="n">
        <v>0</v>
      </c>
      <c r="Q31" s="18" t="n">
        <v>17.30015336</v>
      </c>
      <c r="R31" s="20" t="n">
        <v>1.97194094</v>
      </c>
    </row>
    <row r="32" spans="1:18">
      <c r="A32" s="15" t="s">
        <v>456</v>
      </c>
      <c r="B32" s="17" t="n">
        <v>2269</v>
      </c>
      <c r="C32" s="18">
        <f>(1923.0/B32*100)</f>
        <v/>
      </c>
      <c r="D32" s="19" t="n">
        <v>346</v>
      </c>
      <c r="E32" s="18" t="n">
        <v>65.59117856</v>
      </c>
      <c r="F32" s="20" t="n">
        <v>2.79151657</v>
      </c>
      <c r="G32" s="18" t="n">
        <v>13.89787523</v>
      </c>
      <c r="H32" s="20" t="n">
        <v>2.00187452</v>
      </c>
      <c r="I32" s="18" t="s">
        <v>431</v>
      </c>
      <c r="J32" s="20" t="s">
        <v>431</v>
      </c>
      <c r="K32" s="18" t="n">
        <v>0</v>
      </c>
      <c r="L32" s="20" t="n">
        <v>0</v>
      </c>
      <c r="M32" s="18" t="n">
        <v>0</v>
      </c>
      <c r="N32" s="20" t="n">
        <v>0</v>
      </c>
      <c r="O32" s="18" t="n">
        <v>0</v>
      </c>
      <c r="P32" s="20" t="n">
        <v>0</v>
      </c>
      <c r="Q32" s="18" t="n">
        <v>20.51094621</v>
      </c>
      <c r="R32" s="20" t="n">
        <v>2.30151379</v>
      </c>
    </row>
    <row r="33" spans="1:18">
      <c r="A33" s="15" t="s">
        <v>457</v>
      </c>
      <c r="B33" s="17" t="n">
        <v>3674</v>
      </c>
      <c r="C33" s="18">
        <f>(3250.0/B33*100)</f>
        <v/>
      </c>
      <c r="D33" s="19" t="n">
        <v>424</v>
      </c>
      <c r="E33" s="18" t="n">
        <v>52.32938258</v>
      </c>
      <c r="F33" s="20" t="n">
        <v>2.95243527</v>
      </c>
      <c r="G33" s="18" t="n">
        <v>23.48897354</v>
      </c>
      <c r="H33" s="20" t="n">
        <v>2.58071065</v>
      </c>
      <c r="I33" s="18" t="s">
        <v>431</v>
      </c>
      <c r="J33" s="20" t="s">
        <v>431</v>
      </c>
      <c r="K33" s="18" t="n">
        <v>0.3420368</v>
      </c>
      <c r="L33" s="20" t="n">
        <v>0.29971698</v>
      </c>
      <c r="M33" s="18" t="n">
        <v>0.25764417</v>
      </c>
      <c r="N33" s="20" t="n">
        <v>0.17938904</v>
      </c>
      <c r="O33" s="18" t="n">
        <v>0</v>
      </c>
      <c r="P33" s="20" t="n">
        <v>0</v>
      </c>
      <c r="Q33" s="18" t="n">
        <v>23.58196291</v>
      </c>
      <c r="R33" s="20" t="n">
        <v>2.64416239</v>
      </c>
    </row>
    <row r="34" spans="1:18">
      <c r="A34" s="15" t="s">
        <v>458</v>
      </c>
      <c r="B34" s="17" t="n">
        <v>3315</v>
      </c>
      <c r="C34" s="18">
        <f>(2933.0/B34*100)</f>
        <v/>
      </c>
      <c r="D34" s="19" t="n">
        <v>382</v>
      </c>
      <c r="E34" s="18" t="n">
        <v>67.95639273</v>
      </c>
      <c r="F34" s="20" t="n">
        <v>2.50753319</v>
      </c>
      <c r="G34" s="18" t="n">
        <v>7.70110102</v>
      </c>
      <c r="H34" s="20" t="n">
        <v>1.31864682</v>
      </c>
      <c r="I34" s="18" t="s">
        <v>431</v>
      </c>
      <c r="J34" s="20" t="s">
        <v>431</v>
      </c>
      <c r="K34" s="18" t="n">
        <v>0.50519123</v>
      </c>
      <c r="L34" s="20" t="n">
        <v>0.42860066</v>
      </c>
      <c r="M34" s="18" t="n">
        <v>0</v>
      </c>
      <c r="N34" s="20" t="n">
        <v>0</v>
      </c>
      <c r="O34" s="18" t="n">
        <v>0</v>
      </c>
      <c r="P34" s="20" t="n">
        <v>0</v>
      </c>
      <c r="Q34" s="18" t="n">
        <v>23.83731502</v>
      </c>
      <c r="R34" s="20" t="n">
        <v>2.32833758</v>
      </c>
    </row>
    <row r="35" spans="1:18">
      <c r="A35" s="15" t="s">
        <v>459</v>
      </c>
      <c r="B35" s="17" t="n">
        <v>3505</v>
      </c>
      <c r="C35" s="18">
        <f>(3102.0/B35*100)</f>
        <v/>
      </c>
      <c r="D35" s="19" t="n">
        <v>403</v>
      </c>
      <c r="E35" s="18" t="n">
        <v>53.61992544</v>
      </c>
      <c r="F35" s="20" t="n">
        <v>3.13359944</v>
      </c>
      <c r="G35" s="18" t="n">
        <v>16.04977912</v>
      </c>
      <c r="H35" s="20" t="n">
        <v>2.46580706</v>
      </c>
      <c r="I35" s="18" t="s">
        <v>431</v>
      </c>
      <c r="J35" s="20" t="s">
        <v>431</v>
      </c>
      <c r="K35" s="18" t="n">
        <v>1.28232784</v>
      </c>
      <c r="L35" s="20" t="n">
        <v>0.71949977</v>
      </c>
      <c r="M35" s="18" t="n">
        <v>0.44759009</v>
      </c>
      <c r="N35" s="20" t="n">
        <v>0.44788561</v>
      </c>
      <c r="O35" s="18" t="n">
        <v>0</v>
      </c>
      <c r="P35" s="20" t="n">
        <v>0</v>
      </c>
      <c r="Q35" s="18" t="n">
        <v>28.60037751</v>
      </c>
      <c r="R35" s="20" t="n">
        <v>2.99113171</v>
      </c>
    </row>
    <row r="36" spans="1:18">
      <c r="A36" s="15" t="s">
        <v>460</v>
      </c>
      <c r="B36" s="17" t="n">
        <v>3332</v>
      </c>
      <c r="C36" s="18">
        <f>(2951.0/B36*100)</f>
        <v/>
      </c>
      <c r="D36" s="19" t="n">
        <v>381</v>
      </c>
      <c r="E36" s="18" t="n">
        <v>59.34494601</v>
      </c>
      <c r="F36" s="20" t="n">
        <v>2.26873539</v>
      </c>
      <c r="G36" s="18" t="n">
        <v>22.01659803</v>
      </c>
      <c r="H36" s="20" t="n">
        <v>2.12250379</v>
      </c>
      <c r="I36" s="18" t="s">
        <v>431</v>
      </c>
      <c r="J36" s="20" t="s">
        <v>431</v>
      </c>
      <c r="K36" s="18" t="n">
        <v>3.47363824</v>
      </c>
      <c r="L36" s="20" t="n">
        <v>0.8602036</v>
      </c>
      <c r="M36" s="18" t="n">
        <v>0</v>
      </c>
      <c r="N36" s="20" t="n">
        <v>0</v>
      </c>
      <c r="O36" s="18" t="n">
        <v>0</v>
      </c>
      <c r="P36" s="20" t="n">
        <v>0</v>
      </c>
      <c r="Q36" s="18" t="n">
        <v>15.16481772</v>
      </c>
      <c r="R36" s="20" t="n">
        <v>1.84440594</v>
      </c>
    </row>
    <row r="37" spans="1:18">
      <c r="A37" s="15" t="s">
        <v>461</v>
      </c>
      <c r="B37" s="17" t="n">
        <v>2727</v>
      </c>
      <c r="C37" s="18">
        <f>(2394.0/B37*100)</f>
        <v/>
      </c>
      <c r="D37" s="19" t="n">
        <v>333</v>
      </c>
      <c r="E37" s="18" t="n">
        <v>63.11500686</v>
      </c>
      <c r="F37" s="20" t="n">
        <v>2.65492379</v>
      </c>
      <c r="G37" s="18" t="n">
        <v>12.25719677</v>
      </c>
      <c r="H37" s="20" t="n">
        <v>2.12964588</v>
      </c>
      <c r="I37" s="18" t="s">
        <v>431</v>
      </c>
      <c r="J37" s="20" t="s">
        <v>431</v>
      </c>
      <c r="K37" s="18" t="n">
        <v>3.74429611</v>
      </c>
      <c r="L37" s="20" t="n">
        <v>1.11474211</v>
      </c>
      <c r="M37" s="18" t="n">
        <v>0</v>
      </c>
      <c r="N37" s="20" t="n">
        <v>0</v>
      </c>
      <c r="O37" s="18" t="n">
        <v>0</v>
      </c>
      <c r="P37" s="20" t="n">
        <v>0</v>
      </c>
      <c r="Q37" s="18" t="n">
        <v>20.88350026</v>
      </c>
      <c r="R37" s="20" t="n">
        <v>2.60909792</v>
      </c>
    </row>
    <row r="38" spans="1:18">
      <c r="A38" s="15" t="s">
        <v>462</v>
      </c>
      <c r="B38" s="17" t="n">
        <v>3053</v>
      </c>
      <c r="C38" s="18">
        <f>(2582.0/B38*100)</f>
        <v/>
      </c>
      <c r="D38" s="19" t="n">
        <v>471</v>
      </c>
      <c r="E38" s="18" t="n">
        <v>19.2086613</v>
      </c>
      <c r="F38" s="20" t="n">
        <v>2.12465147</v>
      </c>
      <c r="G38" s="18" t="n">
        <v>6.1962339</v>
      </c>
      <c r="H38" s="20" t="n">
        <v>1.31805208</v>
      </c>
      <c r="I38" s="18" t="s">
        <v>431</v>
      </c>
      <c r="J38" s="20" t="s">
        <v>431</v>
      </c>
      <c r="K38" s="18" t="n">
        <v>0.6930614</v>
      </c>
      <c r="L38" s="20" t="n">
        <v>0.34080055</v>
      </c>
      <c r="M38" s="18" t="n">
        <v>66.95473298</v>
      </c>
      <c r="N38" s="20" t="n">
        <v>1.74057512</v>
      </c>
      <c r="O38" s="18" t="n">
        <v>0</v>
      </c>
      <c r="P38" s="20" t="n">
        <v>0</v>
      </c>
      <c r="Q38" s="18" t="n">
        <v>6.94731043</v>
      </c>
      <c r="R38" s="20" t="n">
        <v>1.61679071</v>
      </c>
    </row>
    <row r="39" spans="1:18">
      <c r="A39" s="15" t="s">
        <v>463</v>
      </c>
      <c r="B39" s="17" t="n">
        <v>2957</v>
      </c>
      <c r="C39" s="18">
        <f>(2588.0/B39*100)</f>
        <v/>
      </c>
      <c r="D39" s="19" t="n">
        <v>369</v>
      </c>
      <c r="E39" s="18" t="n">
        <v>69.33759214</v>
      </c>
      <c r="F39" s="20" t="n">
        <v>2.94758984</v>
      </c>
      <c r="G39" s="18" t="n">
        <v>15.04939707</v>
      </c>
      <c r="H39" s="20" t="n">
        <v>2.14862224</v>
      </c>
      <c r="I39" s="18" t="s">
        <v>431</v>
      </c>
      <c r="J39" s="20" t="s">
        <v>431</v>
      </c>
      <c r="K39" s="18" t="n">
        <v>0.74181842</v>
      </c>
      <c r="L39" s="20" t="n">
        <v>0.44464329</v>
      </c>
      <c r="M39" s="18" t="n">
        <v>0</v>
      </c>
      <c r="N39" s="20" t="n">
        <v>0</v>
      </c>
      <c r="O39" s="18" t="n">
        <v>0</v>
      </c>
      <c r="P39" s="20" t="n">
        <v>0</v>
      </c>
      <c r="Q39" s="18" t="n">
        <v>14.87119237</v>
      </c>
      <c r="R39" s="20" t="n">
        <v>2.12017172</v>
      </c>
    </row>
    <row r="40" spans="1:18">
      <c r="A40" s="15" t="s">
        <v>464</v>
      </c>
      <c r="B40" s="17" t="n">
        <v>7235</v>
      </c>
      <c r="C40" s="18">
        <f>(6361.0/B40*100)</f>
        <v/>
      </c>
      <c r="D40" s="19" t="n">
        <v>874</v>
      </c>
      <c r="E40" s="18" t="n">
        <v>65.61263578000001</v>
      </c>
      <c r="F40" s="20" t="n">
        <v>3.00107875</v>
      </c>
      <c r="G40" s="18" t="n">
        <v>12.31596989</v>
      </c>
      <c r="H40" s="20" t="n">
        <v>2.46450655</v>
      </c>
      <c r="I40" s="18" t="s">
        <v>431</v>
      </c>
      <c r="J40" s="20" t="s">
        <v>431</v>
      </c>
      <c r="K40" s="18" t="n">
        <v>1.84536224</v>
      </c>
      <c r="L40" s="20" t="n">
        <v>0.67696705</v>
      </c>
      <c r="M40" s="18" t="n">
        <v>0.5657033</v>
      </c>
      <c r="N40" s="20" t="n">
        <v>0.44624958</v>
      </c>
      <c r="O40" s="18" t="n">
        <v>0</v>
      </c>
      <c r="P40" s="20" t="n">
        <v>0</v>
      </c>
      <c r="Q40" s="18" t="n">
        <v>19.66032878</v>
      </c>
      <c r="R40" s="20" t="n">
        <v>2.27269512</v>
      </c>
    </row>
    <row r="41" spans="1:18">
      <c r="A41" s="15" t="s">
        <v>465</v>
      </c>
      <c r="B41" s="17" t="n">
        <v>2858</v>
      </c>
      <c r="C41" s="18">
        <f>(2527.0/B41*100)</f>
        <v/>
      </c>
      <c r="D41" s="19" t="n">
        <v>331</v>
      </c>
      <c r="E41" s="18" t="n">
        <v>79.22480324999999</v>
      </c>
      <c r="F41" s="20" t="n">
        <v>2.04128152</v>
      </c>
      <c r="G41" s="18" t="n">
        <v>13.61640278</v>
      </c>
      <c r="H41" s="20" t="n">
        <v>1.70761927</v>
      </c>
      <c r="I41" s="18" t="s">
        <v>431</v>
      </c>
      <c r="J41" s="20" t="s">
        <v>431</v>
      </c>
      <c r="K41" s="18" t="n">
        <v>1.19609799</v>
      </c>
      <c r="L41" s="20" t="n">
        <v>0.56701167</v>
      </c>
      <c r="M41" s="18" t="n">
        <v>0</v>
      </c>
      <c r="N41" s="20" t="n">
        <v>0</v>
      </c>
      <c r="O41" s="18" t="n">
        <v>0</v>
      </c>
      <c r="P41" s="20" t="n">
        <v>0</v>
      </c>
      <c r="Q41" s="18" t="n">
        <v>5.96269598</v>
      </c>
      <c r="R41" s="20" t="n">
        <v>1.288973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(10120.0/B46*100)</f>
        <v/>
      </c>
      <c r="D46" s="19" t="n">
        <v>948</v>
      </c>
      <c r="E46" s="18" t="n">
        <v>59.63623828</v>
      </c>
      <c r="F46" s="20" t="n">
        <v>1.86112877</v>
      </c>
      <c r="G46" s="18" t="n">
        <v>14.5514682</v>
      </c>
      <c r="H46" s="20" t="n">
        <v>1.54823327</v>
      </c>
      <c r="I46" s="18" t="s">
        <v>431</v>
      </c>
      <c r="J46" s="20" t="s">
        <v>431</v>
      </c>
      <c r="K46" s="18" t="n">
        <v>4.18527286</v>
      </c>
      <c r="L46" s="20" t="n">
        <v>0.75433005</v>
      </c>
      <c r="M46" s="18" t="n">
        <v>0.24523001</v>
      </c>
      <c r="N46" s="20" t="n">
        <v>0.21763176</v>
      </c>
      <c r="O46" s="18" t="n">
        <v>0</v>
      </c>
      <c r="P46" s="20" t="n">
        <v>0</v>
      </c>
      <c r="Q46" s="18" t="n">
        <v>21.38179066</v>
      </c>
      <c r="R46" s="20" t="n">
        <v>1.66594077</v>
      </c>
    </row>
    <row r="47" spans="1:18">
      <c r="A47" s="15" t="s">
        <v>471</v>
      </c>
      <c r="B47" s="17" t="n">
        <v>3105</v>
      </c>
      <c r="C47" s="18">
        <f>(2715.0/B47*100)</f>
        <v/>
      </c>
      <c r="D47" s="19" t="n">
        <v>390</v>
      </c>
      <c r="E47" s="18" t="n">
        <v>49.56033091</v>
      </c>
      <c r="F47" s="20" t="n">
        <v>2.24932994</v>
      </c>
      <c r="G47" s="18" t="n">
        <v>13.58199008</v>
      </c>
      <c r="H47" s="20" t="n">
        <v>1.82218333</v>
      </c>
      <c r="I47" s="18" t="s">
        <v>431</v>
      </c>
      <c r="J47" s="20" t="s">
        <v>431</v>
      </c>
      <c r="K47" s="18" t="n">
        <v>0.9957875</v>
      </c>
      <c r="L47" s="20" t="n">
        <v>0.49758449</v>
      </c>
      <c r="M47" s="18" t="n">
        <v>0.25011742</v>
      </c>
      <c r="N47" s="20" t="n">
        <v>0.25021599</v>
      </c>
      <c r="O47" s="18" t="n">
        <v>0</v>
      </c>
      <c r="P47" s="20" t="n">
        <v>0</v>
      </c>
      <c r="Q47" s="18" t="n">
        <v>35.6117741</v>
      </c>
      <c r="R47" s="20" t="n">
        <v>2.35658777</v>
      </c>
    </row>
    <row r="48" spans="1:18">
      <c r="A48" s="15" t="s">
        <v>472</v>
      </c>
      <c r="B48" s="17" t="n">
        <v>5159</v>
      </c>
      <c r="C48" s="18">
        <f>(4534.0/B48*100)</f>
        <v/>
      </c>
      <c r="D48" s="19" t="n">
        <v>625</v>
      </c>
      <c r="E48" s="18" t="n">
        <v>53.95255926</v>
      </c>
      <c r="F48" s="20" t="n">
        <v>2.30613301</v>
      </c>
      <c r="G48" s="18" t="n">
        <v>33.08339373</v>
      </c>
      <c r="H48" s="20" t="n">
        <v>2.10494865</v>
      </c>
      <c r="I48" s="18" t="s">
        <v>431</v>
      </c>
      <c r="J48" s="20" t="s">
        <v>431</v>
      </c>
      <c r="K48" s="18" t="n">
        <v>0.74533253</v>
      </c>
      <c r="L48" s="20" t="n">
        <v>0.48327503</v>
      </c>
      <c r="M48" s="18" t="n">
        <v>0</v>
      </c>
      <c r="N48" s="20" t="n">
        <v>0</v>
      </c>
      <c r="O48" s="18" t="n">
        <v>0</v>
      </c>
      <c r="P48" s="20" t="n">
        <v>0</v>
      </c>
      <c r="Q48" s="18" t="n">
        <v>12.21871448</v>
      </c>
      <c r="R48" s="20" t="n">
        <v>1.71676585</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(4992.0/B50*100)</f>
        <v/>
      </c>
      <c r="D50" s="19" t="n">
        <v>645</v>
      </c>
      <c r="E50" s="18" t="n">
        <v>78.46627552</v>
      </c>
      <c r="F50" s="20" t="n">
        <v>1.89024898</v>
      </c>
      <c r="G50" s="18" t="n">
        <v>6.30729733</v>
      </c>
      <c r="H50" s="20" t="n">
        <v>1.11344399</v>
      </c>
      <c r="I50" s="18" t="s">
        <v>431</v>
      </c>
      <c r="J50" s="20" t="s">
        <v>431</v>
      </c>
      <c r="K50" s="18" t="n">
        <v>4.40060294</v>
      </c>
      <c r="L50" s="20" t="n">
        <v>1.26618046</v>
      </c>
      <c r="M50" s="18" t="n">
        <v>0.00858862</v>
      </c>
      <c r="N50" s="20" t="n">
        <v>0.008642189999999999</v>
      </c>
      <c r="O50" s="18" t="n">
        <v>0</v>
      </c>
      <c r="P50" s="20" t="n">
        <v>0</v>
      </c>
      <c r="Q50" s="18" t="n">
        <v>10.81723559</v>
      </c>
      <c r="R50" s="20" t="n">
        <v>1.6332129</v>
      </c>
    </row>
    <row r="51" spans="1:18">
      <c r="A51" s="15" t="s">
        <v>475</v>
      </c>
      <c r="B51" s="17" t="n">
        <v>3372</v>
      </c>
      <c r="C51" s="18">
        <f>(3033.0/B51*100)</f>
        <v/>
      </c>
      <c r="D51" s="19" t="n">
        <v>339</v>
      </c>
      <c r="E51" s="18" t="n">
        <v>77.50809063</v>
      </c>
      <c r="F51" s="20" t="n">
        <v>2.64344868</v>
      </c>
      <c r="G51" s="18" t="n">
        <v>5.03101122</v>
      </c>
      <c r="H51" s="20" t="n">
        <v>1.24560628</v>
      </c>
      <c r="I51" s="18" t="s">
        <v>431</v>
      </c>
      <c r="J51" s="20" t="s">
        <v>431</v>
      </c>
      <c r="K51" s="18" t="n">
        <v>2.84012335</v>
      </c>
      <c r="L51" s="20" t="n">
        <v>0.94402987</v>
      </c>
      <c r="M51" s="18" t="n">
        <v>0</v>
      </c>
      <c r="N51" s="20" t="n">
        <v>0</v>
      </c>
      <c r="O51" s="18" t="n">
        <v>0</v>
      </c>
      <c r="P51" s="20" t="n">
        <v>0</v>
      </c>
      <c r="Q51" s="18" t="n">
        <v>14.6207748</v>
      </c>
      <c r="R51" s="20" t="n">
        <v>2.23080904</v>
      </c>
    </row>
    <row r="52" spans="1:18">
      <c r="A52" s="15" t="s">
        <v>476</v>
      </c>
      <c r="B52" s="17" t="n">
        <v>2796</v>
      </c>
      <c r="C52" s="18">
        <f>(2431.0/B52*100)</f>
        <v/>
      </c>
      <c r="D52" s="19" t="n">
        <v>365</v>
      </c>
      <c r="E52" s="18" t="n">
        <v>62.65398319</v>
      </c>
      <c r="F52" s="20" t="n">
        <v>2.52544218</v>
      </c>
      <c r="G52" s="18" t="n">
        <v>13.3661522</v>
      </c>
      <c r="H52" s="20" t="n">
        <v>1.76300922</v>
      </c>
      <c r="I52" s="18" t="s">
        <v>431</v>
      </c>
      <c r="J52" s="20" t="s">
        <v>431</v>
      </c>
      <c r="K52" s="18" t="n">
        <v>0.88571894</v>
      </c>
      <c r="L52" s="20" t="n">
        <v>0.51940714</v>
      </c>
      <c r="M52" s="18" t="n">
        <v>0</v>
      </c>
      <c r="N52" s="20" t="n">
        <v>0</v>
      </c>
      <c r="O52" s="18" t="n">
        <v>0</v>
      </c>
      <c r="P52" s="20" t="n">
        <v>0</v>
      </c>
      <c r="Q52" s="18" t="n">
        <v>23.09414568</v>
      </c>
      <c r="R52" s="20" t="n">
        <v>2.24663729</v>
      </c>
    </row>
    <row r="53" spans="1:18">
      <c r="A53" s="15" t="s">
        <v>477</v>
      </c>
      <c r="B53" s="17" t="n">
        <v>2811</v>
      </c>
      <c r="C53" s="18">
        <f>(2485.0/B53*100)</f>
        <v/>
      </c>
      <c r="D53" s="19" t="n">
        <v>326</v>
      </c>
      <c r="E53" s="18" t="n">
        <v>57.26584904</v>
      </c>
      <c r="F53" s="20" t="n">
        <v>2.80503329</v>
      </c>
      <c r="G53" s="18" t="n">
        <v>8.7519756</v>
      </c>
      <c r="H53" s="20" t="n">
        <v>1.40895417</v>
      </c>
      <c r="I53" s="18" t="s">
        <v>431</v>
      </c>
      <c r="J53" s="20" t="s">
        <v>431</v>
      </c>
      <c r="K53" s="18" t="n">
        <v>1.77063065</v>
      </c>
      <c r="L53" s="20" t="n">
        <v>0.69192001</v>
      </c>
      <c r="M53" s="18" t="n">
        <v>0</v>
      </c>
      <c r="N53" s="20" t="n">
        <v>0</v>
      </c>
      <c r="O53" s="18" t="n">
        <v>0</v>
      </c>
      <c r="P53" s="20" t="n">
        <v>0</v>
      </c>
      <c r="Q53" s="18" t="n">
        <v>32.21154471</v>
      </c>
      <c r="R53" s="20" t="n">
        <v>2.5103293</v>
      </c>
    </row>
    <row r="54" spans="1:18">
      <c r="A54" s="15" t="s">
        <v>478</v>
      </c>
      <c r="B54" s="17" t="n">
        <v>2266</v>
      </c>
      <c r="C54" s="18">
        <f>(1885.0/B54*100)</f>
        <v/>
      </c>
      <c r="D54" s="19" t="n">
        <v>381</v>
      </c>
      <c r="E54" s="18" t="n">
        <v>36.54115284</v>
      </c>
      <c r="F54" s="20" t="n">
        <v>2.63263952</v>
      </c>
      <c r="G54" s="18" t="n">
        <v>19.42945676</v>
      </c>
      <c r="H54" s="20" t="n">
        <v>1.9291055</v>
      </c>
      <c r="I54" s="18" t="s">
        <v>431</v>
      </c>
      <c r="J54" s="20" t="s">
        <v>431</v>
      </c>
      <c r="K54" s="18" t="n">
        <v>24.42154865</v>
      </c>
      <c r="L54" s="20" t="n">
        <v>2.24327111</v>
      </c>
      <c r="M54" s="18" t="n">
        <v>0.75625953</v>
      </c>
      <c r="N54" s="20" t="n">
        <v>0.55444988</v>
      </c>
      <c r="O54" s="18" t="n">
        <v>0</v>
      </c>
      <c r="P54" s="20" t="n">
        <v>0</v>
      </c>
      <c r="Q54" s="18" t="n">
        <v>18.85158221</v>
      </c>
      <c r="R54" s="20" t="n">
        <v>2.22653896</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(2348.0/B56*100)</f>
        <v/>
      </c>
      <c r="D56" s="19" t="n">
        <v>336</v>
      </c>
      <c r="E56" s="18" t="n">
        <v>73.42475666999999</v>
      </c>
      <c r="F56" s="20" t="n">
        <v>2.467344</v>
      </c>
      <c r="G56" s="18" t="n">
        <v>11.13637397</v>
      </c>
      <c r="H56" s="20" t="n">
        <v>1.63939681</v>
      </c>
      <c r="I56" s="18" t="s">
        <v>431</v>
      </c>
      <c r="J56" s="20" t="s">
        <v>431</v>
      </c>
      <c r="K56" s="18" t="n">
        <v>1.90634424</v>
      </c>
      <c r="L56" s="20" t="n">
        <v>0.7688780200000001</v>
      </c>
      <c r="M56" s="18" t="n">
        <v>0</v>
      </c>
      <c r="N56" s="20" t="n">
        <v>0</v>
      </c>
      <c r="O56" s="18" t="n">
        <v>0</v>
      </c>
      <c r="P56" s="20" t="n">
        <v>0</v>
      </c>
      <c r="Q56" s="18" t="n">
        <v>13.53252511</v>
      </c>
      <c r="R56" s="20" t="n">
        <v>1.98599726</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(2932.0/B61*100)</f>
        <v/>
      </c>
      <c r="D61" s="19" t="n">
        <v>392</v>
      </c>
      <c r="E61" s="18" t="n">
        <v>70.93542508</v>
      </c>
      <c r="F61" s="20" t="n">
        <v>2.33139272</v>
      </c>
      <c r="G61" s="18" t="n">
        <v>8.689261399999999</v>
      </c>
      <c r="H61" s="20" t="n">
        <v>1.36250987</v>
      </c>
      <c r="I61" s="18" t="s">
        <v>431</v>
      </c>
      <c r="J61" s="20" t="s">
        <v>431</v>
      </c>
      <c r="K61" s="18" t="n">
        <v>1.50495019</v>
      </c>
      <c r="L61" s="20" t="n">
        <v>0.62897021</v>
      </c>
      <c r="M61" s="18" t="n">
        <v>0</v>
      </c>
      <c r="N61" s="20" t="n">
        <v>0</v>
      </c>
      <c r="O61" s="18" t="n">
        <v>0</v>
      </c>
      <c r="P61" s="20" t="n">
        <v>0</v>
      </c>
      <c r="Q61" s="18" t="n">
        <v>18.87036333</v>
      </c>
      <c r="R61" s="20" t="n">
        <v>1.91940416</v>
      </c>
    </row>
    <row r="62" spans="1:18">
      <c r="A62" s="15" t="s">
        <v>486</v>
      </c>
      <c r="B62" s="17" t="n">
        <v>2246</v>
      </c>
      <c r="C62" s="18">
        <f>(1990.0/B62*100)</f>
        <v/>
      </c>
      <c r="D62" s="19" t="n">
        <v>256</v>
      </c>
      <c r="E62" s="18" t="n">
        <v>67.94322142999999</v>
      </c>
      <c r="F62" s="20" t="n">
        <v>2.91534878</v>
      </c>
      <c r="G62" s="18" t="n">
        <v>21.1157004</v>
      </c>
      <c r="H62" s="20" t="n">
        <v>2.94643881</v>
      </c>
      <c r="I62" s="18" t="s">
        <v>431</v>
      </c>
      <c r="J62" s="20" t="s">
        <v>431</v>
      </c>
      <c r="K62" s="18" t="n">
        <v>0</v>
      </c>
      <c r="L62" s="20" t="n">
        <v>0</v>
      </c>
      <c r="M62" s="18" t="n">
        <v>0.41617074</v>
      </c>
      <c r="N62" s="20" t="n">
        <v>0.41968169</v>
      </c>
      <c r="O62" s="18" t="n">
        <v>0</v>
      </c>
      <c r="P62" s="20" t="n">
        <v>0</v>
      </c>
      <c r="Q62" s="18" t="n">
        <v>10.52490744</v>
      </c>
      <c r="R62" s="20" t="n">
        <v>1.91401679</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(2558.0/B66*100)</f>
        <v/>
      </c>
      <c r="D66" s="19" t="n">
        <v>336</v>
      </c>
      <c r="E66" s="18" t="n">
        <v>45.10905127</v>
      </c>
      <c r="F66" s="20" t="n">
        <v>2.96541305</v>
      </c>
      <c r="G66" s="18" t="n">
        <v>7.79829999</v>
      </c>
      <c r="H66" s="20" t="n">
        <v>1.78747942</v>
      </c>
      <c r="I66" s="18" t="s">
        <v>431</v>
      </c>
      <c r="J66" s="20" t="s">
        <v>431</v>
      </c>
      <c r="K66" s="18" t="n">
        <v>3.28558152</v>
      </c>
      <c r="L66" s="20" t="n">
        <v>0.85957722</v>
      </c>
      <c r="M66" s="18" t="n">
        <v>0.25153724</v>
      </c>
      <c r="N66" s="20" t="n">
        <v>0.2532313</v>
      </c>
      <c r="O66" s="18" t="n">
        <v>0</v>
      </c>
      <c r="P66" s="20" t="n">
        <v>0</v>
      </c>
      <c r="Q66" s="18" t="n">
        <v>43.55552998</v>
      </c>
      <c r="R66" s="20" t="n">
        <v>2.33013012</v>
      </c>
    </row>
    <row r="67" spans="1:18">
      <c r="A67" s="15" t="s">
        <v>491</v>
      </c>
      <c r="B67" s="17" t="n">
        <v>3511</v>
      </c>
      <c r="C67" s="18">
        <f>(3167.0/B67*100)</f>
        <v/>
      </c>
      <c r="D67" s="19" t="n">
        <v>344</v>
      </c>
      <c r="E67" s="18" t="n">
        <v>81.36802489999999</v>
      </c>
      <c r="F67" s="20" t="n">
        <v>2.50875313</v>
      </c>
      <c r="G67" s="18" t="n">
        <v>2.83723567</v>
      </c>
      <c r="H67" s="20" t="n">
        <v>0.89380912</v>
      </c>
      <c r="I67" s="18" t="s">
        <v>431</v>
      </c>
      <c r="J67" s="20" t="s">
        <v>431</v>
      </c>
      <c r="K67" s="18" t="n">
        <v>1.709751</v>
      </c>
      <c r="L67" s="20" t="n">
        <v>0.68692875</v>
      </c>
      <c r="M67" s="18" t="n">
        <v>0.31975633</v>
      </c>
      <c r="N67" s="20" t="n">
        <v>0.3193802</v>
      </c>
      <c r="O67" s="18" t="n">
        <v>0</v>
      </c>
      <c r="P67" s="20" t="n">
        <v>0</v>
      </c>
      <c r="Q67" s="18" t="n">
        <v>13.76523209</v>
      </c>
      <c r="R67" s="20" t="n">
        <v>2.28989876</v>
      </c>
    </row>
    <row r="68" spans="1:18">
      <c r="A68" s="15" t="s">
        <v>492</v>
      </c>
      <c r="B68" s="17" t="n">
        <v>6049</v>
      </c>
      <c r="C68" s="18">
        <f>(5047.0/B68*100)</f>
        <v/>
      </c>
      <c r="D68" s="19" t="n">
        <v>1002</v>
      </c>
      <c r="E68" s="18" t="n">
        <v>67.02726594000001</v>
      </c>
      <c r="F68" s="20" t="n">
        <v>1.40757403</v>
      </c>
      <c r="G68" s="18" t="n">
        <v>3.4925776</v>
      </c>
      <c r="H68" s="20" t="n">
        <v>0.61031343</v>
      </c>
      <c r="I68" s="18" t="s">
        <v>431</v>
      </c>
      <c r="J68" s="20" t="s">
        <v>431</v>
      </c>
      <c r="K68" s="18" t="n">
        <v>7.65366597</v>
      </c>
      <c r="L68" s="20" t="n">
        <v>0.8142686</v>
      </c>
      <c r="M68" s="18" t="n">
        <v>0</v>
      </c>
      <c r="N68" s="20" t="n">
        <v>0</v>
      </c>
      <c r="O68" s="18" t="n">
        <v>0</v>
      </c>
      <c r="P68" s="20" t="n">
        <v>0</v>
      </c>
      <c r="Q68" s="18" t="n">
        <v>21.8264905</v>
      </c>
      <c r="R68" s="20" t="n">
        <v>1.14990174</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(2584.0/B70*100)</f>
        <v/>
      </c>
      <c r="D70" s="19" t="n">
        <v>345</v>
      </c>
      <c r="E70" s="18" t="n">
        <v>74.65610298</v>
      </c>
      <c r="F70" s="20" t="n">
        <v>2.40863474</v>
      </c>
      <c r="G70" s="18" t="n">
        <v>9.560480889999999</v>
      </c>
      <c r="H70" s="20" t="n">
        <v>1.46368757</v>
      </c>
      <c r="I70" s="18" t="s">
        <v>431</v>
      </c>
      <c r="J70" s="20" t="s">
        <v>431</v>
      </c>
      <c r="K70" s="18" t="n">
        <v>0.3950143</v>
      </c>
      <c r="L70" s="20" t="n">
        <v>0.25728068</v>
      </c>
      <c r="M70" s="18" t="n">
        <v>0</v>
      </c>
      <c r="N70" s="20" t="n">
        <v>0</v>
      </c>
      <c r="O70" s="18" t="n">
        <v>0</v>
      </c>
      <c r="P70" s="20" t="n">
        <v>0</v>
      </c>
      <c r="Q70" s="18" t="n">
        <v>15.38840182</v>
      </c>
      <c r="R70" s="20" t="n">
        <v>2.55544783</v>
      </c>
    </row>
    <row r="71" spans="1:18">
      <c r="A71" s="15" t="s">
        <v>495</v>
      </c>
      <c r="B71" s="17" t="n">
        <v>3142</v>
      </c>
      <c r="C71" s="18">
        <f>(2763.0/B71*100)</f>
        <v/>
      </c>
      <c r="D71" s="19" t="n">
        <v>379</v>
      </c>
      <c r="E71" s="18" t="n">
        <v>73.16601528</v>
      </c>
      <c r="F71" s="20" t="n">
        <v>2.42639168</v>
      </c>
      <c r="G71" s="18" t="n">
        <v>19.42262632</v>
      </c>
      <c r="H71" s="20" t="n">
        <v>2.09344322</v>
      </c>
      <c r="I71" s="18" t="s">
        <v>431</v>
      </c>
      <c r="J71" s="20" t="s">
        <v>431</v>
      </c>
      <c r="K71" s="18" t="n">
        <v>0.57323613</v>
      </c>
      <c r="L71" s="20" t="n">
        <v>0.39905543</v>
      </c>
      <c r="M71" s="18" t="n">
        <v>0.16184489</v>
      </c>
      <c r="N71" s="20" t="n">
        <v>0.16128616</v>
      </c>
      <c r="O71" s="18" t="n">
        <v>0</v>
      </c>
      <c r="P71" s="20" t="n">
        <v>0</v>
      </c>
      <c r="Q71" s="18" t="n">
        <v>6.67627738</v>
      </c>
      <c r="R71" s="20" t="n">
        <v>1.1847897</v>
      </c>
    </row>
    <row r="72" spans="1:18">
      <c r="A72" s="15" t="s">
        <v>496</v>
      </c>
      <c r="B72" s="17" t="n">
        <v>3889</v>
      </c>
      <c r="C72" s="18">
        <f>(3399.0/B72*100)</f>
        <v/>
      </c>
      <c r="D72" s="19" t="n">
        <v>490</v>
      </c>
      <c r="E72" s="18" t="n">
        <v>59.96531657</v>
      </c>
      <c r="F72" s="20" t="n">
        <v>2.40863754</v>
      </c>
      <c r="G72" s="18" t="n">
        <v>28.48280638</v>
      </c>
      <c r="H72" s="20" t="n">
        <v>2.61377241</v>
      </c>
      <c r="I72" s="18" t="s">
        <v>431</v>
      </c>
      <c r="J72" s="20" t="s">
        <v>431</v>
      </c>
      <c r="K72" s="18" t="n">
        <v>0.29491146</v>
      </c>
      <c r="L72" s="20" t="n">
        <v>0.2077242</v>
      </c>
      <c r="M72" s="18" t="n">
        <v>0</v>
      </c>
      <c r="N72" s="20" t="n">
        <v>0</v>
      </c>
      <c r="O72" s="18" t="n">
        <v>0</v>
      </c>
      <c r="P72" s="20" t="n">
        <v>0</v>
      </c>
      <c r="Q72" s="18" t="n">
        <v>11.2569656</v>
      </c>
      <c r="R72" s="20" t="n">
        <v>1.59030607</v>
      </c>
    </row>
    <row r="73" spans="1:18">
      <c r="A73" s="15" t="s">
        <v>497</v>
      </c>
      <c r="B73" s="17" t="n">
        <v>3597</v>
      </c>
      <c r="C73" s="18">
        <f>(3214.0/B73*100)</f>
        <v/>
      </c>
      <c r="D73" s="19" t="n">
        <v>383</v>
      </c>
      <c r="E73" s="18" t="n">
        <v>95.33609958</v>
      </c>
      <c r="F73" s="20" t="n">
        <v>1.03279951</v>
      </c>
      <c r="G73" s="18" t="n">
        <v>2.22307611</v>
      </c>
      <c r="H73" s="20" t="n">
        <v>0.8140741</v>
      </c>
      <c r="I73" s="18" t="s">
        <v>431</v>
      </c>
      <c r="J73" s="20" t="s">
        <v>431</v>
      </c>
      <c r="K73" s="18" t="n">
        <v>0.51680142</v>
      </c>
      <c r="L73" s="20" t="n">
        <v>0.30207403</v>
      </c>
      <c r="M73" s="18" t="n">
        <v>0</v>
      </c>
      <c r="N73" s="20" t="n">
        <v>0</v>
      </c>
      <c r="O73" s="18" t="n">
        <v>0</v>
      </c>
      <c r="P73" s="20" t="n">
        <v>0</v>
      </c>
      <c r="Q73" s="18" t="n">
        <v>1.92402289</v>
      </c>
      <c r="R73" s="20" t="n">
        <v>0.56971023</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(2152.0/B75*100)</f>
        <v/>
      </c>
      <c r="D75" s="19" t="n">
        <v>254</v>
      </c>
      <c r="E75" s="18" t="n">
        <v>57.09112158</v>
      </c>
      <c r="F75" s="20" t="n">
        <v>3.17040763</v>
      </c>
      <c r="G75" s="18" t="n">
        <v>4.13166876</v>
      </c>
      <c r="H75" s="20" t="n">
        <v>1.38388582</v>
      </c>
      <c r="I75" s="18" t="s">
        <v>431</v>
      </c>
      <c r="J75" s="20" t="s">
        <v>431</v>
      </c>
      <c r="K75" s="18" t="n">
        <v>7.94773231</v>
      </c>
      <c r="L75" s="20" t="n">
        <v>1.86030149</v>
      </c>
      <c r="M75" s="18" t="n">
        <v>0.44576026</v>
      </c>
      <c r="N75" s="20" t="n">
        <v>0.44569236</v>
      </c>
      <c r="O75" s="18" t="n">
        <v>0</v>
      </c>
      <c r="P75" s="20" t="n">
        <v>0</v>
      </c>
      <c r="Q75" s="18" t="n">
        <v>30.38371709</v>
      </c>
      <c r="R75" s="20" t="n">
        <v>2.97586175</v>
      </c>
    </row>
    <row r="76" spans="1:18">
      <c r="A76" s="15" t="s">
        <v>500</v>
      </c>
      <c r="B76" s="17" t="n">
        <v>7052</v>
      </c>
      <c r="C76" s="18">
        <f>(6205.0/B76*100)</f>
        <v/>
      </c>
      <c r="D76" s="19" t="n">
        <v>847</v>
      </c>
      <c r="E76" s="18" t="n">
        <v>70.19773965</v>
      </c>
      <c r="F76" s="20" t="n">
        <v>1.99045854</v>
      </c>
      <c r="G76" s="18" t="n">
        <v>11.66868183</v>
      </c>
      <c r="H76" s="20" t="n">
        <v>1.24326239</v>
      </c>
      <c r="I76" s="18" t="s">
        <v>431</v>
      </c>
      <c r="J76" s="20" t="s">
        <v>431</v>
      </c>
      <c r="K76" s="18" t="n">
        <v>2.37452933</v>
      </c>
      <c r="L76" s="20" t="n">
        <v>0.6229572</v>
      </c>
      <c r="M76" s="18" t="n">
        <v>0.06571510999999999</v>
      </c>
      <c r="N76" s="20" t="n">
        <v>0.06620361</v>
      </c>
      <c r="O76" s="18" t="n">
        <v>0</v>
      </c>
      <c r="P76" s="20" t="n">
        <v>0</v>
      </c>
      <c r="Q76" s="18" t="n">
        <v>15.69333408</v>
      </c>
      <c r="R76" s="20" t="n">
        <v>1.75609616</v>
      </c>
    </row>
    <row r="77" spans="1:18">
      <c r="A77" s="15" t="s">
        <v>501</v>
      </c>
      <c r="B77" s="17" t="n">
        <v>2908</v>
      </c>
      <c r="C77" s="18">
        <f>(2580.0/B77*100)</f>
        <v/>
      </c>
      <c r="D77" s="19" t="n">
        <v>328</v>
      </c>
      <c r="E77" s="18" t="n">
        <v>54.05482428</v>
      </c>
      <c r="F77" s="20" t="n">
        <v>2.65589974</v>
      </c>
      <c r="G77" s="18" t="n">
        <v>8.74160983</v>
      </c>
      <c r="H77" s="20" t="n">
        <v>1.45363439</v>
      </c>
      <c r="I77" s="18" t="s">
        <v>431</v>
      </c>
      <c r="J77" s="20" t="s">
        <v>431</v>
      </c>
      <c r="K77" s="18" t="n">
        <v>5.41520491</v>
      </c>
      <c r="L77" s="20" t="n">
        <v>1.1833303</v>
      </c>
      <c r="M77" s="18" t="n">
        <v>0</v>
      </c>
      <c r="N77" s="20" t="n">
        <v>0</v>
      </c>
      <c r="O77" s="18" t="n">
        <v>0</v>
      </c>
      <c r="P77" s="20" t="n">
        <v>0</v>
      </c>
      <c r="Q77" s="18" t="n">
        <v>31.78836098</v>
      </c>
      <c r="R77" s="20" t="n">
        <v>2.51767086</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(3638.0/B81*100)</f>
        <v/>
      </c>
      <c r="D81" s="19" t="n">
        <v>525</v>
      </c>
      <c r="E81" s="18" t="n">
        <v>80.67176200999999</v>
      </c>
      <c r="F81" s="20" t="n">
        <v>2.33308716</v>
      </c>
      <c r="G81" s="18" t="n">
        <v>10.41064838</v>
      </c>
      <c r="H81" s="20" t="n">
        <v>1.61064872</v>
      </c>
      <c r="I81" s="18" t="s">
        <v>431</v>
      </c>
      <c r="J81" s="20" t="s">
        <v>431</v>
      </c>
      <c r="K81" s="18" t="n">
        <v>1.33797551</v>
      </c>
      <c r="L81" s="20" t="n">
        <v>0.60182634</v>
      </c>
      <c r="M81" s="18" t="n">
        <v>0</v>
      </c>
      <c r="N81" s="20" t="n">
        <v>0</v>
      </c>
      <c r="O81" s="18" t="n">
        <v>0</v>
      </c>
      <c r="P81" s="20" t="n">
        <v>0</v>
      </c>
      <c r="Q81" s="18" t="n">
        <v>7.5796141</v>
      </c>
      <c r="R81" s="20" t="n">
        <v>1.62184036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(6486.0/B7*100)</f>
        <v/>
      </c>
      <c r="D7" s="19" t="n">
        <v>881</v>
      </c>
      <c r="E7" s="18" t="n">
        <v>44.21692075</v>
      </c>
      <c r="F7" s="20" t="n">
        <v>1.77035448</v>
      </c>
      <c r="G7" s="18" t="n">
        <v>52.84280507</v>
      </c>
      <c r="H7" s="20" t="n">
        <v>1.79688462</v>
      </c>
      <c r="I7" s="18" t="s">
        <v>431</v>
      </c>
      <c r="J7" s="20" t="s">
        <v>431</v>
      </c>
      <c r="K7" s="18" t="n">
        <v>2.94027417</v>
      </c>
      <c r="L7" s="20" t="n">
        <v>0.66459183</v>
      </c>
      <c r="M7" s="18" t="n">
        <v>0</v>
      </c>
      <c r="N7" s="20" t="n">
        <v>0</v>
      </c>
      <c r="O7" s="18" t="n">
        <v>0</v>
      </c>
      <c r="P7" s="20" t="n">
        <v>0</v>
      </c>
      <c r="Q7" s="18" t="n">
        <v>0</v>
      </c>
      <c r="R7" s="20" t="n">
        <v>0</v>
      </c>
    </row>
    <row r="8" spans="1:18">
      <c r="A8" s="15" t="s">
        <v>432</v>
      </c>
      <c r="B8" s="17" t="n">
        <v>3564</v>
      </c>
      <c r="C8" s="18">
        <f>(3151.0/B8*100)</f>
        <v/>
      </c>
      <c r="D8" s="19" t="n">
        <v>413</v>
      </c>
      <c r="E8" s="18" t="n">
        <v>44.60047195</v>
      </c>
      <c r="F8" s="20" t="n">
        <v>2.278854</v>
      </c>
      <c r="G8" s="18" t="n">
        <v>53.96267394</v>
      </c>
      <c r="H8" s="20" t="n">
        <v>2.33852123</v>
      </c>
      <c r="I8" s="18" t="s">
        <v>431</v>
      </c>
      <c r="J8" s="20" t="s">
        <v>431</v>
      </c>
      <c r="K8" s="18" t="n">
        <v>1.4368541</v>
      </c>
      <c r="L8" s="20" t="n">
        <v>0.65606156</v>
      </c>
      <c r="M8" s="18" t="n">
        <v>0</v>
      </c>
      <c r="N8" s="20" t="n">
        <v>0</v>
      </c>
      <c r="O8" s="18" t="n">
        <v>0</v>
      </c>
      <c r="P8" s="20" t="n">
        <v>0</v>
      </c>
      <c r="Q8" s="18" t="n">
        <v>0</v>
      </c>
      <c r="R8" s="20" t="n">
        <v>0</v>
      </c>
    </row>
    <row r="9" spans="1:18">
      <c r="A9" s="15" t="s">
        <v>433</v>
      </c>
      <c r="B9" s="17" t="n">
        <v>4899</v>
      </c>
      <c r="C9" s="18">
        <f>(4340.0/B9*100)</f>
        <v/>
      </c>
      <c r="D9" s="19" t="n">
        <v>559</v>
      </c>
      <c r="E9" s="18" t="n">
        <v>44.48593159</v>
      </c>
      <c r="F9" s="20" t="n">
        <v>2.10714269</v>
      </c>
      <c r="G9" s="18" t="n">
        <v>52.8424915</v>
      </c>
      <c r="H9" s="20" t="n">
        <v>2.14395054</v>
      </c>
      <c r="I9" s="18" t="s">
        <v>431</v>
      </c>
      <c r="J9" s="20" t="s">
        <v>431</v>
      </c>
      <c r="K9" s="18" t="n">
        <v>2.6715769</v>
      </c>
      <c r="L9" s="20" t="n">
        <v>0.77321029</v>
      </c>
      <c r="M9" s="18" t="n">
        <v>0</v>
      </c>
      <c r="N9" s="20" t="n">
        <v>0</v>
      </c>
      <c r="O9" s="18" t="n">
        <v>0</v>
      </c>
      <c r="P9" s="20" t="n">
        <v>0</v>
      </c>
      <c r="Q9" s="18" t="n">
        <v>0</v>
      </c>
      <c r="R9" s="20" t="n">
        <v>0</v>
      </c>
    </row>
    <row r="10" spans="1:18">
      <c r="A10" s="15" t="s">
        <v>434</v>
      </c>
      <c r="B10" s="17" t="n">
        <v>10036</v>
      </c>
      <c r="C10" s="18">
        <f>(8795.0/B10*100)</f>
        <v/>
      </c>
      <c r="D10" s="19" t="n">
        <v>1241</v>
      </c>
      <c r="E10" s="18" t="n">
        <v>40.84583176</v>
      </c>
      <c r="F10" s="20" t="n">
        <v>1.88208254</v>
      </c>
      <c r="G10" s="18" t="n">
        <v>57.48944454</v>
      </c>
      <c r="H10" s="20" t="n">
        <v>1.96925587</v>
      </c>
      <c r="I10" s="18" t="s">
        <v>431</v>
      </c>
      <c r="J10" s="20" t="s">
        <v>431</v>
      </c>
      <c r="K10" s="18" t="n">
        <v>1.6647237</v>
      </c>
      <c r="L10" s="20" t="n">
        <v>0.5119259</v>
      </c>
      <c r="M10" s="18" t="n">
        <v>0</v>
      </c>
      <c r="N10" s="20" t="n">
        <v>0</v>
      </c>
      <c r="O10" s="18" t="n">
        <v>0</v>
      </c>
      <c r="P10" s="20" t="n">
        <v>0</v>
      </c>
      <c r="Q10" s="18" t="n">
        <v>0</v>
      </c>
      <c r="R10" s="20" t="n">
        <v>0</v>
      </c>
    </row>
    <row r="11" spans="1:18">
      <c r="A11" s="15" t="s">
        <v>435</v>
      </c>
      <c r="B11" s="17" t="n">
        <v>3553</v>
      </c>
      <c r="C11" s="18">
        <f>(3146.0/B11*100)</f>
        <v/>
      </c>
      <c r="D11" s="19" t="n">
        <v>407</v>
      </c>
      <c r="E11" s="18" t="n">
        <v>46.35710988</v>
      </c>
      <c r="F11" s="20" t="n">
        <v>2.86926925</v>
      </c>
      <c r="G11" s="18" t="n">
        <v>48.65072182</v>
      </c>
      <c r="H11" s="20" t="n">
        <v>2.87200259</v>
      </c>
      <c r="I11" s="18" t="s">
        <v>431</v>
      </c>
      <c r="J11" s="20" t="s">
        <v>431</v>
      </c>
      <c r="K11" s="18" t="n">
        <v>4.99216831</v>
      </c>
      <c r="L11" s="20" t="n">
        <v>1.18421661</v>
      </c>
      <c r="M11" s="18" t="n">
        <v>0</v>
      </c>
      <c r="N11" s="20" t="n">
        <v>0</v>
      </c>
      <c r="O11" s="18" t="n">
        <v>0</v>
      </c>
      <c r="P11" s="20" t="n">
        <v>0</v>
      </c>
      <c r="Q11" s="18" t="n">
        <v>0</v>
      </c>
      <c r="R11" s="20" t="n">
        <v>0</v>
      </c>
    </row>
    <row r="12" spans="1:18">
      <c r="A12" s="15" t="s">
        <v>436</v>
      </c>
      <c r="B12" s="17" t="n">
        <v>3472</v>
      </c>
      <c r="C12" s="18">
        <f>(3067.0/B12*100)</f>
        <v/>
      </c>
      <c r="D12" s="19" t="n">
        <v>405</v>
      </c>
      <c r="E12" s="18" t="n">
        <v>46.11599605</v>
      </c>
      <c r="F12" s="20" t="n">
        <v>2.85458119</v>
      </c>
      <c r="G12" s="18" t="n">
        <v>51.96280494</v>
      </c>
      <c r="H12" s="20" t="n">
        <v>2.81109556</v>
      </c>
      <c r="I12" s="18" t="s">
        <v>431</v>
      </c>
      <c r="J12" s="20" t="s">
        <v>431</v>
      </c>
      <c r="K12" s="18" t="n">
        <v>1.92119901</v>
      </c>
      <c r="L12" s="20" t="n">
        <v>0.99721327</v>
      </c>
      <c r="M12" s="18" t="n">
        <v>0</v>
      </c>
      <c r="N12" s="20" t="n">
        <v>0</v>
      </c>
      <c r="O12" s="18" t="n">
        <v>0</v>
      </c>
      <c r="P12" s="20" t="n">
        <v>0</v>
      </c>
      <c r="Q12" s="18" t="n">
        <v>0</v>
      </c>
      <c r="R12" s="20" t="n">
        <v>0</v>
      </c>
    </row>
    <row r="13" spans="1:18">
      <c r="A13" s="15" t="s">
        <v>437</v>
      </c>
      <c r="B13" s="17" t="n">
        <v>3559</v>
      </c>
      <c r="C13" s="18">
        <f>(3157.0/B13*100)</f>
        <v/>
      </c>
      <c r="D13" s="19" t="n">
        <v>402</v>
      </c>
      <c r="E13" s="18" t="n">
        <v>44.07818525</v>
      </c>
      <c r="F13" s="20" t="n">
        <v>2.5770988</v>
      </c>
      <c r="G13" s="18" t="n">
        <v>55.02885129</v>
      </c>
      <c r="H13" s="20" t="n">
        <v>2.58964715</v>
      </c>
      <c r="I13" s="18" t="s">
        <v>431</v>
      </c>
      <c r="J13" s="20" t="s">
        <v>431</v>
      </c>
      <c r="K13" s="18" t="n">
        <v>0.89296346</v>
      </c>
      <c r="L13" s="20" t="n">
        <v>0.5644460100000001</v>
      </c>
      <c r="M13" s="18" t="n">
        <v>0</v>
      </c>
      <c r="N13" s="20" t="n">
        <v>0</v>
      </c>
      <c r="O13" s="18" t="n">
        <v>0</v>
      </c>
      <c r="P13" s="20" t="n">
        <v>0</v>
      </c>
      <c r="Q13" s="18" t="n">
        <v>0</v>
      </c>
      <c r="R13" s="20" t="n">
        <v>0</v>
      </c>
    </row>
    <row r="14" spans="1:18">
      <c r="A14" s="15" t="s">
        <v>438</v>
      </c>
      <c r="B14" s="17" t="n">
        <v>2799</v>
      </c>
      <c r="C14" s="18">
        <f>(2457.0/B14*100)</f>
        <v/>
      </c>
      <c r="D14" s="19" t="n">
        <v>342</v>
      </c>
      <c r="E14" s="18" t="n">
        <v>56.67850408</v>
      </c>
      <c r="F14" s="20" t="n">
        <v>2.85556915</v>
      </c>
      <c r="G14" s="18" t="n">
        <v>43.00332122</v>
      </c>
      <c r="H14" s="20" t="n">
        <v>2.85058994</v>
      </c>
      <c r="I14" s="18" t="s">
        <v>431</v>
      </c>
      <c r="J14" s="20" t="s">
        <v>431</v>
      </c>
      <c r="K14" s="18" t="n">
        <v>0.3181747</v>
      </c>
      <c r="L14" s="20" t="n">
        <v>0.31847711</v>
      </c>
      <c r="M14" s="18" t="n">
        <v>0</v>
      </c>
      <c r="N14" s="20" t="n">
        <v>0</v>
      </c>
      <c r="O14" s="18" t="n">
        <v>0</v>
      </c>
      <c r="P14" s="20" t="n">
        <v>0</v>
      </c>
      <c r="Q14" s="18" t="n">
        <v>0</v>
      </c>
      <c r="R14" s="20" t="n">
        <v>0</v>
      </c>
    </row>
    <row r="15" spans="1:18">
      <c r="A15" s="15" t="s">
        <v>439</v>
      </c>
      <c r="B15" s="17" t="n">
        <v>3019</v>
      </c>
      <c r="C15" s="18">
        <f>(2654.0/B15*100)</f>
        <v/>
      </c>
      <c r="D15" s="19" t="n">
        <v>365</v>
      </c>
      <c r="E15" s="18" t="n">
        <v>64.14696432</v>
      </c>
      <c r="F15" s="20" t="n">
        <v>2.53995915</v>
      </c>
      <c r="G15" s="18" t="n">
        <v>35.23362069</v>
      </c>
      <c r="H15" s="20" t="n">
        <v>2.50752144</v>
      </c>
      <c r="I15" s="18" t="s">
        <v>431</v>
      </c>
      <c r="J15" s="20" t="s">
        <v>431</v>
      </c>
      <c r="K15" s="18" t="n">
        <v>0.6194149799999999</v>
      </c>
      <c r="L15" s="20" t="n">
        <v>0.4541589</v>
      </c>
      <c r="M15" s="18" t="n">
        <v>0</v>
      </c>
      <c r="N15" s="20" t="n">
        <v>0</v>
      </c>
      <c r="O15" s="18" t="n">
        <v>0</v>
      </c>
      <c r="P15" s="20" t="n">
        <v>0</v>
      </c>
      <c r="Q15" s="18" t="n">
        <v>0</v>
      </c>
      <c r="R15" s="20" t="n">
        <v>0</v>
      </c>
    </row>
    <row r="16" spans="1:18">
      <c r="A16" s="15" t="s">
        <v>440</v>
      </c>
      <c r="B16" s="17" t="n">
        <v>2997</v>
      </c>
      <c r="C16" s="18">
        <f>(2650.0/B16*100)</f>
        <v/>
      </c>
      <c r="D16" s="19" t="n">
        <v>347</v>
      </c>
      <c r="E16" s="18" t="n">
        <v>39.6201949</v>
      </c>
      <c r="F16" s="20" t="n">
        <v>2.72936299</v>
      </c>
      <c r="G16" s="18" t="n">
        <v>58.64693252</v>
      </c>
      <c r="H16" s="20" t="n">
        <v>2.73121907</v>
      </c>
      <c r="I16" s="18" t="s">
        <v>431</v>
      </c>
      <c r="J16" s="20" t="s">
        <v>431</v>
      </c>
      <c r="K16" s="18" t="n">
        <v>1.73287259</v>
      </c>
      <c r="L16" s="20" t="n">
        <v>0.7111284</v>
      </c>
      <c r="M16" s="18" t="n">
        <v>0</v>
      </c>
      <c r="N16" s="20" t="n">
        <v>0</v>
      </c>
      <c r="O16" s="18" t="n">
        <v>0</v>
      </c>
      <c r="P16" s="20" t="n">
        <v>0</v>
      </c>
      <c r="Q16" s="18" t="n">
        <v>0</v>
      </c>
      <c r="R16" s="20" t="n">
        <v>0</v>
      </c>
    </row>
    <row r="17" spans="1:18">
      <c r="A17" s="15" t="s">
        <v>441</v>
      </c>
      <c r="B17" s="17" t="n">
        <v>3307</v>
      </c>
      <c r="C17" s="18">
        <f>(2926.0/B17*100)</f>
        <v/>
      </c>
      <c r="D17" s="19" t="n">
        <v>381</v>
      </c>
      <c r="E17" s="18" t="n">
        <v>28.88543116</v>
      </c>
      <c r="F17" s="20" t="n">
        <v>2.22795523</v>
      </c>
      <c r="G17" s="18" t="n">
        <v>67.53672491</v>
      </c>
      <c r="H17" s="20" t="n">
        <v>2.36334331</v>
      </c>
      <c r="I17" s="18" t="s">
        <v>431</v>
      </c>
      <c r="J17" s="20" t="s">
        <v>431</v>
      </c>
      <c r="K17" s="18" t="n">
        <v>3.57784392</v>
      </c>
      <c r="L17" s="20" t="n">
        <v>0.8931726</v>
      </c>
      <c r="M17" s="18" t="n">
        <v>0</v>
      </c>
      <c r="N17" s="20" t="n">
        <v>0</v>
      </c>
      <c r="O17" s="18" t="n">
        <v>0</v>
      </c>
      <c r="P17" s="20" t="n">
        <v>0</v>
      </c>
      <c r="Q17" s="18" t="n">
        <v>0</v>
      </c>
      <c r="R17" s="20" t="n">
        <v>0</v>
      </c>
    </row>
    <row r="18" spans="1:18">
      <c r="A18" s="15" t="s">
        <v>442</v>
      </c>
      <c r="B18" s="17" t="n">
        <v>2826</v>
      </c>
      <c r="C18" s="18">
        <f>(2492.0/B18*100)</f>
        <v/>
      </c>
      <c r="D18" s="19" t="n">
        <v>334</v>
      </c>
      <c r="E18" s="18" t="n">
        <v>41.0336893</v>
      </c>
      <c r="F18" s="20" t="n">
        <v>2.83921133</v>
      </c>
      <c r="G18" s="18" t="n">
        <v>55.87093038</v>
      </c>
      <c r="H18" s="20" t="n">
        <v>2.48719134</v>
      </c>
      <c r="I18" s="18" t="s">
        <v>431</v>
      </c>
      <c r="J18" s="20" t="s">
        <v>431</v>
      </c>
      <c r="K18" s="18" t="n">
        <v>3.09538032</v>
      </c>
      <c r="L18" s="20" t="n">
        <v>1.13897121</v>
      </c>
      <c r="M18" s="18" t="n">
        <v>0</v>
      </c>
      <c r="N18" s="20" t="n">
        <v>0</v>
      </c>
      <c r="O18" s="18" t="n">
        <v>0</v>
      </c>
      <c r="P18" s="20" t="n">
        <v>0</v>
      </c>
      <c r="Q18" s="18" t="n">
        <v>0</v>
      </c>
      <c r="R18" s="20" t="n">
        <v>0</v>
      </c>
    </row>
    <row r="19" spans="1:18">
      <c r="A19" s="15" t="s">
        <v>443</v>
      </c>
      <c r="B19" s="17" t="n">
        <v>2808</v>
      </c>
      <c r="C19" s="18">
        <f>(2482.0/B19*100)</f>
        <v/>
      </c>
      <c r="D19" s="19" t="n">
        <v>326</v>
      </c>
      <c r="E19" s="18" t="n">
        <v>37.17040009</v>
      </c>
      <c r="F19" s="20" t="n">
        <v>3.01891289</v>
      </c>
      <c r="G19" s="18" t="n">
        <v>60.83074077</v>
      </c>
      <c r="H19" s="20" t="n">
        <v>3.16369841</v>
      </c>
      <c r="I19" s="18" t="s">
        <v>431</v>
      </c>
      <c r="J19" s="20" t="s">
        <v>431</v>
      </c>
      <c r="K19" s="18" t="n">
        <v>1.99885914</v>
      </c>
      <c r="L19" s="20" t="n">
        <v>0.80561107</v>
      </c>
      <c r="M19" s="18" t="n">
        <v>0</v>
      </c>
      <c r="N19" s="20" t="n">
        <v>0</v>
      </c>
      <c r="O19" s="18" t="n">
        <v>0</v>
      </c>
      <c r="P19" s="20" t="n">
        <v>0</v>
      </c>
      <c r="Q19" s="18" t="n">
        <v>0</v>
      </c>
      <c r="R19" s="20" t="n">
        <v>0</v>
      </c>
    </row>
    <row r="20" spans="1:18">
      <c r="A20" s="15" t="s">
        <v>444</v>
      </c>
      <c r="B20" s="17" t="n">
        <v>1630</v>
      </c>
      <c r="C20" s="18">
        <f>(1446.0/B20*100)</f>
        <v/>
      </c>
      <c r="D20" s="19" t="n">
        <v>184</v>
      </c>
      <c r="E20" s="18" t="n">
        <v>49.84325432</v>
      </c>
      <c r="F20" s="20" t="n">
        <v>3.62539581</v>
      </c>
      <c r="G20" s="18" t="n">
        <v>47.55041849</v>
      </c>
      <c r="H20" s="20" t="n">
        <v>3.61336456</v>
      </c>
      <c r="I20" s="18" t="s">
        <v>431</v>
      </c>
      <c r="J20" s="20" t="s">
        <v>431</v>
      </c>
      <c r="K20" s="18" t="n">
        <v>2.60632719</v>
      </c>
      <c r="L20" s="20" t="n">
        <v>1.12377907</v>
      </c>
      <c r="M20" s="18" t="n">
        <v>0</v>
      </c>
      <c r="N20" s="20" t="n">
        <v>0</v>
      </c>
      <c r="O20" s="18" t="n">
        <v>0</v>
      </c>
      <c r="P20" s="20" t="n">
        <v>0</v>
      </c>
      <c r="Q20" s="18" t="n">
        <v>0</v>
      </c>
      <c r="R20" s="20" t="n">
        <v>0</v>
      </c>
    </row>
    <row r="21" spans="1:18">
      <c r="A21" s="15" t="s">
        <v>445</v>
      </c>
      <c r="B21" s="17" t="n">
        <v>2908</v>
      </c>
      <c r="C21" s="18">
        <f>(2438.0/B21*100)</f>
        <v/>
      </c>
      <c r="D21" s="19" t="n">
        <v>470</v>
      </c>
      <c r="E21" s="18" t="n">
        <v>46.91558841</v>
      </c>
      <c r="F21" s="20" t="n">
        <v>2.61159594</v>
      </c>
      <c r="G21" s="18" t="n">
        <v>50.53235074</v>
      </c>
      <c r="H21" s="20" t="n">
        <v>2.57104832</v>
      </c>
      <c r="I21" s="18" t="s">
        <v>431</v>
      </c>
      <c r="J21" s="20" t="s">
        <v>431</v>
      </c>
      <c r="K21" s="18" t="n">
        <v>2.55206085</v>
      </c>
      <c r="L21" s="20" t="n">
        <v>0.7440347</v>
      </c>
      <c r="M21" s="18" t="n">
        <v>0</v>
      </c>
      <c r="N21" s="20" t="n">
        <v>0</v>
      </c>
      <c r="O21" s="18" t="n">
        <v>0</v>
      </c>
      <c r="P21" s="20" t="n">
        <v>0</v>
      </c>
      <c r="Q21" s="18" t="n">
        <v>0</v>
      </c>
      <c r="R21" s="20" t="n">
        <v>0</v>
      </c>
    </row>
    <row r="22" spans="1:18">
      <c r="A22" s="15" t="s">
        <v>446</v>
      </c>
      <c r="B22" s="17" t="n">
        <v>2931</v>
      </c>
      <c r="C22" s="18">
        <f>(2609.0/B22*100)</f>
        <v/>
      </c>
      <c r="D22" s="19" t="n">
        <v>322</v>
      </c>
      <c r="E22" s="18" t="n">
        <v>42.08689609</v>
      </c>
      <c r="F22" s="20" t="n">
        <v>2.76598017</v>
      </c>
      <c r="G22" s="18" t="n">
        <v>55.50041203</v>
      </c>
      <c r="H22" s="20" t="n">
        <v>2.81482717</v>
      </c>
      <c r="I22" s="18" t="s">
        <v>431</v>
      </c>
      <c r="J22" s="20" t="s">
        <v>431</v>
      </c>
      <c r="K22" s="18" t="n">
        <v>2.41269188</v>
      </c>
      <c r="L22" s="20" t="n">
        <v>0.9496247</v>
      </c>
      <c r="M22" s="18" t="n">
        <v>0</v>
      </c>
      <c r="N22" s="20" t="n">
        <v>0</v>
      </c>
      <c r="O22" s="18" t="n">
        <v>0</v>
      </c>
      <c r="P22" s="20" t="n">
        <v>0</v>
      </c>
      <c r="Q22" s="18" t="n">
        <v>0</v>
      </c>
      <c r="R22" s="20" t="n">
        <v>0</v>
      </c>
    </row>
    <row r="23" spans="1:18">
      <c r="A23" s="15" t="s">
        <v>447</v>
      </c>
      <c r="B23" s="17" t="n">
        <v>5791</v>
      </c>
      <c r="C23" s="18">
        <f>(5063.0/B23*100)</f>
        <v/>
      </c>
      <c r="D23" s="19" t="n">
        <v>728</v>
      </c>
      <c r="E23" s="18" t="n">
        <v>33.95600189</v>
      </c>
      <c r="F23" s="20" t="n">
        <v>2.77401791</v>
      </c>
      <c r="G23" s="18" t="n">
        <v>64.07498744999999</v>
      </c>
      <c r="H23" s="20" t="n">
        <v>2.86461301</v>
      </c>
      <c r="I23" s="18" t="s">
        <v>431</v>
      </c>
      <c r="J23" s="20" t="s">
        <v>431</v>
      </c>
      <c r="K23" s="18" t="n">
        <v>1.96901066</v>
      </c>
      <c r="L23" s="20" t="n">
        <v>0.52709306</v>
      </c>
      <c r="M23" s="18" t="n">
        <v>0</v>
      </c>
      <c r="N23" s="20" t="n">
        <v>0</v>
      </c>
      <c r="O23" s="18" t="n">
        <v>0</v>
      </c>
      <c r="P23" s="20" t="n">
        <v>0</v>
      </c>
      <c r="Q23" s="18" t="n">
        <v>0</v>
      </c>
      <c r="R23" s="20" t="n">
        <v>0</v>
      </c>
    </row>
    <row r="24" spans="1:18">
      <c r="A24" s="15" t="s">
        <v>448</v>
      </c>
      <c r="B24" s="17" t="n">
        <v>3338</v>
      </c>
      <c r="C24" s="18">
        <f>(2958.0/B24*100)</f>
        <v/>
      </c>
      <c r="D24" s="19" t="n">
        <v>380</v>
      </c>
      <c r="E24" s="18" t="n">
        <v>35.15144743</v>
      </c>
      <c r="F24" s="20" t="n">
        <v>2.98956595</v>
      </c>
      <c r="G24" s="18" t="n">
        <v>62.62832975</v>
      </c>
      <c r="H24" s="20" t="n">
        <v>3.0146555</v>
      </c>
      <c r="I24" s="18" t="s">
        <v>431</v>
      </c>
      <c r="J24" s="20" t="s">
        <v>431</v>
      </c>
      <c r="K24" s="18" t="n">
        <v>2.22022282</v>
      </c>
      <c r="L24" s="20" t="n">
        <v>0.71617418</v>
      </c>
      <c r="M24" s="18" t="n">
        <v>0</v>
      </c>
      <c r="N24" s="20" t="n">
        <v>0</v>
      </c>
      <c r="O24" s="18" t="n">
        <v>0</v>
      </c>
      <c r="P24" s="20" t="n">
        <v>0</v>
      </c>
      <c r="Q24" s="18" t="n">
        <v>0</v>
      </c>
      <c r="R24" s="20" t="n">
        <v>0</v>
      </c>
    </row>
    <row r="25" spans="1:18">
      <c r="A25" s="15" t="s">
        <v>449</v>
      </c>
      <c r="B25" s="17" t="n">
        <v>2912</v>
      </c>
      <c r="C25" s="18">
        <f>(2569.0/B25*100)</f>
        <v/>
      </c>
      <c r="D25" s="19" t="n">
        <v>343</v>
      </c>
      <c r="E25" s="18" t="n">
        <v>30.54337461</v>
      </c>
      <c r="F25" s="20" t="n">
        <v>2.47907293</v>
      </c>
      <c r="G25" s="18" t="n">
        <v>68.31261006</v>
      </c>
      <c r="H25" s="20" t="n">
        <v>2.45768478</v>
      </c>
      <c r="I25" s="18" t="s">
        <v>431</v>
      </c>
      <c r="J25" s="20" t="s">
        <v>431</v>
      </c>
      <c r="K25" s="18" t="n">
        <v>1.14401532</v>
      </c>
      <c r="L25" s="20" t="n">
        <v>0.58414621</v>
      </c>
      <c r="M25" s="18" t="n">
        <v>0</v>
      </c>
      <c r="N25" s="20" t="n">
        <v>0</v>
      </c>
      <c r="O25" s="18" t="n">
        <v>0</v>
      </c>
      <c r="P25" s="20" t="n">
        <v>0</v>
      </c>
      <c r="Q25" s="18" t="n">
        <v>0</v>
      </c>
      <c r="R25" s="20" t="n">
        <v>0</v>
      </c>
    </row>
    <row r="26" spans="1:18">
      <c r="A26" s="15" t="s">
        <v>450</v>
      </c>
      <c r="B26" s="17" t="n">
        <v>2450</v>
      </c>
      <c r="C26" s="18">
        <f>(2143.0/B26*100)</f>
        <v/>
      </c>
      <c r="D26" s="19" t="n">
        <v>307</v>
      </c>
      <c r="E26" s="18" t="n">
        <v>61.5553259</v>
      </c>
      <c r="F26" s="20" t="n">
        <v>3.08125693</v>
      </c>
      <c r="G26" s="18" t="n">
        <v>37.76375431</v>
      </c>
      <c r="H26" s="20" t="n">
        <v>3.02455761</v>
      </c>
      <c r="I26" s="18" t="s">
        <v>431</v>
      </c>
      <c r="J26" s="20" t="s">
        <v>431</v>
      </c>
      <c r="K26" s="18" t="n">
        <v>0.68091978</v>
      </c>
      <c r="L26" s="20" t="n">
        <v>0.48036512</v>
      </c>
      <c r="M26" s="18" t="n">
        <v>0</v>
      </c>
      <c r="N26" s="20" t="n">
        <v>0</v>
      </c>
      <c r="O26" s="18" t="n">
        <v>0</v>
      </c>
      <c r="P26" s="20" t="n">
        <v>0</v>
      </c>
      <c r="Q26" s="18" t="n">
        <v>0</v>
      </c>
      <c r="R26" s="20" t="n">
        <v>0</v>
      </c>
    </row>
    <row r="27" spans="1:18">
      <c r="A27" s="15" t="s">
        <v>451</v>
      </c>
      <c r="B27" s="17" t="n">
        <v>2616</v>
      </c>
      <c r="C27" s="18">
        <f>(2310.0/B27*100)</f>
        <v/>
      </c>
      <c r="D27" s="19" t="n">
        <v>306</v>
      </c>
      <c r="E27" s="18" t="n">
        <v>44.86354626</v>
      </c>
      <c r="F27" s="20" t="n">
        <v>2.43581657</v>
      </c>
      <c r="G27" s="18" t="n">
        <v>52.44211328</v>
      </c>
      <c r="H27" s="20" t="n">
        <v>2.65760571</v>
      </c>
      <c r="I27" s="18" t="s">
        <v>431</v>
      </c>
      <c r="J27" s="20" t="s">
        <v>431</v>
      </c>
      <c r="K27" s="18" t="n">
        <v>2.69434046</v>
      </c>
      <c r="L27" s="20" t="n">
        <v>0.93130709</v>
      </c>
      <c r="M27" s="18" t="n">
        <v>0</v>
      </c>
      <c r="N27" s="20" t="n">
        <v>0</v>
      </c>
      <c r="O27" s="18" t="n">
        <v>0</v>
      </c>
      <c r="P27" s="20" t="n">
        <v>0</v>
      </c>
      <c r="Q27" s="18" t="n">
        <v>0</v>
      </c>
      <c r="R27" s="20" t="n">
        <v>0</v>
      </c>
    </row>
    <row r="28" spans="1:18">
      <c r="A28" s="15" t="s">
        <v>452</v>
      </c>
      <c r="B28" s="17" t="n">
        <v>3765</v>
      </c>
      <c r="C28" s="18">
        <f>(3336.0/B28*100)</f>
        <v/>
      </c>
      <c r="D28" s="19" t="n">
        <v>429</v>
      </c>
      <c r="E28" s="18" t="n">
        <v>55.93509483</v>
      </c>
      <c r="F28" s="20" t="n">
        <v>3.08584393</v>
      </c>
      <c r="G28" s="18" t="n">
        <v>41.57139375</v>
      </c>
      <c r="H28" s="20" t="n">
        <v>3.02233904</v>
      </c>
      <c r="I28" s="18" t="s">
        <v>431</v>
      </c>
      <c r="J28" s="20" t="s">
        <v>431</v>
      </c>
      <c r="K28" s="18" t="n">
        <v>2.49351142</v>
      </c>
      <c r="L28" s="20" t="n">
        <v>0.83474668</v>
      </c>
      <c r="M28" s="18" t="n">
        <v>0</v>
      </c>
      <c r="N28" s="20" t="n">
        <v>0</v>
      </c>
      <c r="O28" s="18" t="n">
        <v>0</v>
      </c>
      <c r="P28" s="20" t="n">
        <v>0</v>
      </c>
      <c r="Q28" s="18" t="n">
        <v>0</v>
      </c>
      <c r="R28" s="20" t="n">
        <v>0</v>
      </c>
    </row>
    <row r="29" spans="1:18">
      <c r="A29" s="15" t="s">
        <v>453</v>
      </c>
      <c r="B29" s="17" t="n">
        <v>2685</v>
      </c>
      <c r="C29" s="18">
        <f>(2346.0/B29*100)</f>
        <v/>
      </c>
      <c r="D29" s="19" t="n">
        <v>339</v>
      </c>
      <c r="E29" s="18" t="n">
        <v>40.56702818</v>
      </c>
      <c r="F29" s="20" t="n">
        <v>2.53651412</v>
      </c>
      <c r="G29" s="18" t="n">
        <v>58.86097201</v>
      </c>
      <c r="H29" s="20" t="n">
        <v>2.54624963</v>
      </c>
      <c r="I29" s="18" t="s">
        <v>431</v>
      </c>
      <c r="J29" s="20" t="s">
        <v>431</v>
      </c>
      <c r="K29" s="18" t="n">
        <v>0.57199981</v>
      </c>
      <c r="L29" s="20" t="n">
        <v>0.50952615</v>
      </c>
      <c r="M29" s="18" t="n">
        <v>0</v>
      </c>
      <c r="N29" s="20" t="n">
        <v>0</v>
      </c>
      <c r="O29" s="18" t="n">
        <v>0</v>
      </c>
      <c r="P29" s="20" t="n">
        <v>0</v>
      </c>
      <c r="Q29" s="18" t="n">
        <v>0</v>
      </c>
      <c r="R29" s="20" t="n">
        <v>0</v>
      </c>
    </row>
    <row r="30" spans="1:18">
      <c r="A30" s="15" t="s">
        <v>454</v>
      </c>
      <c r="B30" s="17" t="n">
        <v>2263</v>
      </c>
      <c r="C30" s="18">
        <f>(1983.0/B30*100)</f>
        <v/>
      </c>
      <c r="D30" s="19" t="n">
        <v>280</v>
      </c>
      <c r="E30" s="18" t="n">
        <v>47.00101878</v>
      </c>
      <c r="F30" s="20" t="n">
        <v>2.72541191</v>
      </c>
      <c r="G30" s="18" t="n">
        <v>50.12362072</v>
      </c>
      <c r="H30" s="20" t="n">
        <v>2.57583306</v>
      </c>
      <c r="I30" s="18" t="s">
        <v>431</v>
      </c>
      <c r="J30" s="20" t="s">
        <v>431</v>
      </c>
      <c r="K30" s="18" t="n">
        <v>2.87536049</v>
      </c>
      <c r="L30" s="20" t="n">
        <v>0.96889609</v>
      </c>
      <c r="M30" s="18" t="n">
        <v>0</v>
      </c>
      <c r="N30" s="20" t="n">
        <v>0</v>
      </c>
      <c r="O30" s="18" t="n">
        <v>0</v>
      </c>
      <c r="P30" s="20" t="n">
        <v>0</v>
      </c>
      <c r="Q30" s="18" t="n">
        <v>0</v>
      </c>
      <c r="R30" s="20" t="n">
        <v>0</v>
      </c>
    </row>
    <row r="31" spans="1:18">
      <c r="A31" s="15" t="s">
        <v>455</v>
      </c>
      <c r="B31" s="17" t="n">
        <v>2750</v>
      </c>
      <c r="C31" s="18">
        <f>(2423.0/B31*100)</f>
        <v/>
      </c>
      <c r="D31" s="19" t="n">
        <v>327</v>
      </c>
      <c r="E31" s="18" t="n">
        <v>54.73651192</v>
      </c>
      <c r="F31" s="20" t="n">
        <v>3.03901931</v>
      </c>
      <c r="G31" s="18" t="n">
        <v>41.99380618</v>
      </c>
      <c r="H31" s="20" t="n">
        <v>2.92622371</v>
      </c>
      <c r="I31" s="18" t="s">
        <v>431</v>
      </c>
      <c r="J31" s="20" t="s">
        <v>431</v>
      </c>
      <c r="K31" s="18" t="n">
        <v>3.2696819</v>
      </c>
      <c r="L31" s="20" t="n">
        <v>1.10171155</v>
      </c>
      <c r="M31" s="18" t="n">
        <v>0</v>
      </c>
      <c r="N31" s="20" t="n">
        <v>0</v>
      </c>
      <c r="O31" s="18" t="n">
        <v>0</v>
      </c>
      <c r="P31" s="20" t="n">
        <v>0</v>
      </c>
      <c r="Q31" s="18" t="n">
        <v>0</v>
      </c>
      <c r="R31" s="20" t="n">
        <v>0</v>
      </c>
    </row>
    <row r="32" spans="1:18">
      <c r="A32" s="15" t="s">
        <v>456</v>
      </c>
      <c r="B32" s="17" t="n">
        <v>2269</v>
      </c>
      <c r="C32" s="18">
        <f>(1922.0/B32*100)</f>
        <v/>
      </c>
      <c r="D32" s="19" t="n">
        <v>347</v>
      </c>
      <c r="E32" s="18" t="n">
        <v>55.6919597</v>
      </c>
      <c r="F32" s="20" t="n">
        <v>3.10699013</v>
      </c>
      <c r="G32" s="18" t="n">
        <v>44.3080403</v>
      </c>
      <c r="H32" s="20" t="n">
        <v>3.10699013</v>
      </c>
      <c r="I32" s="18" t="s">
        <v>431</v>
      </c>
      <c r="J32" s="20" t="s">
        <v>431</v>
      </c>
      <c r="K32" s="18" t="n">
        <v>0</v>
      </c>
      <c r="L32" s="20" t="n">
        <v>0</v>
      </c>
      <c r="M32" s="18" t="n">
        <v>0</v>
      </c>
      <c r="N32" s="20" t="n">
        <v>0</v>
      </c>
      <c r="O32" s="18" t="n">
        <v>0</v>
      </c>
      <c r="P32" s="20" t="n">
        <v>0</v>
      </c>
      <c r="Q32" s="18" t="n">
        <v>0</v>
      </c>
      <c r="R32" s="20" t="n">
        <v>0</v>
      </c>
    </row>
    <row r="33" spans="1:18">
      <c r="A33" s="15" t="s">
        <v>457</v>
      </c>
      <c r="B33" s="17" t="n">
        <v>3674</v>
      </c>
      <c r="C33" s="18">
        <f>(3249.0/B33*100)</f>
        <v/>
      </c>
      <c r="D33" s="19" t="n">
        <v>425</v>
      </c>
      <c r="E33" s="18" t="n">
        <v>43.644831</v>
      </c>
      <c r="F33" s="20" t="n">
        <v>3.00376523</v>
      </c>
      <c r="G33" s="18" t="n">
        <v>55.73455889</v>
      </c>
      <c r="H33" s="20" t="n">
        <v>2.9718008</v>
      </c>
      <c r="I33" s="18" t="s">
        <v>431</v>
      </c>
      <c r="J33" s="20" t="s">
        <v>431</v>
      </c>
      <c r="K33" s="18" t="n">
        <v>0.62061011</v>
      </c>
      <c r="L33" s="20" t="n">
        <v>0.40419394</v>
      </c>
      <c r="M33" s="18" t="n">
        <v>0</v>
      </c>
      <c r="N33" s="20" t="n">
        <v>0</v>
      </c>
      <c r="O33" s="18" t="n">
        <v>0</v>
      </c>
      <c r="P33" s="20" t="n">
        <v>0</v>
      </c>
      <c r="Q33" s="18" t="n">
        <v>0</v>
      </c>
      <c r="R33" s="20" t="n">
        <v>0</v>
      </c>
    </row>
    <row r="34" spans="1:18">
      <c r="A34" s="15" t="s">
        <v>458</v>
      </c>
      <c r="B34" s="17" t="n">
        <v>3315</v>
      </c>
      <c r="C34" s="18">
        <f>(2934.0/B34*100)</f>
        <v/>
      </c>
      <c r="D34" s="19" t="n">
        <v>381</v>
      </c>
      <c r="E34" s="18" t="n">
        <v>46.08037617</v>
      </c>
      <c r="F34" s="20" t="n">
        <v>2.81153267</v>
      </c>
      <c r="G34" s="18" t="n">
        <v>51.66867079</v>
      </c>
      <c r="H34" s="20" t="n">
        <v>2.83710219</v>
      </c>
      <c r="I34" s="18" t="s">
        <v>431</v>
      </c>
      <c r="J34" s="20" t="s">
        <v>431</v>
      </c>
      <c r="K34" s="18" t="n">
        <v>2.25095304</v>
      </c>
      <c r="L34" s="20" t="n">
        <v>0.85079863</v>
      </c>
      <c r="M34" s="18" t="n">
        <v>0</v>
      </c>
      <c r="N34" s="20" t="n">
        <v>0</v>
      </c>
      <c r="O34" s="18" t="n">
        <v>0</v>
      </c>
      <c r="P34" s="20" t="n">
        <v>0</v>
      </c>
      <c r="Q34" s="18" t="n">
        <v>0</v>
      </c>
      <c r="R34" s="20" t="n">
        <v>0</v>
      </c>
    </row>
    <row r="35" spans="1:18">
      <c r="A35" s="15" t="s">
        <v>459</v>
      </c>
      <c r="B35" s="17" t="n">
        <v>3505</v>
      </c>
      <c r="C35" s="18">
        <f>(3101.0/B35*100)</f>
        <v/>
      </c>
      <c r="D35" s="19" t="n">
        <v>404</v>
      </c>
      <c r="E35" s="18" t="n">
        <v>52.52135482</v>
      </c>
      <c r="F35" s="20" t="n">
        <v>3.11078086</v>
      </c>
      <c r="G35" s="18" t="n">
        <v>45.89974691</v>
      </c>
      <c r="H35" s="20" t="n">
        <v>3.08695032</v>
      </c>
      <c r="I35" s="18" t="s">
        <v>431</v>
      </c>
      <c r="J35" s="20" t="s">
        <v>431</v>
      </c>
      <c r="K35" s="18" t="n">
        <v>1.57889827</v>
      </c>
      <c r="L35" s="20" t="n">
        <v>0.77664955</v>
      </c>
      <c r="M35" s="18" t="n">
        <v>0</v>
      </c>
      <c r="N35" s="20" t="n">
        <v>0</v>
      </c>
      <c r="O35" s="18" t="n">
        <v>0</v>
      </c>
      <c r="P35" s="20" t="n">
        <v>0</v>
      </c>
      <c r="Q35" s="18" t="n">
        <v>0</v>
      </c>
      <c r="R35" s="20" t="n">
        <v>0</v>
      </c>
    </row>
    <row r="36" spans="1:18">
      <c r="A36" s="15" t="s">
        <v>460</v>
      </c>
      <c r="B36" s="17" t="n">
        <v>3332</v>
      </c>
      <c r="C36" s="18">
        <f>(2951.0/B36*100)</f>
        <v/>
      </c>
      <c r="D36" s="19" t="n">
        <v>381</v>
      </c>
      <c r="E36" s="18" t="n">
        <v>38.27033785</v>
      </c>
      <c r="F36" s="20" t="n">
        <v>2.46707514</v>
      </c>
      <c r="G36" s="18" t="n">
        <v>58.25602392</v>
      </c>
      <c r="H36" s="20" t="n">
        <v>2.42183276</v>
      </c>
      <c r="I36" s="18" t="s">
        <v>431</v>
      </c>
      <c r="J36" s="20" t="s">
        <v>431</v>
      </c>
      <c r="K36" s="18" t="n">
        <v>3.47363824</v>
      </c>
      <c r="L36" s="20" t="n">
        <v>0.8602036</v>
      </c>
      <c r="M36" s="18" t="n">
        <v>0</v>
      </c>
      <c r="N36" s="20" t="n">
        <v>0</v>
      </c>
      <c r="O36" s="18" t="n">
        <v>0</v>
      </c>
      <c r="P36" s="20" t="n">
        <v>0</v>
      </c>
      <c r="Q36" s="18" t="n">
        <v>0</v>
      </c>
      <c r="R36" s="20" t="n">
        <v>0</v>
      </c>
    </row>
    <row r="37" spans="1:18">
      <c r="A37" s="15" t="s">
        <v>461</v>
      </c>
      <c r="B37" s="17" t="n">
        <v>2727</v>
      </c>
      <c r="C37" s="18">
        <f>(2392.0/B37*100)</f>
        <v/>
      </c>
      <c r="D37" s="19" t="n">
        <v>335</v>
      </c>
      <c r="E37" s="18" t="n">
        <v>52.49047084</v>
      </c>
      <c r="F37" s="20" t="n">
        <v>2.66730803</v>
      </c>
      <c r="G37" s="18" t="n">
        <v>43.25705424</v>
      </c>
      <c r="H37" s="20" t="n">
        <v>2.54240711</v>
      </c>
      <c r="I37" s="18" t="s">
        <v>431</v>
      </c>
      <c r="J37" s="20" t="s">
        <v>431</v>
      </c>
      <c r="K37" s="18" t="n">
        <v>4.25247492</v>
      </c>
      <c r="L37" s="20" t="n">
        <v>1.17670354</v>
      </c>
      <c r="M37" s="18" t="n">
        <v>0</v>
      </c>
      <c r="N37" s="20" t="n">
        <v>0</v>
      </c>
      <c r="O37" s="18" t="n">
        <v>0</v>
      </c>
      <c r="P37" s="20" t="n">
        <v>0</v>
      </c>
      <c r="Q37" s="18" t="n">
        <v>0</v>
      </c>
      <c r="R37" s="20" t="n">
        <v>0</v>
      </c>
    </row>
    <row r="38" spans="1:18">
      <c r="A38" s="15" t="s">
        <v>462</v>
      </c>
      <c r="B38" s="17" t="n">
        <v>3053</v>
      </c>
      <c r="C38" s="18">
        <f>(2581.0/B38*100)</f>
        <v/>
      </c>
      <c r="D38" s="19" t="n">
        <v>472</v>
      </c>
      <c r="E38" s="18" t="n">
        <v>38.41165164</v>
      </c>
      <c r="F38" s="20" t="n">
        <v>2.56367819</v>
      </c>
      <c r="G38" s="18" t="n">
        <v>58.12106778</v>
      </c>
      <c r="H38" s="20" t="n">
        <v>2.52789463</v>
      </c>
      <c r="I38" s="18" t="s">
        <v>431</v>
      </c>
      <c r="J38" s="20" t="s">
        <v>431</v>
      </c>
      <c r="K38" s="18" t="n">
        <v>3.46728059</v>
      </c>
      <c r="L38" s="20" t="n">
        <v>0.94576318</v>
      </c>
      <c r="M38" s="18" t="n">
        <v>0</v>
      </c>
      <c r="N38" s="20" t="n">
        <v>0</v>
      </c>
      <c r="O38" s="18" t="n">
        <v>0</v>
      </c>
      <c r="P38" s="20" t="n">
        <v>0</v>
      </c>
      <c r="Q38" s="18" t="n">
        <v>0</v>
      </c>
      <c r="R38" s="20" t="n">
        <v>0</v>
      </c>
    </row>
    <row r="39" spans="1:18">
      <c r="A39" s="15" t="s">
        <v>463</v>
      </c>
      <c r="B39" s="17" t="n">
        <v>2957</v>
      </c>
      <c r="C39" s="18">
        <f>(2588.0/B39*100)</f>
        <v/>
      </c>
      <c r="D39" s="19" t="n">
        <v>369</v>
      </c>
      <c r="E39" s="18" t="n">
        <v>42.836309</v>
      </c>
      <c r="F39" s="20" t="n">
        <v>2.70154638</v>
      </c>
      <c r="G39" s="18" t="n">
        <v>55.68146679</v>
      </c>
      <c r="H39" s="20" t="n">
        <v>2.73546132</v>
      </c>
      <c r="I39" s="18" t="s">
        <v>431</v>
      </c>
      <c r="J39" s="20" t="s">
        <v>431</v>
      </c>
      <c r="K39" s="18" t="n">
        <v>1.48222421</v>
      </c>
      <c r="L39" s="20" t="n">
        <v>0.63924489</v>
      </c>
      <c r="M39" s="18" t="n">
        <v>0</v>
      </c>
      <c r="N39" s="20" t="n">
        <v>0</v>
      </c>
      <c r="O39" s="18" t="n">
        <v>0</v>
      </c>
      <c r="P39" s="20" t="n">
        <v>0</v>
      </c>
      <c r="Q39" s="18" t="n">
        <v>0</v>
      </c>
      <c r="R39" s="20" t="n">
        <v>0</v>
      </c>
    </row>
    <row r="40" spans="1:18">
      <c r="A40" s="15" t="s">
        <v>464</v>
      </c>
      <c r="B40" s="17" t="n">
        <v>7235</v>
      </c>
      <c r="C40" s="18">
        <f>(6361.0/B40*100)</f>
        <v/>
      </c>
      <c r="D40" s="19" t="n">
        <v>874</v>
      </c>
      <c r="E40" s="18" t="n">
        <v>48.22163817</v>
      </c>
      <c r="F40" s="20" t="n">
        <v>2.53387436</v>
      </c>
      <c r="G40" s="18" t="n">
        <v>49.57248633</v>
      </c>
      <c r="H40" s="20" t="n">
        <v>2.77252615</v>
      </c>
      <c r="I40" s="18" t="s">
        <v>431</v>
      </c>
      <c r="J40" s="20" t="s">
        <v>431</v>
      </c>
      <c r="K40" s="18" t="n">
        <v>2.2058755</v>
      </c>
      <c r="L40" s="20" t="n">
        <v>0.73948235</v>
      </c>
      <c r="M40" s="18" t="n">
        <v>0</v>
      </c>
      <c r="N40" s="20" t="n">
        <v>0</v>
      </c>
      <c r="O40" s="18" t="n">
        <v>0</v>
      </c>
      <c r="P40" s="20" t="n">
        <v>0</v>
      </c>
      <c r="Q40" s="18" t="n">
        <v>0</v>
      </c>
      <c r="R40" s="20" t="n">
        <v>0</v>
      </c>
    </row>
    <row r="41" spans="1:18">
      <c r="A41" s="15" t="s">
        <v>465</v>
      </c>
      <c r="B41" s="17" t="n">
        <v>2858</v>
      </c>
      <c r="C41" s="18">
        <f>(2527.0/B41*100)</f>
        <v/>
      </c>
      <c r="D41" s="19" t="n">
        <v>331</v>
      </c>
      <c r="E41" s="18" t="n">
        <v>42.5961199</v>
      </c>
      <c r="F41" s="20" t="n">
        <v>3.03058041</v>
      </c>
      <c r="G41" s="18" t="n">
        <v>56.20778211</v>
      </c>
      <c r="H41" s="20" t="n">
        <v>3.18780649</v>
      </c>
      <c r="I41" s="18" t="s">
        <v>431</v>
      </c>
      <c r="J41" s="20" t="s">
        <v>431</v>
      </c>
      <c r="K41" s="18" t="n">
        <v>1.19609799</v>
      </c>
      <c r="L41" s="20" t="n">
        <v>0.56701167</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(10118.0/B46*100)</f>
        <v/>
      </c>
      <c r="D46" s="19" t="n">
        <v>950</v>
      </c>
      <c r="E46" s="18" t="n">
        <v>55.63307055</v>
      </c>
      <c r="F46" s="20" t="n">
        <v>2.05995559</v>
      </c>
      <c r="G46" s="18" t="n">
        <v>39.48650688</v>
      </c>
      <c r="H46" s="20" t="n">
        <v>2.08848405</v>
      </c>
      <c r="I46" s="18" t="s">
        <v>431</v>
      </c>
      <c r="J46" s="20" t="s">
        <v>431</v>
      </c>
      <c r="K46" s="18" t="n">
        <v>4.88042257</v>
      </c>
      <c r="L46" s="20" t="n">
        <v>0.87528309</v>
      </c>
      <c r="M46" s="18" t="n">
        <v>0</v>
      </c>
      <c r="N46" s="20" t="n">
        <v>0</v>
      </c>
      <c r="O46" s="18" t="n">
        <v>0</v>
      </c>
      <c r="P46" s="20" t="n">
        <v>0</v>
      </c>
      <c r="Q46" s="18" t="n">
        <v>0</v>
      </c>
      <c r="R46" s="20" t="n">
        <v>0</v>
      </c>
    </row>
    <row r="47" spans="1:18">
      <c r="A47" s="15" t="s">
        <v>471</v>
      </c>
      <c r="B47" s="17" t="n">
        <v>3105</v>
      </c>
      <c r="C47" s="18">
        <f>(2714.0/B47*100)</f>
        <v/>
      </c>
      <c r="D47" s="19" t="n">
        <v>391</v>
      </c>
      <c r="E47" s="18" t="n">
        <v>49.78829146</v>
      </c>
      <c r="F47" s="20" t="n">
        <v>2.36627721</v>
      </c>
      <c r="G47" s="18" t="n">
        <v>47.38002669</v>
      </c>
      <c r="H47" s="20" t="n">
        <v>2.32500465</v>
      </c>
      <c r="I47" s="18" t="s">
        <v>431</v>
      </c>
      <c r="J47" s="20" t="s">
        <v>431</v>
      </c>
      <c r="K47" s="18" t="n">
        <v>2.83168185</v>
      </c>
      <c r="L47" s="20" t="n">
        <v>1.00534637</v>
      </c>
      <c r="M47" s="18" t="n">
        <v>0</v>
      </c>
      <c r="N47" s="20" t="n">
        <v>0</v>
      </c>
      <c r="O47" s="18" t="n">
        <v>0</v>
      </c>
      <c r="P47" s="20" t="n">
        <v>0</v>
      </c>
      <c r="Q47" s="18" t="n">
        <v>0</v>
      </c>
      <c r="R47" s="20" t="n">
        <v>0</v>
      </c>
    </row>
    <row r="48" spans="1:18">
      <c r="A48" s="15" t="s">
        <v>472</v>
      </c>
      <c r="B48" s="17" t="n">
        <v>5159</v>
      </c>
      <c r="C48" s="18">
        <f>(4534.0/B48*100)</f>
        <v/>
      </c>
      <c r="D48" s="19" t="n">
        <v>625</v>
      </c>
      <c r="E48" s="18" t="n">
        <v>38.19834037</v>
      </c>
      <c r="F48" s="20" t="n">
        <v>2.66501133</v>
      </c>
      <c r="G48" s="18" t="n">
        <v>60.35598933</v>
      </c>
      <c r="H48" s="20" t="n">
        <v>2.65267999</v>
      </c>
      <c r="I48" s="18" t="s">
        <v>431</v>
      </c>
      <c r="J48" s="20" t="s">
        <v>431</v>
      </c>
      <c r="K48" s="18" t="n">
        <v>1.44567029</v>
      </c>
      <c r="L48" s="20" t="n">
        <v>0.62655432</v>
      </c>
      <c r="M48" s="18" t="n">
        <v>0</v>
      </c>
      <c r="N48" s="20" t="n">
        <v>0</v>
      </c>
      <c r="O48" s="18" t="n">
        <v>0</v>
      </c>
      <c r="P48" s="20" t="n">
        <v>0</v>
      </c>
      <c r="Q48" s="18" t="n">
        <v>0</v>
      </c>
      <c r="R48" s="20" t="n">
        <v>0</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(4992.0/B50*100)</f>
        <v/>
      </c>
      <c r="D50" s="19" t="n">
        <v>645</v>
      </c>
      <c r="E50" s="18" t="n">
        <v>56.01119851</v>
      </c>
      <c r="F50" s="20" t="n">
        <v>2.9520033</v>
      </c>
      <c r="G50" s="18" t="n">
        <v>39.43202209</v>
      </c>
      <c r="H50" s="20" t="n">
        <v>2.93360636</v>
      </c>
      <c r="I50" s="18" t="s">
        <v>431</v>
      </c>
      <c r="J50" s="20" t="s">
        <v>431</v>
      </c>
      <c r="K50" s="18" t="n">
        <v>4.5567794</v>
      </c>
      <c r="L50" s="20" t="n">
        <v>1.26373645</v>
      </c>
      <c r="M50" s="18" t="n">
        <v>0</v>
      </c>
      <c r="N50" s="20" t="n">
        <v>0</v>
      </c>
      <c r="O50" s="18" t="n">
        <v>0</v>
      </c>
      <c r="P50" s="20" t="n">
        <v>0</v>
      </c>
      <c r="Q50" s="18" t="n">
        <v>0</v>
      </c>
      <c r="R50" s="20" t="n">
        <v>0</v>
      </c>
    </row>
    <row r="51" spans="1:18">
      <c r="A51" s="15" t="s">
        <v>475</v>
      </c>
      <c r="B51" s="17" t="n">
        <v>3372</v>
      </c>
      <c r="C51" s="18">
        <f>(3033.0/B51*100)</f>
        <v/>
      </c>
      <c r="D51" s="19" t="n">
        <v>339</v>
      </c>
      <c r="E51" s="18" t="n">
        <v>55.27845514</v>
      </c>
      <c r="F51" s="20" t="n">
        <v>3.2524653</v>
      </c>
      <c r="G51" s="18" t="n">
        <v>41.12336504</v>
      </c>
      <c r="H51" s="20" t="n">
        <v>3.34576804</v>
      </c>
      <c r="I51" s="18" t="s">
        <v>431</v>
      </c>
      <c r="J51" s="20" t="s">
        <v>431</v>
      </c>
      <c r="K51" s="18" t="n">
        <v>3.59817982</v>
      </c>
      <c r="L51" s="20" t="n">
        <v>1.13813279</v>
      </c>
      <c r="M51" s="18" t="n">
        <v>0</v>
      </c>
      <c r="N51" s="20" t="n">
        <v>0</v>
      </c>
      <c r="O51" s="18" t="n">
        <v>0</v>
      </c>
      <c r="P51" s="20" t="n">
        <v>0</v>
      </c>
      <c r="Q51" s="18" t="n">
        <v>0</v>
      </c>
      <c r="R51" s="20" t="n">
        <v>0</v>
      </c>
    </row>
    <row r="52" spans="1:18">
      <c r="A52" s="15" t="s">
        <v>476</v>
      </c>
      <c r="B52" s="17" t="n">
        <v>2796</v>
      </c>
      <c r="C52" s="18">
        <f>(2431.0/B52*100)</f>
        <v/>
      </c>
      <c r="D52" s="19" t="n">
        <v>365</v>
      </c>
      <c r="E52" s="18" t="n">
        <v>40.5017534</v>
      </c>
      <c r="F52" s="20" t="n">
        <v>2.48209473</v>
      </c>
      <c r="G52" s="18" t="n">
        <v>57.4576919</v>
      </c>
      <c r="H52" s="20" t="n">
        <v>2.6133205</v>
      </c>
      <c r="I52" s="18" t="s">
        <v>431</v>
      </c>
      <c r="J52" s="20" t="s">
        <v>431</v>
      </c>
      <c r="K52" s="18" t="n">
        <v>2.04055469</v>
      </c>
      <c r="L52" s="20" t="n">
        <v>0.7744441</v>
      </c>
      <c r="M52" s="18" t="n">
        <v>0</v>
      </c>
      <c r="N52" s="20" t="n">
        <v>0</v>
      </c>
      <c r="O52" s="18" t="n">
        <v>0</v>
      </c>
      <c r="P52" s="20" t="n">
        <v>0</v>
      </c>
      <c r="Q52" s="18" t="n">
        <v>0</v>
      </c>
      <c r="R52" s="20" t="n">
        <v>0</v>
      </c>
    </row>
    <row r="53" spans="1:18">
      <c r="A53" s="15" t="s">
        <v>477</v>
      </c>
      <c r="B53" s="17" t="n">
        <v>2811</v>
      </c>
      <c r="C53" s="18">
        <f>(2485.0/B53*100)</f>
        <v/>
      </c>
      <c r="D53" s="19" t="n">
        <v>326</v>
      </c>
      <c r="E53" s="18" t="n">
        <v>56.06316403</v>
      </c>
      <c r="F53" s="20" t="n">
        <v>2.92817325</v>
      </c>
      <c r="G53" s="18" t="n">
        <v>41.49058319</v>
      </c>
      <c r="H53" s="20" t="n">
        <v>2.90235612</v>
      </c>
      <c r="I53" s="18" t="s">
        <v>431</v>
      </c>
      <c r="J53" s="20" t="s">
        <v>431</v>
      </c>
      <c r="K53" s="18" t="n">
        <v>2.44625277</v>
      </c>
      <c r="L53" s="20" t="n">
        <v>0.8386002</v>
      </c>
      <c r="M53" s="18" t="n">
        <v>0</v>
      </c>
      <c r="N53" s="20" t="n">
        <v>0</v>
      </c>
      <c r="O53" s="18" t="n">
        <v>0</v>
      </c>
      <c r="P53" s="20" t="n">
        <v>0</v>
      </c>
      <c r="Q53" s="18" t="n">
        <v>0</v>
      </c>
      <c r="R53" s="20" t="n">
        <v>0</v>
      </c>
    </row>
    <row r="54" spans="1:18">
      <c r="A54" s="15" t="s">
        <v>478</v>
      </c>
      <c r="B54" s="17" t="n">
        <v>2266</v>
      </c>
      <c r="C54" s="18">
        <f>(1884.0/B54*100)</f>
        <v/>
      </c>
      <c r="D54" s="19" t="n">
        <v>382</v>
      </c>
      <c r="E54" s="18" t="n">
        <v>50.431285</v>
      </c>
      <c r="F54" s="20" t="n">
        <v>2.69540259</v>
      </c>
      <c r="G54" s="18" t="n">
        <v>23.56355887</v>
      </c>
      <c r="H54" s="20" t="n">
        <v>2.25106805</v>
      </c>
      <c r="I54" s="18" t="s">
        <v>431</v>
      </c>
      <c r="J54" s="20" t="s">
        <v>431</v>
      </c>
      <c r="K54" s="18" t="n">
        <v>26.00515613</v>
      </c>
      <c r="L54" s="20" t="n">
        <v>2.37269682</v>
      </c>
      <c r="M54" s="18" t="n">
        <v>0</v>
      </c>
      <c r="N54" s="20" t="n">
        <v>0</v>
      </c>
      <c r="O54" s="18" t="n">
        <v>0</v>
      </c>
      <c r="P54" s="20" t="n">
        <v>0</v>
      </c>
      <c r="Q54" s="18" t="n">
        <v>0</v>
      </c>
      <c r="R54" s="20" t="n">
        <v>0</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(2348.0/B56*100)</f>
        <v/>
      </c>
      <c r="D56" s="19" t="n">
        <v>336</v>
      </c>
      <c r="E56" s="18" t="n">
        <v>34.38657641</v>
      </c>
      <c r="F56" s="20" t="n">
        <v>2.33966516</v>
      </c>
      <c r="G56" s="18" t="n">
        <v>63.1759898</v>
      </c>
      <c r="H56" s="20" t="n">
        <v>2.38876052</v>
      </c>
      <c r="I56" s="18" t="s">
        <v>431</v>
      </c>
      <c r="J56" s="20" t="s">
        <v>431</v>
      </c>
      <c r="K56" s="18" t="n">
        <v>2.43743379</v>
      </c>
      <c r="L56" s="20" t="n">
        <v>0.8534427</v>
      </c>
      <c r="M56" s="18" t="n">
        <v>0</v>
      </c>
      <c r="N56" s="20" t="n">
        <v>0</v>
      </c>
      <c r="O56" s="18" t="n">
        <v>0</v>
      </c>
      <c r="P56" s="20" t="n">
        <v>0</v>
      </c>
      <c r="Q56" s="18" t="n">
        <v>0</v>
      </c>
      <c r="R56" s="20" t="n">
        <v>0</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(2933.0/B61*100)</f>
        <v/>
      </c>
      <c r="D61" s="19" t="n">
        <v>391</v>
      </c>
      <c r="E61" s="18" t="n">
        <v>56.15371016</v>
      </c>
      <c r="F61" s="20" t="n">
        <v>3.13886328</v>
      </c>
      <c r="G61" s="18" t="n">
        <v>42.04623741</v>
      </c>
      <c r="H61" s="20" t="n">
        <v>3.31765695</v>
      </c>
      <c r="I61" s="18" t="s">
        <v>431</v>
      </c>
      <c r="J61" s="20" t="s">
        <v>431</v>
      </c>
      <c r="K61" s="18" t="n">
        <v>1.80005243</v>
      </c>
      <c r="L61" s="20" t="n">
        <v>0.57513408</v>
      </c>
      <c r="M61" s="18" t="n">
        <v>0</v>
      </c>
      <c r="N61" s="20" t="n">
        <v>0</v>
      </c>
      <c r="O61" s="18" t="n">
        <v>0</v>
      </c>
      <c r="P61" s="20" t="n">
        <v>0</v>
      </c>
      <c r="Q61" s="18" t="n">
        <v>0</v>
      </c>
      <c r="R61" s="20" t="n">
        <v>0</v>
      </c>
    </row>
    <row r="62" spans="1:18">
      <c r="A62" s="15" t="s">
        <v>486</v>
      </c>
      <c r="B62" s="17" t="n">
        <v>2246</v>
      </c>
      <c r="C62" s="18">
        <f>(1990.0/B62*100)</f>
        <v/>
      </c>
      <c r="D62" s="19" t="n">
        <v>256</v>
      </c>
      <c r="E62" s="18" t="n">
        <v>44.09635189</v>
      </c>
      <c r="F62" s="20" t="n">
        <v>3.34464933</v>
      </c>
      <c r="G62" s="18" t="n">
        <v>55.90364811</v>
      </c>
      <c r="H62" s="20" t="n">
        <v>3.34464933</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(2559.0/B66*100)</f>
        <v/>
      </c>
      <c r="D66" s="19" t="n">
        <v>335</v>
      </c>
      <c r="E66" s="18" t="n">
        <v>53.26574148</v>
      </c>
      <c r="F66" s="20" t="n">
        <v>2.79415207</v>
      </c>
      <c r="G66" s="18" t="n">
        <v>42.87845379</v>
      </c>
      <c r="H66" s="20" t="n">
        <v>2.96508926</v>
      </c>
      <c r="I66" s="18" t="s">
        <v>431</v>
      </c>
      <c r="J66" s="20" t="s">
        <v>431</v>
      </c>
      <c r="K66" s="18" t="n">
        <v>3.85580472</v>
      </c>
      <c r="L66" s="20" t="n">
        <v>0.95877659</v>
      </c>
      <c r="M66" s="18" t="n">
        <v>0</v>
      </c>
      <c r="N66" s="20" t="n">
        <v>0</v>
      </c>
      <c r="O66" s="18" t="n">
        <v>0</v>
      </c>
      <c r="P66" s="20" t="n">
        <v>0</v>
      </c>
      <c r="Q66" s="18" t="n">
        <v>0</v>
      </c>
      <c r="R66" s="20" t="n">
        <v>0</v>
      </c>
    </row>
    <row r="67" spans="1:18">
      <c r="A67" s="15" t="s">
        <v>491</v>
      </c>
      <c r="B67" s="17" t="n">
        <v>3511</v>
      </c>
      <c r="C67" s="18">
        <f>(3166.0/B67*100)</f>
        <v/>
      </c>
      <c r="D67" s="19" t="n">
        <v>345</v>
      </c>
      <c r="E67" s="18" t="n">
        <v>58.4470553</v>
      </c>
      <c r="F67" s="20" t="n">
        <v>2.95699058</v>
      </c>
      <c r="G67" s="18" t="n">
        <v>39.31795682</v>
      </c>
      <c r="H67" s="20" t="n">
        <v>3.05393914</v>
      </c>
      <c r="I67" s="18" t="s">
        <v>431</v>
      </c>
      <c r="J67" s="20" t="s">
        <v>431</v>
      </c>
      <c r="K67" s="18" t="n">
        <v>2.23498788</v>
      </c>
      <c r="L67" s="20" t="n">
        <v>0.7750302</v>
      </c>
      <c r="M67" s="18" t="n">
        <v>0</v>
      </c>
      <c r="N67" s="20" t="n">
        <v>0</v>
      </c>
      <c r="O67" s="18" t="n">
        <v>0</v>
      </c>
      <c r="P67" s="20" t="n">
        <v>0</v>
      </c>
      <c r="Q67" s="18" t="n">
        <v>0</v>
      </c>
      <c r="R67" s="20" t="n">
        <v>0</v>
      </c>
    </row>
    <row r="68" spans="1:18">
      <c r="A68" s="15" t="s">
        <v>492</v>
      </c>
      <c r="B68" s="17" t="n">
        <v>6049</v>
      </c>
      <c r="C68" s="18">
        <f>(5051.0/B68*100)</f>
        <v/>
      </c>
      <c r="D68" s="19" t="n">
        <v>998</v>
      </c>
      <c r="E68" s="18" t="n">
        <v>54.72220537</v>
      </c>
      <c r="F68" s="20" t="n">
        <v>1.52591452</v>
      </c>
      <c r="G68" s="18" t="n">
        <v>36.21523004</v>
      </c>
      <c r="H68" s="20" t="n">
        <v>1.46833438</v>
      </c>
      <c r="I68" s="18" t="s">
        <v>431</v>
      </c>
      <c r="J68" s="20" t="s">
        <v>431</v>
      </c>
      <c r="K68" s="18" t="n">
        <v>9.062564589999999</v>
      </c>
      <c r="L68" s="20" t="n">
        <v>0.86061588</v>
      </c>
      <c r="M68" s="18" t="n">
        <v>0</v>
      </c>
      <c r="N68" s="20" t="n">
        <v>0</v>
      </c>
      <c r="O68" s="18" t="n">
        <v>0</v>
      </c>
      <c r="P68" s="20" t="n">
        <v>0</v>
      </c>
      <c r="Q68" s="18" t="n">
        <v>0</v>
      </c>
      <c r="R68" s="20" t="n">
        <v>0</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(2584.0/B70*100)</f>
        <v/>
      </c>
      <c r="D70" s="19" t="n">
        <v>345</v>
      </c>
      <c r="E70" s="18" t="n">
        <v>61.7947793</v>
      </c>
      <c r="F70" s="20" t="n">
        <v>2.95159846</v>
      </c>
      <c r="G70" s="18" t="n">
        <v>37.8102064</v>
      </c>
      <c r="H70" s="20" t="n">
        <v>2.93549014</v>
      </c>
      <c r="I70" s="18" t="s">
        <v>431</v>
      </c>
      <c r="J70" s="20" t="s">
        <v>431</v>
      </c>
      <c r="K70" s="18" t="n">
        <v>0.3950143</v>
      </c>
      <c r="L70" s="20" t="n">
        <v>0.25728068</v>
      </c>
      <c r="M70" s="18" t="n">
        <v>0</v>
      </c>
      <c r="N70" s="20" t="n">
        <v>0</v>
      </c>
      <c r="O70" s="18" t="n">
        <v>0</v>
      </c>
      <c r="P70" s="20" t="n">
        <v>0</v>
      </c>
      <c r="Q70" s="18" t="n">
        <v>0</v>
      </c>
      <c r="R70" s="20" t="n">
        <v>0</v>
      </c>
    </row>
    <row r="71" spans="1:18">
      <c r="A71" s="15" t="s">
        <v>495</v>
      </c>
      <c r="B71" s="17" t="n">
        <v>3142</v>
      </c>
      <c r="C71" s="18">
        <f>(2762.0/B71*100)</f>
        <v/>
      </c>
      <c r="D71" s="19" t="n">
        <v>380</v>
      </c>
      <c r="E71" s="18" t="n">
        <v>31.87757471</v>
      </c>
      <c r="F71" s="20" t="n">
        <v>2.2827174</v>
      </c>
      <c r="G71" s="18" t="n">
        <v>67.40159076</v>
      </c>
      <c r="H71" s="20" t="n">
        <v>2.34267552</v>
      </c>
      <c r="I71" s="18" t="s">
        <v>431</v>
      </c>
      <c r="J71" s="20" t="s">
        <v>431</v>
      </c>
      <c r="K71" s="18" t="n">
        <v>0.72083453</v>
      </c>
      <c r="L71" s="20" t="n">
        <v>0.42612632</v>
      </c>
      <c r="M71" s="18" t="n">
        <v>0</v>
      </c>
      <c r="N71" s="20" t="n">
        <v>0</v>
      </c>
      <c r="O71" s="18" t="n">
        <v>0</v>
      </c>
      <c r="P71" s="20" t="n">
        <v>0</v>
      </c>
      <c r="Q71" s="18" t="n">
        <v>0</v>
      </c>
      <c r="R71" s="20" t="n">
        <v>0</v>
      </c>
    </row>
    <row r="72" spans="1:18">
      <c r="A72" s="15" t="s">
        <v>496</v>
      </c>
      <c r="B72" s="17" t="n">
        <v>3889</v>
      </c>
      <c r="C72" s="18">
        <f>(3399.0/B72*100)</f>
        <v/>
      </c>
      <c r="D72" s="19" t="n">
        <v>490</v>
      </c>
      <c r="E72" s="18" t="n">
        <v>29.79117832</v>
      </c>
      <c r="F72" s="20" t="n">
        <v>2.05062738</v>
      </c>
      <c r="G72" s="18" t="n">
        <v>69.91391022000001</v>
      </c>
      <c r="H72" s="20" t="n">
        <v>2.07701946</v>
      </c>
      <c r="I72" s="18" t="s">
        <v>431</v>
      </c>
      <c r="J72" s="20" t="s">
        <v>431</v>
      </c>
      <c r="K72" s="18" t="n">
        <v>0.29491146</v>
      </c>
      <c r="L72" s="20" t="n">
        <v>0.2077242</v>
      </c>
      <c r="M72" s="18" t="n">
        <v>0</v>
      </c>
      <c r="N72" s="20" t="n">
        <v>0</v>
      </c>
      <c r="O72" s="18" t="n">
        <v>0</v>
      </c>
      <c r="P72" s="20" t="n">
        <v>0</v>
      </c>
      <c r="Q72" s="18" t="n">
        <v>0</v>
      </c>
      <c r="R72" s="20" t="n">
        <v>0</v>
      </c>
    </row>
    <row r="73" spans="1:18">
      <c r="A73" s="15" t="s">
        <v>497</v>
      </c>
      <c r="B73" s="17" t="n">
        <v>3597</v>
      </c>
      <c r="C73" s="18">
        <f>(3213.0/B73*100)</f>
        <v/>
      </c>
      <c r="D73" s="19" t="n">
        <v>384</v>
      </c>
      <c r="E73" s="18" t="n">
        <v>60.01825346</v>
      </c>
      <c r="F73" s="20" t="n">
        <v>2.69375052</v>
      </c>
      <c r="G73" s="18" t="n">
        <v>38.89939331</v>
      </c>
      <c r="H73" s="20" t="n">
        <v>2.59005125</v>
      </c>
      <c r="I73" s="18" t="s">
        <v>431</v>
      </c>
      <c r="J73" s="20" t="s">
        <v>431</v>
      </c>
      <c r="K73" s="18" t="n">
        <v>1.08235323</v>
      </c>
      <c r="L73" s="20" t="n">
        <v>0.52629926</v>
      </c>
      <c r="M73" s="18" t="n">
        <v>0</v>
      </c>
      <c r="N73" s="20" t="n">
        <v>0</v>
      </c>
      <c r="O73" s="18" t="n">
        <v>0</v>
      </c>
      <c r="P73" s="20" t="n">
        <v>0</v>
      </c>
      <c r="Q73" s="18" t="n">
        <v>0</v>
      </c>
      <c r="R73" s="20" t="n">
        <v>0</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(2152.0/B75*100)</f>
        <v/>
      </c>
      <c r="D75" s="19" t="n">
        <v>254</v>
      </c>
      <c r="E75" s="18" t="n">
        <v>59.01252374</v>
      </c>
      <c r="F75" s="20" t="n">
        <v>3.49577339</v>
      </c>
      <c r="G75" s="18" t="n">
        <v>32.1802936</v>
      </c>
      <c r="H75" s="20" t="n">
        <v>3.02192517</v>
      </c>
      <c r="I75" s="18" t="s">
        <v>431</v>
      </c>
      <c r="J75" s="20" t="s">
        <v>431</v>
      </c>
      <c r="K75" s="18" t="n">
        <v>8.80718266</v>
      </c>
      <c r="L75" s="20" t="n">
        <v>1.93362139</v>
      </c>
      <c r="M75" s="18" t="n">
        <v>0</v>
      </c>
      <c r="N75" s="20" t="n">
        <v>0</v>
      </c>
      <c r="O75" s="18" t="n">
        <v>0</v>
      </c>
      <c r="P75" s="20" t="n">
        <v>0</v>
      </c>
      <c r="Q75" s="18" t="n">
        <v>0</v>
      </c>
      <c r="R75" s="20" t="n">
        <v>0</v>
      </c>
    </row>
    <row r="76" spans="1:18">
      <c r="A76" s="15" t="s">
        <v>500</v>
      </c>
      <c r="B76" s="17" t="n">
        <v>7052</v>
      </c>
      <c r="C76" s="18">
        <f>(6206.0/B76*100)</f>
        <v/>
      </c>
      <c r="D76" s="19" t="n">
        <v>846</v>
      </c>
      <c r="E76" s="18" t="n">
        <v>56.64742915</v>
      </c>
      <c r="F76" s="20" t="n">
        <v>2.13747509</v>
      </c>
      <c r="G76" s="18" t="n">
        <v>40.06423446</v>
      </c>
      <c r="H76" s="20" t="n">
        <v>2.08199156</v>
      </c>
      <c r="I76" s="18" t="s">
        <v>431</v>
      </c>
      <c r="J76" s="20" t="s">
        <v>431</v>
      </c>
      <c r="K76" s="18" t="n">
        <v>3.28833639</v>
      </c>
      <c r="L76" s="20" t="n">
        <v>0.73465883</v>
      </c>
      <c r="M76" s="18" t="n">
        <v>0</v>
      </c>
      <c r="N76" s="20" t="n">
        <v>0</v>
      </c>
      <c r="O76" s="18" t="n">
        <v>0</v>
      </c>
      <c r="P76" s="20" t="n">
        <v>0</v>
      </c>
      <c r="Q76" s="18" t="n">
        <v>0</v>
      </c>
      <c r="R76" s="20" t="n">
        <v>0</v>
      </c>
    </row>
    <row r="77" spans="1:18">
      <c r="A77" s="15" t="s">
        <v>501</v>
      </c>
      <c r="B77" s="17" t="n">
        <v>2908</v>
      </c>
      <c r="C77" s="18">
        <f>(2580.0/B77*100)</f>
        <v/>
      </c>
      <c r="D77" s="19" t="n">
        <v>328</v>
      </c>
      <c r="E77" s="18" t="n">
        <v>54.99276864</v>
      </c>
      <c r="F77" s="20" t="n">
        <v>3.07582884</v>
      </c>
      <c r="G77" s="18" t="n">
        <v>39.30263287</v>
      </c>
      <c r="H77" s="20" t="n">
        <v>2.95347572</v>
      </c>
      <c r="I77" s="18" t="s">
        <v>431</v>
      </c>
      <c r="J77" s="20" t="s">
        <v>431</v>
      </c>
      <c r="K77" s="18" t="n">
        <v>5.70459849</v>
      </c>
      <c r="L77" s="20" t="n">
        <v>1.20779267</v>
      </c>
      <c r="M77" s="18" t="n">
        <v>0</v>
      </c>
      <c r="N77" s="20" t="n">
        <v>0</v>
      </c>
      <c r="O77" s="18" t="n">
        <v>0</v>
      </c>
      <c r="P77" s="20" t="n">
        <v>0</v>
      </c>
      <c r="Q77" s="18" t="n">
        <v>0</v>
      </c>
      <c r="R77" s="20" t="n">
        <v>0</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(3638.0/B81*100)</f>
        <v/>
      </c>
      <c r="D81" s="19" t="n">
        <v>525</v>
      </c>
      <c r="E81" s="18" t="n">
        <v>68.88635997999999</v>
      </c>
      <c r="F81" s="20" t="n">
        <v>2.45335318</v>
      </c>
      <c r="G81" s="18" t="n">
        <v>29.46390101</v>
      </c>
      <c r="H81" s="20" t="n">
        <v>2.31928399</v>
      </c>
      <c r="I81" s="18" t="s">
        <v>431</v>
      </c>
      <c r="J81" s="20" t="s">
        <v>431</v>
      </c>
      <c r="K81" s="18" t="n">
        <v>1.64973901</v>
      </c>
      <c r="L81" s="20" t="n">
        <v>0.67233627</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(6467.0/B7*100)</f>
        <v/>
      </c>
      <c r="D7" s="19" t="n">
        <v>900</v>
      </c>
      <c r="E7" s="18" t="n">
        <v>5.82968975</v>
      </c>
      <c r="F7" s="20" t="n">
        <v>0.9603069400000001</v>
      </c>
      <c r="G7" s="18" t="n">
        <v>93.69805445999999</v>
      </c>
      <c r="H7" s="20" t="n">
        <v>0.97654302</v>
      </c>
      <c r="I7" s="18" t="s">
        <v>431</v>
      </c>
      <c r="J7" s="20" t="s">
        <v>431</v>
      </c>
      <c r="K7" s="18" t="n">
        <v>0.23861919</v>
      </c>
      <c r="L7" s="20" t="n">
        <v>0.17043484</v>
      </c>
      <c r="M7" s="18" t="n">
        <v>0</v>
      </c>
      <c r="N7" s="20" t="n">
        <v>0</v>
      </c>
      <c r="O7" s="18" t="n">
        <v>0</v>
      </c>
      <c r="P7" s="20" t="n">
        <v>0</v>
      </c>
      <c r="Q7" s="18" t="n">
        <v>0.2336366</v>
      </c>
      <c r="R7" s="20" t="n">
        <v>0.15223935</v>
      </c>
    </row>
    <row r="8" spans="1:18">
      <c r="A8" s="15" t="s">
        <v>432</v>
      </c>
      <c r="B8" s="17" t="n">
        <v>3564</v>
      </c>
      <c r="C8" s="18">
        <f>(3080.0/B8*100)</f>
        <v/>
      </c>
      <c r="D8" s="19" t="n">
        <v>484</v>
      </c>
      <c r="E8" s="18" t="n">
        <v>4.0906378</v>
      </c>
      <c r="F8" s="20" t="n">
        <v>0.9017980799999999</v>
      </c>
      <c r="G8" s="18" t="n">
        <v>95.57858856</v>
      </c>
      <c r="H8" s="20" t="n">
        <v>0.93037359</v>
      </c>
      <c r="I8" s="18" t="s">
        <v>431</v>
      </c>
      <c r="J8" s="20" t="s">
        <v>431</v>
      </c>
      <c r="K8" s="18" t="n">
        <v>0</v>
      </c>
      <c r="L8" s="20" t="n">
        <v>0</v>
      </c>
      <c r="M8" s="18" t="n">
        <v>0</v>
      </c>
      <c r="N8" s="20" t="n">
        <v>0</v>
      </c>
      <c r="O8" s="18" t="n">
        <v>0</v>
      </c>
      <c r="P8" s="20" t="n">
        <v>0</v>
      </c>
      <c r="Q8" s="18" t="n">
        <v>0.33077365</v>
      </c>
      <c r="R8" s="20" t="n">
        <v>0.2494524</v>
      </c>
    </row>
    <row r="9" spans="1:18">
      <c r="A9" s="15" t="s">
        <v>433</v>
      </c>
      <c r="B9" s="17" t="n">
        <v>4899</v>
      </c>
      <c r="C9" s="18">
        <f>(4134.0/B9*100)</f>
        <v/>
      </c>
      <c r="D9" s="19" t="n">
        <v>765</v>
      </c>
      <c r="E9" s="18" t="n">
        <v>8.183834360000001</v>
      </c>
      <c r="F9" s="20" t="n">
        <v>1.20838847</v>
      </c>
      <c r="G9" s="18" t="n">
        <v>90.74391751</v>
      </c>
      <c r="H9" s="20" t="n">
        <v>1.32980073</v>
      </c>
      <c r="I9" s="18" t="s">
        <v>431</v>
      </c>
      <c r="J9" s="20" t="s">
        <v>431</v>
      </c>
      <c r="K9" s="18" t="n">
        <v>0.24296198</v>
      </c>
      <c r="L9" s="20" t="n">
        <v>0.12533071</v>
      </c>
      <c r="M9" s="18" t="n">
        <v>0</v>
      </c>
      <c r="N9" s="20" t="n">
        <v>0</v>
      </c>
      <c r="O9" s="18" t="n">
        <v>0</v>
      </c>
      <c r="P9" s="20" t="n">
        <v>0</v>
      </c>
      <c r="Q9" s="18" t="n">
        <v>0.8292861500000001</v>
      </c>
      <c r="R9" s="20" t="n">
        <v>0.34670284</v>
      </c>
    </row>
    <row r="10" spans="1:18">
      <c r="A10" s="15" t="s">
        <v>434</v>
      </c>
      <c r="B10" s="17" t="n">
        <v>10036</v>
      </c>
      <c r="C10" s="18">
        <f>(8767.0/B10*100)</f>
        <v/>
      </c>
      <c r="D10" s="19" t="n">
        <v>1269</v>
      </c>
      <c r="E10" s="18" t="n">
        <v>5.14357555</v>
      </c>
      <c r="F10" s="20" t="n">
        <v>1.03879501</v>
      </c>
      <c r="G10" s="18" t="n">
        <v>93.66460818</v>
      </c>
      <c r="H10" s="20" t="n">
        <v>1.05912539</v>
      </c>
      <c r="I10" s="18" t="s">
        <v>431</v>
      </c>
      <c r="J10" s="20" t="s">
        <v>431</v>
      </c>
      <c r="K10" s="18" t="n">
        <v>0.4236409</v>
      </c>
      <c r="L10" s="20" t="n">
        <v>0.29518348</v>
      </c>
      <c r="M10" s="18" t="n">
        <v>0</v>
      </c>
      <c r="N10" s="20" t="n">
        <v>0</v>
      </c>
      <c r="O10" s="18" t="n">
        <v>0</v>
      </c>
      <c r="P10" s="20" t="n">
        <v>0</v>
      </c>
      <c r="Q10" s="18" t="n">
        <v>0.76817537</v>
      </c>
      <c r="R10" s="20" t="n">
        <v>0.36118543</v>
      </c>
    </row>
    <row r="11" spans="1:18">
      <c r="A11" s="15" t="s">
        <v>435</v>
      </c>
      <c r="B11" s="17" t="n">
        <v>3553</v>
      </c>
      <c r="C11" s="18">
        <f>(3103.0/B11*100)</f>
        <v/>
      </c>
      <c r="D11" s="19" t="n">
        <v>450</v>
      </c>
      <c r="E11" s="18" t="n">
        <v>6.35661829</v>
      </c>
      <c r="F11" s="20" t="n">
        <v>1.72483933</v>
      </c>
      <c r="G11" s="18" t="n">
        <v>93.44999778</v>
      </c>
      <c r="H11" s="20" t="n">
        <v>1.74737432</v>
      </c>
      <c r="I11" s="18" t="s">
        <v>431</v>
      </c>
      <c r="J11" s="20" t="s">
        <v>431</v>
      </c>
      <c r="K11" s="18" t="n">
        <v>0.19338393</v>
      </c>
      <c r="L11" s="20" t="n">
        <v>0.17898874</v>
      </c>
      <c r="M11" s="18" t="n">
        <v>0</v>
      </c>
      <c r="N11" s="20" t="n">
        <v>0</v>
      </c>
      <c r="O11" s="18" t="n">
        <v>0</v>
      </c>
      <c r="P11" s="20" t="n">
        <v>0</v>
      </c>
      <c r="Q11" s="18" t="n">
        <v>0</v>
      </c>
      <c r="R11" s="20" t="n">
        <v>0</v>
      </c>
    </row>
    <row r="12" spans="1:18">
      <c r="A12" s="15" t="s">
        <v>436</v>
      </c>
      <c r="B12" s="17" t="n">
        <v>3472</v>
      </c>
      <c r="C12" s="18">
        <f>(3012.0/B12*100)</f>
        <v/>
      </c>
      <c r="D12" s="19" t="n">
        <v>460</v>
      </c>
      <c r="E12" s="18" t="n">
        <v>5.62582096</v>
      </c>
      <c r="F12" s="20" t="n">
        <v>2.08005344</v>
      </c>
      <c r="G12" s="18" t="n">
        <v>93.13833832</v>
      </c>
      <c r="H12" s="20" t="n">
        <v>2.17204435</v>
      </c>
      <c r="I12" s="18" t="s">
        <v>431</v>
      </c>
      <c r="J12" s="20" t="s">
        <v>431</v>
      </c>
      <c r="K12" s="18" t="n">
        <v>0</v>
      </c>
      <c r="L12" s="20" t="n">
        <v>0</v>
      </c>
      <c r="M12" s="18" t="n">
        <v>0</v>
      </c>
      <c r="N12" s="20" t="n">
        <v>0</v>
      </c>
      <c r="O12" s="18" t="n">
        <v>0</v>
      </c>
      <c r="P12" s="20" t="n">
        <v>0</v>
      </c>
      <c r="Q12" s="18" t="n">
        <v>1.23584072</v>
      </c>
      <c r="R12" s="20" t="n">
        <v>0.6481927199999999</v>
      </c>
    </row>
    <row r="13" spans="1:18">
      <c r="A13" s="15" t="s">
        <v>437</v>
      </c>
      <c r="B13" s="17" t="n">
        <v>3559</v>
      </c>
      <c r="C13" s="18">
        <f>(2949.0/B13*100)</f>
        <v/>
      </c>
      <c r="D13" s="19" t="n">
        <v>610</v>
      </c>
      <c r="E13" s="18" t="n">
        <v>5.1136092</v>
      </c>
      <c r="F13" s="20" t="n">
        <v>1.22058174</v>
      </c>
      <c r="G13" s="18" t="n">
        <v>94.48582974</v>
      </c>
      <c r="H13" s="20" t="n">
        <v>1.25002599</v>
      </c>
      <c r="I13" s="18" t="s">
        <v>431</v>
      </c>
      <c r="J13" s="20" t="s">
        <v>431</v>
      </c>
      <c r="K13" s="18" t="n">
        <v>0.24616296</v>
      </c>
      <c r="L13" s="20" t="n">
        <v>0.22949401</v>
      </c>
      <c r="M13" s="18" t="n">
        <v>0</v>
      </c>
      <c r="N13" s="20" t="n">
        <v>0</v>
      </c>
      <c r="O13" s="18" t="n">
        <v>0</v>
      </c>
      <c r="P13" s="20" t="n">
        <v>0</v>
      </c>
      <c r="Q13" s="18" t="n">
        <v>0.15439811</v>
      </c>
      <c r="R13" s="20" t="n">
        <v>0.13107253</v>
      </c>
    </row>
    <row r="14" spans="1:18">
      <c r="A14" s="15" t="s">
        <v>438</v>
      </c>
      <c r="B14" s="17" t="n">
        <v>2799</v>
      </c>
      <c r="C14" s="18">
        <f>(2455.0/B14*100)</f>
        <v/>
      </c>
      <c r="D14" s="19" t="n">
        <v>344</v>
      </c>
      <c r="E14" s="18" t="n">
        <v>0.23546356</v>
      </c>
      <c r="F14" s="20" t="n">
        <v>0.23672073</v>
      </c>
      <c r="G14" s="18" t="n">
        <v>99.76453644</v>
      </c>
      <c r="H14" s="20" t="n">
        <v>0.23672073</v>
      </c>
      <c r="I14" s="18" t="s">
        <v>431</v>
      </c>
      <c r="J14" s="20" t="s">
        <v>431</v>
      </c>
      <c r="K14" s="18" t="n">
        <v>0</v>
      </c>
      <c r="L14" s="20" t="n">
        <v>0</v>
      </c>
      <c r="M14" s="18" t="n">
        <v>0</v>
      </c>
      <c r="N14" s="20" t="n">
        <v>0</v>
      </c>
      <c r="O14" s="18" t="n">
        <v>0</v>
      </c>
      <c r="P14" s="20" t="n">
        <v>0</v>
      </c>
      <c r="Q14" s="18" t="n">
        <v>0</v>
      </c>
      <c r="R14" s="20" t="n">
        <v>0</v>
      </c>
    </row>
    <row r="15" spans="1:18">
      <c r="A15" s="15" t="s">
        <v>439</v>
      </c>
      <c r="B15" s="17" t="n">
        <v>3019</v>
      </c>
      <c r="C15" s="18">
        <f>(2627.0/B15*100)</f>
        <v/>
      </c>
      <c r="D15" s="19" t="n">
        <v>392</v>
      </c>
      <c r="E15" s="18" t="n">
        <v>5.88363826</v>
      </c>
      <c r="F15" s="20" t="n">
        <v>1.4827553</v>
      </c>
      <c r="G15" s="18" t="n">
        <v>93.59784282</v>
      </c>
      <c r="H15" s="20" t="n">
        <v>1.55464327</v>
      </c>
      <c r="I15" s="18" t="s">
        <v>431</v>
      </c>
      <c r="J15" s="20" t="s">
        <v>431</v>
      </c>
      <c r="K15" s="18" t="n">
        <v>0.22600717</v>
      </c>
      <c r="L15" s="20" t="n">
        <v>0.22695234</v>
      </c>
      <c r="M15" s="18" t="n">
        <v>0</v>
      </c>
      <c r="N15" s="20" t="n">
        <v>0</v>
      </c>
      <c r="O15" s="18" t="n">
        <v>0</v>
      </c>
      <c r="P15" s="20" t="n">
        <v>0</v>
      </c>
      <c r="Q15" s="18" t="n">
        <v>0.29251174</v>
      </c>
      <c r="R15" s="20" t="n">
        <v>0.31073697</v>
      </c>
    </row>
    <row r="16" spans="1:18">
      <c r="A16" s="15" t="s">
        <v>440</v>
      </c>
      <c r="B16" s="17" t="n">
        <v>2997</v>
      </c>
      <c r="C16" s="18">
        <f>(2637.0/B16*100)</f>
        <v/>
      </c>
      <c r="D16" s="19" t="n">
        <v>360</v>
      </c>
      <c r="E16" s="18" t="n">
        <v>4.54755082</v>
      </c>
      <c r="F16" s="20" t="n">
        <v>1.30759979</v>
      </c>
      <c r="G16" s="18" t="n">
        <v>93.02847529</v>
      </c>
      <c r="H16" s="20" t="n">
        <v>1.6476164</v>
      </c>
      <c r="I16" s="18" t="s">
        <v>431</v>
      </c>
      <c r="J16" s="20" t="s">
        <v>431</v>
      </c>
      <c r="K16" s="18" t="n">
        <v>0.7397953900000001</v>
      </c>
      <c r="L16" s="20" t="n">
        <v>0.52781255</v>
      </c>
      <c r="M16" s="18" t="n">
        <v>0</v>
      </c>
      <c r="N16" s="20" t="n">
        <v>0</v>
      </c>
      <c r="O16" s="18" t="n">
        <v>0</v>
      </c>
      <c r="P16" s="20" t="n">
        <v>0</v>
      </c>
      <c r="Q16" s="18" t="n">
        <v>1.68417851</v>
      </c>
      <c r="R16" s="20" t="n">
        <v>0.73222433</v>
      </c>
    </row>
    <row r="17" spans="1:18">
      <c r="A17" s="15" t="s">
        <v>441</v>
      </c>
      <c r="B17" s="17" t="n">
        <v>3307</v>
      </c>
      <c r="C17" s="18">
        <f>(2823.0/B17*100)</f>
        <v/>
      </c>
      <c r="D17" s="19" t="n">
        <v>484</v>
      </c>
      <c r="E17" s="18" t="n">
        <v>4.91716452</v>
      </c>
      <c r="F17" s="20" t="n">
        <v>1.2287712</v>
      </c>
      <c r="G17" s="18" t="n">
        <v>94.42882631000001</v>
      </c>
      <c r="H17" s="20" t="n">
        <v>1.31353191</v>
      </c>
      <c r="I17" s="18" t="s">
        <v>431</v>
      </c>
      <c r="J17" s="20" t="s">
        <v>431</v>
      </c>
      <c r="K17" s="18" t="n">
        <v>0</v>
      </c>
      <c r="L17" s="20" t="n">
        <v>0</v>
      </c>
      <c r="M17" s="18" t="n">
        <v>0</v>
      </c>
      <c r="N17" s="20" t="n">
        <v>0</v>
      </c>
      <c r="O17" s="18" t="n">
        <v>0</v>
      </c>
      <c r="P17" s="20" t="n">
        <v>0</v>
      </c>
      <c r="Q17" s="18" t="n">
        <v>0.65400917</v>
      </c>
      <c r="R17" s="20" t="n">
        <v>0.32243699</v>
      </c>
    </row>
    <row r="18" spans="1:18">
      <c r="A18" s="15" t="s">
        <v>442</v>
      </c>
      <c r="B18" s="17" t="n">
        <v>2826</v>
      </c>
      <c r="C18" s="18">
        <f>(2482.0/B18*100)</f>
        <v/>
      </c>
      <c r="D18" s="19" t="n">
        <v>344</v>
      </c>
      <c r="E18" s="18" t="n">
        <v>14.21846407</v>
      </c>
      <c r="F18" s="20" t="n">
        <v>2.11875389</v>
      </c>
      <c r="G18" s="18" t="n">
        <v>84.69719528</v>
      </c>
      <c r="H18" s="20" t="n">
        <v>2.19285571</v>
      </c>
      <c r="I18" s="18" t="s">
        <v>431</v>
      </c>
      <c r="J18" s="20" t="s">
        <v>431</v>
      </c>
      <c r="K18" s="18" t="n">
        <v>0</v>
      </c>
      <c r="L18" s="20" t="n">
        <v>0</v>
      </c>
      <c r="M18" s="18" t="n">
        <v>0</v>
      </c>
      <c r="N18" s="20" t="n">
        <v>0</v>
      </c>
      <c r="O18" s="18" t="n">
        <v>0</v>
      </c>
      <c r="P18" s="20" t="n">
        <v>0</v>
      </c>
      <c r="Q18" s="18" t="n">
        <v>1.08434064</v>
      </c>
      <c r="R18" s="20" t="n">
        <v>0.55672332</v>
      </c>
    </row>
    <row r="19" spans="1:18">
      <c r="A19" s="15" t="s">
        <v>443</v>
      </c>
      <c r="B19" s="17" t="n">
        <v>2808</v>
      </c>
      <c r="C19" s="18">
        <f>(2458.0/B19*100)</f>
        <v/>
      </c>
      <c r="D19" s="19" t="n">
        <v>350</v>
      </c>
      <c r="E19" s="18" t="n">
        <v>7.66766451</v>
      </c>
      <c r="F19" s="20" t="n">
        <v>1.7470822</v>
      </c>
      <c r="G19" s="18" t="n">
        <v>91.13396179999999</v>
      </c>
      <c r="H19" s="20" t="n">
        <v>1.91650237</v>
      </c>
      <c r="I19" s="18" t="s">
        <v>431</v>
      </c>
      <c r="J19" s="20" t="s">
        <v>431</v>
      </c>
      <c r="K19" s="18" t="n">
        <v>0</v>
      </c>
      <c r="L19" s="20" t="n">
        <v>0</v>
      </c>
      <c r="M19" s="18" t="n">
        <v>0</v>
      </c>
      <c r="N19" s="20" t="n">
        <v>0</v>
      </c>
      <c r="O19" s="18" t="n">
        <v>0</v>
      </c>
      <c r="P19" s="20" t="n">
        <v>0</v>
      </c>
      <c r="Q19" s="18" t="n">
        <v>1.19837369</v>
      </c>
      <c r="R19" s="20" t="n">
        <v>0.86901777</v>
      </c>
    </row>
    <row r="20" spans="1:18">
      <c r="A20" s="15" t="s">
        <v>444</v>
      </c>
      <c r="B20" s="17" t="n">
        <v>1630</v>
      </c>
      <c r="C20" s="18">
        <f>(1433.0/B20*100)</f>
        <v/>
      </c>
      <c r="D20" s="19" t="n">
        <v>197</v>
      </c>
      <c r="E20" s="18" t="n">
        <v>3.81558572</v>
      </c>
      <c r="F20" s="20" t="n">
        <v>1.2765548</v>
      </c>
      <c r="G20" s="18" t="n">
        <v>95.60576472</v>
      </c>
      <c r="H20" s="20" t="n">
        <v>1.38670149</v>
      </c>
      <c r="I20" s="18" t="s">
        <v>431</v>
      </c>
      <c r="J20" s="20" t="s">
        <v>431</v>
      </c>
      <c r="K20" s="18" t="n">
        <v>0.5786495699999999</v>
      </c>
      <c r="L20" s="20" t="n">
        <v>0.58651615</v>
      </c>
      <c r="M20" s="18" t="n">
        <v>0</v>
      </c>
      <c r="N20" s="20" t="n">
        <v>0</v>
      </c>
      <c r="O20" s="18" t="n">
        <v>0</v>
      </c>
      <c r="P20" s="20" t="n">
        <v>0</v>
      </c>
      <c r="Q20" s="18" t="n">
        <v>0</v>
      </c>
      <c r="R20" s="20" t="n">
        <v>0</v>
      </c>
    </row>
    <row r="21" spans="1:18">
      <c r="A21" s="15" t="s">
        <v>445</v>
      </c>
      <c r="B21" s="17" t="n">
        <v>2908</v>
      </c>
      <c r="C21" s="18">
        <f>(2417.0/B21*100)</f>
        <v/>
      </c>
      <c r="D21" s="19" t="n">
        <v>491</v>
      </c>
      <c r="E21" s="18" t="n">
        <v>1.85310771</v>
      </c>
      <c r="F21" s="20" t="n">
        <v>0.60767632</v>
      </c>
      <c r="G21" s="18" t="n">
        <v>98.14689229</v>
      </c>
      <c r="H21" s="20" t="n">
        <v>0.60767632</v>
      </c>
      <c r="I21" s="18" t="s">
        <v>431</v>
      </c>
      <c r="J21" s="20" t="s">
        <v>431</v>
      </c>
      <c r="K21" s="18" t="n">
        <v>0</v>
      </c>
      <c r="L21" s="20" t="n">
        <v>0</v>
      </c>
      <c r="M21" s="18" t="n">
        <v>0</v>
      </c>
      <c r="N21" s="20" t="n">
        <v>0</v>
      </c>
      <c r="O21" s="18" t="n">
        <v>0</v>
      </c>
      <c r="P21" s="20" t="n">
        <v>0</v>
      </c>
      <c r="Q21" s="18" t="n">
        <v>0</v>
      </c>
      <c r="R21" s="20" t="n">
        <v>0</v>
      </c>
    </row>
    <row r="22" spans="1:18">
      <c r="A22" s="15" t="s">
        <v>446</v>
      </c>
      <c r="B22" s="17" t="n">
        <v>2931</v>
      </c>
      <c r="C22" s="18">
        <f>(2561.0/B22*100)</f>
        <v/>
      </c>
      <c r="D22" s="19" t="n">
        <v>370</v>
      </c>
      <c r="E22" s="18" t="n">
        <v>6.00736208</v>
      </c>
      <c r="F22" s="20" t="n">
        <v>1.33049175</v>
      </c>
      <c r="G22" s="18" t="n">
        <v>91.1182204</v>
      </c>
      <c r="H22" s="20" t="n">
        <v>1.61480426</v>
      </c>
      <c r="I22" s="18" t="s">
        <v>431</v>
      </c>
      <c r="J22" s="20" t="s">
        <v>431</v>
      </c>
      <c r="K22" s="18" t="n">
        <v>0.65351487</v>
      </c>
      <c r="L22" s="20" t="n">
        <v>0.47878501</v>
      </c>
      <c r="M22" s="18" t="n">
        <v>0</v>
      </c>
      <c r="N22" s="20" t="n">
        <v>0</v>
      </c>
      <c r="O22" s="18" t="n">
        <v>0</v>
      </c>
      <c r="P22" s="20" t="n">
        <v>0</v>
      </c>
      <c r="Q22" s="18" t="n">
        <v>2.22090265</v>
      </c>
      <c r="R22" s="20" t="n">
        <v>0.78576786</v>
      </c>
    </row>
    <row r="23" spans="1:18">
      <c r="A23" s="15" t="s">
        <v>447</v>
      </c>
      <c r="B23" s="17" t="n">
        <v>5791</v>
      </c>
      <c r="C23" s="18">
        <f>(5034.0/B23*100)</f>
        <v/>
      </c>
      <c r="D23" s="19" t="n">
        <v>757</v>
      </c>
      <c r="E23" s="18" t="n">
        <v>3.91022385</v>
      </c>
      <c r="F23" s="20" t="n">
        <v>1.3187905</v>
      </c>
      <c r="G23" s="18" t="n">
        <v>95.15253576000001</v>
      </c>
      <c r="H23" s="20" t="n">
        <v>1.55717576</v>
      </c>
      <c r="I23" s="18" t="s">
        <v>431</v>
      </c>
      <c r="J23" s="20" t="s">
        <v>431</v>
      </c>
      <c r="K23" s="18" t="n">
        <v>0</v>
      </c>
      <c r="L23" s="20" t="n">
        <v>0</v>
      </c>
      <c r="M23" s="18" t="n">
        <v>0</v>
      </c>
      <c r="N23" s="20" t="n">
        <v>0</v>
      </c>
      <c r="O23" s="18" t="n">
        <v>0</v>
      </c>
      <c r="P23" s="20" t="n">
        <v>0</v>
      </c>
      <c r="Q23" s="18" t="n">
        <v>0.93724039</v>
      </c>
      <c r="R23" s="20" t="n">
        <v>0.62036317</v>
      </c>
    </row>
    <row r="24" spans="1:18">
      <c r="A24" s="15" t="s">
        <v>448</v>
      </c>
      <c r="B24" s="17" t="n">
        <v>3338</v>
      </c>
      <c r="C24" s="18">
        <f>(2938.0/B24*100)</f>
        <v/>
      </c>
      <c r="D24" s="19" t="n">
        <v>400</v>
      </c>
      <c r="E24" s="18" t="n">
        <v>3.66324836</v>
      </c>
      <c r="F24" s="20" t="n">
        <v>1.10868428</v>
      </c>
      <c r="G24" s="18" t="n">
        <v>96.11336658</v>
      </c>
      <c r="H24" s="20" t="n">
        <v>1.13779088</v>
      </c>
      <c r="I24" s="18" t="s">
        <v>431</v>
      </c>
      <c r="J24" s="20" t="s">
        <v>431</v>
      </c>
      <c r="K24" s="18" t="n">
        <v>0</v>
      </c>
      <c r="L24" s="20" t="n">
        <v>0</v>
      </c>
      <c r="M24" s="18" t="n">
        <v>0</v>
      </c>
      <c r="N24" s="20" t="n">
        <v>0</v>
      </c>
      <c r="O24" s="18" t="n">
        <v>0</v>
      </c>
      <c r="P24" s="20" t="n">
        <v>0</v>
      </c>
      <c r="Q24" s="18" t="n">
        <v>0.22338506</v>
      </c>
      <c r="R24" s="20" t="n">
        <v>0.23322855</v>
      </c>
    </row>
    <row r="25" spans="1:18">
      <c r="A25" s="15" t="s">
        <v>449</v>
      </c>
      <c r="B25" s="17" t="n">
        <v>2912</v>
      </c>
      <c r="C25" s="18">
        <f>(2560.0/B25*100)</f>
        <v/>
      </c>
      <c r="D25" s="19" t="n">
        <v>352</v>
      </c>
      <c r="E25" s="18" t="n">
        <v>4.91279715</v>
      </c>
      <c r="F25" s="20" t="n">
        <v>1.35605822</v>
      </c>
      <c r="G25" s="18" t="n">
        <v>93.60828047</v>
      </c>
      <c r="H25" s="20" t="n">
        <v>1.59582856</v>
      </c>
      <c r="I25" s="18" t="s">
        <v>431</v>
      </c>
      <c r="J25" s="20" t="s">
        <v>431</v>
      </c>
      <c r="K25" s="18" t="n">
        <v>0.55103305</v>
      </c>
      <c r="L25" s="20" t="n">
        <v>0.38884782</v>
      </c>
      <c r="M25" s="18" t="n">
        <v>0</v>
      </c>
      <c r="N25" s="20" t="n">
        <v>0</v>
      </c>
      <c r="O25" s="18" t="n">
        <v>0</v>
      </c>
      <c r="P25" s="20" t="n">
        <v>0</v>
      </c>
      <c r="Q25" s="18" t="n">
        <v>0.92788933</v>
      </c>
      <c r="R25" s="20" t="n">
        <v>0.53608804</v>
      </c>
    </row>
    <row r="26" spans="1:18">
      <c r="A26" s="15" t="s">
        <v>450</v>
      </c>
      <c r="B26" s="17" t="n">
        <v>2450</v>
      </c>
      <c r="C26" s="18">
        <f>(2147.0/B26*100)</f>
        <v/>
      </c>
      <c r="D26" s="19" t="n">
        <v>303</v>
      </c>
      <c r="E26" s="18" t="n">
        <v>5.53572455</v>
      </c>
      <c r="F26" s="20" t="n">
        <v>1.515252</v>
      </c>
      <c r="G26" s="18" t="n">
        <v>93.56827383</v>
      </c>
      <c r="H26" s="20" t="n">
        <v>1.6101405</v>
      </c>
      <c r="I26" s="18" t="s">
        <v>431</v>
      </c>
      <c r="J26" s="20" t="s">
        <v>431</v>
      </c>
      <c r="K26" s="18" t="n">
        <v>0</v>
      </c>
      <c r="L26" s="20" t="n">
        <v>0</v>
      </c>
      <c r="M26" s="18" t="n">
        <v>0</v>
      </c>
      <c r="N26" s="20" t="n">
        <v>0</v>
      </c>
      <c r="O26" s="18" t="n">
        <v>0</v>
      </c>
      <c r="P26" s="20" t="n">
        <v>0</v>
      </c>
      <c r="Q26" s="18" t="n">
        <v>0.8960016200000001</v>
      </c>
      <c r="R26" s="20" t="n">
        <v>0.67089614</v>
      </c>
    </row>
    <row r="27" spans="1:18">
      <c r="A27" s="15" t="s">
        <v>451</v>
      </c>
      <c r="B27" s="17" t="n">
        <v>2616</v>
      </c>
      <c r="C27" s="18">
        <f>(2301.0/B27*100)</f>
        <v/>
      </c>
      <c r="D27" s="19" t="n">
        <v>315</v>
      </c>
      <c r="E27" s="18" t="n">
        <v>4.82958432</v>
      </c>
      <c r="F27" s="20" t="n">
        <v>1.2294321</v>
      </c>
      <c r="G27" s="18" t="n">
        <v>94.19718208</v>
      </c>
      <c r="H27" s="20" t="n">
        <v>1.38926996</v>
      </c>
      <c r="I27" s="18" t="s">
        <v>431</v>
      </c>
      <c r="J27" s="20" t="s">
        <v>431</v>
      </c>
      <c r="K27" s="18" t="n">
        <v>0</v>
      </c>
      <c r="L27" s="20" t="n">
        <v>0</v>
      </c>
      <c r="M27" s="18" t="n">
        <v>0</v>
      </c>
      <c r="N27" s="20" t="n">
        <v>0</v>
      </c>
      <c r="O27" s="18" t="n">
        <v>0</v>
      </c>
      <c r="P27" s="20" t="n">
        <v>0</v>
      </c>
      <c r="Q27" s="18" t="n">
        <v>0.9732336</v>
      </c>
      <c r="R27" s="20" t="n">
        <v>0.54557061</v>
      </c>
    </row>
    <row r="28" spans="1:18">
      <c r="A28" s="15" t="s">
        <v>452</v>
      </c>
      <c r="B28" s="17" t="n">
        <v>3765</v>
      </c>
      <c r="C28" s="18">
        <f>(3320.0/B28*100)</f>
        <v/>
      </c>
      <c r="D28" s="19" t="n">
        <v>445</v>
      </c>
      <c r="E28" s="18" t="n">
        <v>6.70601094</v>
      </c>
      <c r="F28" s="20" t="n">
        <v>1.39260338</v>
      </c>
      <c r="G28" s="18" t="n">
        <v>92.67535006999999</v>
      </c>
      <c r="H28" s="20" t="n">
        <v>1.41446176</v>
      </c>
      <c r="I28" s="18" t="s">
        <v>431</v>
      </c>
      <c r="J28" s="20" t="s">
        <v>431</v>
      </c>
      <c r="K28" s="18" t="n">
        <v>0.23781192</v>
      </c>
      <c r="L28" s="20" t="n">
        <v>0.24167906</v>
      </c>
      <c r="M28" s="18" t="n">
        <v>0</v>
      </c>
      <c r="N28" s="20" t="n">
        <v>0</v>
      </c>
      <c r="O28" s="18" t="n">
        <v>0</v>
      </c>
      <c r="P28" s="20" t="n">
        <v>0</v>
      </c>
      <c r="Q28" s="18" t="n">
        <v>0.38082707</v>
      </c>
      <c r="R28" s="20" t="n">
        <v>0.27171133</v>
      </c>
    </row>
    <row r="29" spans="1:18">
      <c r="A29" s="15" t="s">
        <v>453</v>
      </c>
      <c r="B29" s="17" t="n">
        <v>2685</v>
      </c>
      <c r="C29" s="18">
        <f>(2290.0/B29*100)</f>
        <v/>
      </c>
      <c r="D29" s="19" t="n">
        <v>395</v>
      </c>
      <c r="E29" s="18" t="n">
        <v>6.54007615</v>
      </c>
      <c r="F29" s="20" t="n">
        <v>1.5622289</v>
      </c>
      <c r="G29" s="18" t="n">
        <v>92.29357104</v>
      </c>
      <c r="H29" s="20" t="n">
        <v>1.79194614</v>
      </c>
      <c r="I29" s="18" t="s">
        <v>431</v>
      </c>
      <c r="J29" s="20" t="s">
        <v>431</v>
      </c>
      <c r="K29" s="18" t="n">
        <v>0.32137609</v>
      </c>
      <c r="L29" s="20" t="n">
        <v>0.31856052</v>
      </c>
      <c r="M29" s="18" t="n">
        <v>0</v>
      </c>
      <c r="N29" s="20" t="n">
        <v>0</v>
      </c>
      <c r="O29" s="18" t="n">
        <v>0</v>
      </c>
      <c r="P29" s="20" t="n">
        <v>0</v>
      </c>
      <c r="Q29" s="18" t="n">
        <v>0.84497673</v>
      </c>
      <c r="R29" s="20" t="n">
        <v>0.40913458</v>
      </c>
    </row>
    <row r="30" spans="1:18">
      <c r="A30" s="15" t="s">
        <v>454</v>
      </c>
      <c r="B30" s="17" t="n">
        <v>2263</v>
      </c>
      <c r="C30" s="18">
        <f>(1992.0/B30*100)</f>
        <v/>
      </c>
      <c r="D30" s="19" t="n">
        <v>271</v>
      </c>
      <c r="E30" s="18" t="n">
        <v>3.94457843</v>
      </c>
      <c r="F30" s="20" t="n">
        <v>1.2532601</v>
      </c>
      <c r="G30" s="18" t="n">
        <v>95.34699164</v>
      </c>
      <c r="H30" s="20" t="n">
        <v>1.34113972</v>
      </c>
      <c r="I30" s="18" t="s">
        <v>431</v>
      </c>
      <c r="J30" s="20" t="s">
        <v>431</v>
      </c>
      <c r="K30" s="18" t="n">
        <v>0</v>
      </c>
      <c r="L30" s="20" t="n">
        <v>0</v>
      </c>
      <c r="M30" s="18" t="n">
        <v>0</v>
      </c>
      <c r="N30" s="20" t="n">
        <v>0</v>
      </c>
      <c r="O30" s="18" t="n">
        <v>0</v>
      </c>
      <c r="P30" s="20" t="n">
        <v>0</v>
      </c>
      <c r="Q30" s="18" t="n">
        <v>0.70842992</v>
      </c>
      <c r="R30" s="20" t="n">
        <v>0.50418912</v>
      </c>
    </row>
    <row r="31" spans="1:18">
      <c r="A31" s="15" t="s">
        <v>455</v>
      </c>
      <c r="B31" s="17" t="n">
        <v>2750</v>
      </c>
      <c r="C31" s="18">
        <f>(2428.0/B31*100)</f>
        <v/>
      </c>
      <c r="D31" s="19" t="n">
        <v>322</v>
      </c>
      <c r="E31" s="18" t="n">
        <v>4.36106079</v>
      </c>
      <c r="F31" s="20" t="n">
        <v>1.12118694</v>
      </c>
      <c r="G31" s="18" t="n">
        <v>95.30623304</v>
      </c>
      <c r="H31" s="20" t="n">
        <v>1.08878937</v>
      </c>
      <c r="I31" s="18" t="s">
        <v>431</v>
      </c>
      <c r="J31" s="20" t="s">
        <v>431</v>
      </c>
      <c r="K31" s="18" t="n">
        <v>0</v>
      </c>
      <c r="L31" s="20" t="n">
        <v>0</v>
      </c>
      <c r="M31" s="18" t="n">
        <v>0</v>
      </c>
      <c r="N31" s="20" t="n">
        <v>0</v>
      </c>
      <c r="O31" s="18" t="n">
        <v>0</v>
      </c>
      <c r="P31" s="20" t="n">
        <v>0</v>
      </c>
      <c r="Q31" s="18" t="n">
        <v>0.33270617</v>
      </c>
      <c r="R31" s="20" t="n">
        <v>0.32223087</v>
      </c>
    </row>
    <row r="32" spans="1:18">
      <c r="A32" s="15" t="s">
        <v>456</v>
      </c>
      <c r="B32" s="17" t="n">
        <v>2269</v>
      </c>
      <c r="C32" s="18">
        <f>(1895.0/B32*100)</f>
        <v/>
      </c>
      <c r="D32" s="19" t="n">
        <v>374</v>
      </c>
      <c r="E32" s="18" t="n">
        <v>2.27380053</v>
      </c>
      <c r="F32" s="20" t="n">
        <v>0.81858824</v>
      </c>
      <c r="G32" s="18" t="n">
        <v>96.77328623</v>
      </c>
      <c r="H32" s="20" t="n">
        <v>0.94528755</v>
      </c>
      <c r="I32" s="18" t="s">
        <v>431</v>
      </c>
      <c r="J32" s="20" t="s">
        <v>431</v>
      </c>
      <c r="K32" s="18" t="n">
        <v>0.25671725</v>
      </c>
      <c r="L32" s="20" t="n">
        <v>0.24219836</v>
      </c>
      <c r="M32" s="18" t="n">
        <v>0</v>
      </c>
      <c r="N32" s="20" t="n">
        <v>0</v>
      </c>
      <c r="O32" s="18" t="n">
        <v>0</v>
      </c>
      <c r="P32" s="20" t="n">
        <v>0</v>
      </c>
      <c r="Q32" s="18" t="n">
        <v>0.69619599</v>
      </c>
      <c r="R32" s="20" t="n">
        <v>0.40205366</v>
      </c>
    </row>
    <row r="33" spans="1:18">
      <c r="A33" s="15" t="s">
        <v>457</v>
      </c>
      <c r="B33" s="17" t="n">
        <v>3674</v>
      </c>
      <c r="C33" s="18">
        <f>(3220.0/B33*100)</f>
        <v/>
      </c>
      <c r="D33" s="19" t="n">
        <v>454</v>
      </c>
      <c r="E33" s="18" t="n">
        <v>3.00023365</v>
      </c>
      <c r="F33" s="20" t="n">
        <v>0.84555156</v>
      </c>
      <c r="G33" s="18" t="n">
        <v>96.17670405</v>
      </c>
      <c r="H33" s="20" t="n">
        <v>0.95582215</v>
      </c>
      <c r="I33" s="18" t="s">
        <v>431</v>
      </c>
      <c r="J33" s="20" t="s">
        <v>431</v>
      </c>
      <c r="K33" s="18" t="n">
        <v>0</v>
      </c>
      <c r="L33" s="20" t="n">
        <v>0</v>
      </c>
      <c r="M33" s="18" t="n">
        <v>0</v>
      </c>
      <c r="N33" s="20" t="n">
        <v>0</v>
      </c>
      <c r="O33" s="18" t="n">
        <v>0</v>
      </c>
      <c r="P33" s="20" t="n">
        <v>0</v>
      </c>
      <c r="Q33" s="18" t="n">
        <v>0.8230623</v>
      </c>
      <c r="R33" s="20" t="n">
        <v>0.45053954</v>
      </c>
    </row>
    <row r="34" spans="1:18">
      <c r="A34" s="15" t="s">
        <v>458</v>
      </c>
      <c r="B34" s="17" t="n">
        <v>3315</v>
      </c>
      <c r="C34" s="18">
        <f>(2846.0/B34*100)</f>
        <v/>
      </c>
      <c r="D34" s="19" t="n">
        <v>469</v>
      </c>
      <c r="E34" s="18" t="n">
        <v>12.38976016</v>
      </c>
      <c r="F34" s="20" t="n">
        <v>2.16470119</v>
      </c>
      <c r="G34" s="18" t="n">
        <v>87.07245919</v>
      </c>
      <c r="H34" s="20" t="n">
        <v>2.15747142</v>
      </c>
      <c r="I34" s="18" t="s">
        <v>431</v>
      </c>
      <c r="J34" s="20" t="s">
        <v>431</v>
      </c>
      <c r="K34" s="18" t="n">
        <v>0</v>
      </c>
      <c r="L34" s="20" t="n">
        <v>0</v>
      </c>
      <c r="M34" s="18" t="n">
        <v>0</v>
      </c>
      <c r="N34" s="20" t="n">
        <v>0</v>
      </c>
      <c r="O34" s="18" t="n">
        <v>0</v>
      </c>
      <c r="P34" s="20" t="n">
        <v>0</v>
      </c>
      <c r="Q34" s="18" t="n">
        <v>0.53778065</v>
      </c>
      <c r="R34" s="20" t="n">
        <v>0.40184476</v>
      </c>
    </row>
    <row r="35" spans="1:18">
      <c r="A35" s="15" t="s">
        <v>459</v>
      </c>
      <c r="B35" s="17" t="n">
        <v>3505</v>
      </c>
      <c r="C35" s="18">
        <f>(2979.0/B35*100)</f>
        <v/>
      </c>
      <c r="D35" s="19" t="n">
        <v>526</v>
      </c>
      <c r="E35" s="18" t="n">
        <v>4.12387669</v>
      </c>
      <c r="F35" s="20" t="n">
        <v>0.76224626</v>
      </c>
      <c r="G35" s="18" t="n">
        <v>95.20829926</v>
      </c>
      <c r="H35" s="20" t="n">
        <v>0.84322692</v>
      </c>
      <c r="I35" s="18" t="s">
        <v>431</v>
      </c>
      <c r="J35" s="20" t="s">
        <v>431</v>
      </c>
      <c r="K35" s="18" t="n">
        <v>0</v>
      </c>
      <c r="L35" s="20" t="n">
        <v>0</v>
      </c>
      <c r="M35" s="18" t="n">
        <v>0</v>
      </c>
      <c r="N35" s="20" t="n">
        <v>0</v>
      </c>
      <c r="O35" s="18" t="n">
        <v>0</v>
      </c>
      <c r="P35" s="20" t="n">
        <v>0</v>
      </c>
      <c r="Q35" s="18" t="n">
        <v>0.66782405</v>
      </c>
      <c r="R35" s="20" t="n">
        <v>0.3683292</v>
      </c>
    </row>
    <row r="36" spans="1:18">
      <c r="A36" s="15" t="s">
        <v>460</v>
      </c>
      <c r="B36" s="17" t="n">
        <v>3332</v>
      </c>
      <c r="C36" s="18">
        <f>(2921.0/B36*100)</f>
        <v/>
      </c>
      <c r="D36" s="19" t="n">
        <v>411</v>
      </c>
      <c r="E36" s="18" t="n">
        <v>3.91872975</v>
      </c>
      <c r="F36" s="20" t="n">
        <v>1.02394154</v>
      </c>
      <c r="G36" s="18" t="n">
        <v>96.01811022</v>
      </c>
      <c r="H36" s="20" t="n">
        <v>1.02533048</v>
      </c>
      <c r="I36" s="18" t="s">
        <v>431</v>
      </c>
      <c r="J36" s="20" t="s">
        <v>431</v>
      </c>
      <c r="K36" s="18" t="n">
        <v>0</v>
      </c>
      <c r="L36" s="20" t="n">
        <v>0</v>
      </c>
      <c r="M36" s="18" t="n">
        <v>0</v>
      </c>
      <c r="N36" s="20" t="n">
        <v>0</v>
      </c>
      <c r="O36" s="18" t="n">
        <v>0</v>
      </c>
      <c r="P36" s="20" t="n">
        <v>0</v>
      </c>
      <c r="Q36" s="18" t="n">
        <v>0.06316003000000001</v>
      </c>
      <c r="R36" s="20" t="n">
        <v>0.06177655</v>
      </c>
    </row>
    <row r="37" spans="1:18">
      <c r="A37" s="15" t="s">
        <v>461</v>
      </c>
      <c r="B37" s="17" t="n">
        <v>2727</v>
      </c>
      <c r="C37" s="18">
        <f>(2392.0/B37*100)</f>
        <v/>
      </c>
      <c r="D37" s="19" t="n">
        <v>335</v>
      </c>
      <c r="E37" s="18" t="n">
        <v>8.710951870000001</v>
      </c>
      <c r="F37" s="20" t="n">
        <v>1.43411921</v>
      </c>
      <c r="G37" s="18" t="n">
        <v>90.11364184</v>
      </c>
      <c r="H37" s="20" t="n">
        <v>1.71338467</v>
      </c>
      <c r="I37" s="18" t="s">
        <v>431</v>
      </c>
      <c r="J37" s="20" t="s">
        <v>431</v>
      </c>
      <c r="K37" s="18" t="n">
        <v>0.26171509</v>
      </c>
      <c r="L37" s="20" t="n">
        <v>0.37124693</v>
      </c>
      <c r="M37" s="18" t="n">
        <v>0</v>
      </c>
      <c r="N37" s="20" t="n">
        <v>0</v>
      </c>
      <c r="O37" s="18" t="n">
        <v>0</v>
      </c>
      <c r="P37" s="20" t="n">
        <v>0</v>
      </c>
      <c r="Q37" s="18" t="n">
        <v>0.9136912</v>
      </c>
      <c r="R37" s="20" t="n">
        <v>0.68882095</v>
      </c>
    </row>
    <row r="38" spans="1:18">
      <c r="A38" s="15" t="s">
        <v>462</v>
      </c>
      <c r="B38" s="17" t="n">
        <v>3053</v>
      </c>
      <c r="C38" s="18">
        <f>(2543.0/B38*100)</f>
        <v/>
      </c>
      <c r="D38" s="19" t="n">
        <v>510</v>
      </c>
      <c r="E38" s="18" t="n">
        <v>3.51034795</v>
      </c>
      <c r="F38" s="20" t="n">
        <v>0.79087094</v>
      </c>
      <c r="G38" s="18" t="n">
        <v>96.44852808</v>
      </c>
      <c r="H38" s="20" t="n">
        <v>0.79435853</v>
      </c>
      <c r="I38" s="18" t="s">
        <v>431</v>
      </c>
      <c r="J38" s="20" t="s">
        <v>431</v>
      </c>
      <c r="K38" s="18" t="n">
        <v>0</v>
      </c>
      <c r="L38" s="20" t="n">
        <v>0</v>
      </c>
      <c r="M38" s="18" t="n">
        <v>0</v>
      </c>
      <c r="N38" s="20" t="n">
        <v>0</v>
      </c>
      <c r="O38" s="18" t="n">
        <v>0</v>
      </c>
      <c r="P38" s="20" t="n">
        <v>0</v>
      </c>
      <c r="Q38" s="18" t="n">
        <v>0.04112397</v>
      </c>
      <c r="R38" s="20" t="n">
        <v>0.04174042</v>
      </c>
    </row>
    <row r="39" spans="1:18">
      <c r="A39" s="15" t="s">
        <v>463</v>
      </c>
      <c r="B39" s="17" t="n">
        <v>2957</v>
      </c>
      <c r="C39" s="18">
        <f>(2592.0/B39*100)</f>
        <v/>
      </c>
      <c r="D39" s="19" t="n">
        <v>365</v>
      </c>
      <c r="E39" s="18" t="n">
        <v>6.10692228</v>
      </c>
      <c r="F39" s="20" t="n">
        <v>1.20888339</v>
      </c>
      <c r="G39" s="18" t="n">
        <v>93.49372356000001</v>
      </c>
      <c r="H39" s="20" t="n">
        <v>1.28435685</v>
      </c>
      <c r="I39" s="18" t="s">
        <v>431</v>
      </c>
      <c r="J39" s="20" t="s">
        <v>431</v>
      </c>
      <c r="K39" s="18" t="n">
        <v>0.39935416</v>
      </c>
      <c r="L39" s="20" t="n">
        <v>0.4044374</v>
      </c>
      <c r="M39" s="18" t="n">
        <v>0</v>
      </c>
      <c r="N39" s="20" t="n">
        <v>0</v>
      </c>
      <c r="O39" s="18" t="n">
        <v>0</v>
      </c>
      <c r="P39" s="20" t="n">
        <v>0</v>
      </c>
      <c r="Q39" s="18" t="n">
        <v>0</v>
      </c>
      <c r="R39" s="20" t="n">
        <v>0</v>
      </c>
    </row>
    <row r="40" spans="1:18">
      <c r="A40" s="15" t="s">
        <v>464</v>
      </c>
      <c r="B40" s="17" t="n">
        <v>7235</v>
      </c>
      <c r="C40" s="18">
        <f>(6335.0/B40*100)</f>
        <v/>
      </c>
      <c r="D40" s="19" t="n">
        <v>900</v>
      </c>
      <c r="E40" s="18" t="n">
        <v>2.59634076</v>
      </c>
      <c r="F40" s="20" t="n">
        <v>0.72393193</v>
      </c>
      <c r="G40" s="18" t="n">
        <v>95.70660325999999</v>
      </c>
      <c r="H40" s="20" t="n">
        <v>0.8973506999999999</v>
      </c>
      <c r="I40" s="18" t="s">
        <v>431</v>
      </c>
      <c r="J40" s="20" t="s">
        <v>431</v>
      </c>
      <c r="K40" s="18" t="n">
        <v>0.09593364</v>
      </c>
      <c r="L40" s="20" t="n">
        <v>0.06208018</v>
      </c>
      <c r="M40" s="18" t="n">
        <v>0</v>
      </c>
      <c r="N40" s="20" t="n">
        <v>0</v>
      </c>
      <c r="O40" s="18" t="n">
        <v>0</v>
      </c>
      <c r="P40" s="20" t="n">
        <v>0</v>
      </c>
      <c r="Q40" s="18" t="n">
        <v>1.60112235</v>
      </c>
      <c r="R40" s="20" t="n">
        <v>0.79734671</v>
      </c>
    </row>
    <row r="41" spans="1:18">
      <c r="A41" s="15" t="s">
        <v>465</v>
      </c>
      <c r="B41" s="17" t="n">
        <v>2858</v>
      </c>
      <c r="C41" s="18">
        <f>(2467.0/B41*100)</f>
        <v/>
      </c>
      <c r="D41" s="19" t="n">
        <v>391</v>
      </c>
      <c r="E41" s="18" t="n">
        <v>6.05623221</v>
      </c>
      <c r="F41" s="20" t="n">
        <v>1.25486997</v>
      </c>
      <c r="G41" s="18" t="n">
        <v>93.67634597</v>
      </c>
      <c r="H41" s="20" t="n">
        <v>1.27160795</v>
      </c>
      <c r="I41" s="18" t="s">
        <v>431</v>
      </c>
      <c r="J41" s="20" t="s">
        <v>431</v>
      </c>
      <c r="K41" s="18" t="n">
        <v>0</v>
      </c>
      <c r="L41" s="20" t="n">
        <v>0</v>
      </c>
      <c r="M41" s="18" t="n">
        <v>0</v>
      </c>
      <c r="N41" s="20" t="n">
        <v>0</v>
      </c>
      <c r="O41" s="18" t="n">
        <v>0</v>
      </c>
      <c r="P41" s="20" t="n">
        <v>0</v>
      </c>
      <c r="Q41" s="18" t="n">
        <v>0.26742182</v>
      </c>
      <c r="R41" s="20" t="n">
        <v>0.23599647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(9806.0/B46*100)</f>
        <v/>
      </c>
      <c r="D46" s="19" t="n">
        <v>1262</v>
      </c>
      <c r="E46" s="18" t="n">
        <v>10.18404746</v>
      </c>
      <c r="F46" s="20" t="n">
        <v>1.30057831</v>
      </c>
      <c r="G46" s="18" t="n">
        <v>87.41207618999999</v>
      </c>
      <c r="H46" s="20" t="n">
        <v>1.40782259</v>
      </c>
      <c r="I46" s="18" t="s">
        <v>431</v>
      </c>
      <c r="J46" s="20" t="s">
        <v>431</v>
      </c>
      <c r="K46" s="18" t="n">
        <v>0.40659386</v>
      </c>
      <c r="L46" s="20" t="n">
        <v>0.03257132</v>
      </c>
      <c r="M46" s="18" t="n">
        <v>0</v>
      </c>
      <c r="N46" s="20" t="n">
        <v>0</v>
      </c>
      <c r="O46" s="18" t="n">
        <v>0</v>
      </c>
      <c r="P46" s="20" t="n">
        <v>0</v>
      </c>
      <c r="Q46" s="18" t="n">
        <v>1.99728249</v>
      </c>
      <c r="R46" s="20" t="n">
        <v>0.53332364</v>
      </c>
    </row>
    <row r="47" spans="1:18">
      <c r="A47" s="15" t="s">
        <v>471</v>
      </c>
      <c r="B47" s="17" t="n">
        <v>3105</v>
      </c>
      <c r="C47" s="18">
        <f>(2715.0/B47*100)</f>
        <v/>
      </c>
      <c r="D47" s="19" t="n">
        <v>390</v>
      </c>
      <c r="E47" s="18" t="n">
        <v>14.58085679</v>
      </c>
      <c r="F47" s="20" t="n">
        <v>1.78778043</v>
      </c>
      <c r="G47" s="18" t="n">
        <v>83.40629985</v>
      </c>
      <c r="H47" s="20" t="n">
        <v>2.04180934</v>
      </c>
      <c r="I47" s="18" t="s">
        <v>431</v>
      </c>
      <c r="J47" s="20" t="s">
        <v>431</v>
      </c>
      <c r="K47" s="18" t="n">
        <v>0</v>
      </c>
      <c r="L47" s="20" t="n">
        <v>0</v>
      </c>
      <c r="M47" s="18" t="n">
        <v>0</v>
      </c>
      <c r="N47" s="20" t="n">
        <v>0</v>
      </c>
      <c r="O47" s="18" t="n">
        <v>0</v>
      </c>
      <c r="P47" s="20" t="n">
        <v>0</v>
      </c>
      <c r="Q47" s="18" t="n">
        <v>2.01284336</v>
      </c>
      <c r="R47" s="20" t="n">
        <v>0.6747470800000001</v>
      </c>
    </row>
    <row r="48" spans="1:18">
      <c r="A48" s="15" t="s">
        <v>472</v>
      </c>
      <c r="B48" s="17" t="n">
        <v>5159</v>
      </c>
      <c r="C48" s="18">
        <f>(4547.0/B48*100)</f>
        <v/>
      </c>
      <c r="D48" s="19" t="n">
        <v>612</v>
      </c>
      <c r="E48" s="18" t="n">
        <v>6.2611705</v>
      </c>
      <c r="F48" s="20" t="n">
        <v>1.36629147</v>
      </c>
      <c r="G48" s="18" t="n">
        <v>91.83751282999999</v>
      </c>
      <c r="H48" s="20" t="n">
        <v>1.70236154</v>
      </c>
      <c r="I48" s="18" t="s">
        <v>431</v>
      </c>
      <c r="J48" s="20" t="s">
        <v>431</v>
      </c>
      <c r="K48" s="18" t="n">
        <v>0.95636946</v>
      </c>
      <c r="L48" s="20" t="n">
        <v>0.5598136500000001</v>
      </c>
      <c r="M48" s="18" t="n">
        <v>0</v>
      </c>
      <c r="N48" s="20" t="n">
        <v>0</v>
      </c>
      <c r="O48" s="18" t="n">
        <v>0</v>
      </c>
      <c r="P48" s="20" t="n">
        <v>0</v>
      </c>
      <c r="Q48" s="18" t="n">
        <v>0.9449472</v>
      </c>
      <c r="R48" s="20" t="n">
        <v>0.50341263</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(4952.0/B50*100)</f>
        <v/>
      </c>
      <c r="D50" s="19" t="n">
        <v>685</v>
      </c>
      <c r="E50" s="18" t="n">
        <v>7.21111916</v>
      </c>
      <c r="F50" s="20" t="n">
        <v>1.48544333</v>
      </c>
      <c r="G50" s="18" t="n">
        <v>89.20562318</v>
      </c>
      <c r="H50" s="20" t="n">
        <v>1.92628511</v>
      </c>
      <c r="I50" s="18" t="s">
        <v>431</v>
      </c>
      <c r="J50" s="20" t="s">
        <v>431</v>
      </c>
      <c r="K50" s="18" t="n">
        <v>1.63285982</v>
      </c>
      <c r="L50" s="20" t="n">
        <v>0.6463278</v>
      </c>
      <c r="M50" s="18" t="n">
        <v>0</v>
      </c>
      <c r="N50" s="20" t="n">
        <v>0</v>
      </c>
      <c r="O50" s="18" t="n">
        <v>0</v>
      </c>
      <c r="P50" s="20" t="n">
        <v>0</v>
      </c>
      <c r="Q50" s="18" t="n">
        <v>1.95039783</v>
      </c>
      <c r="R50" s="20" t="n">
        <v>0.91048198</v>
      </c>
    </row>
    <row r="51" spans="1:18">
      <c r="A51" s="15" t="s">
        <v>475</v>
      </c>
      <c r="B51" s="17" t="n">
        <v>3372</v>
      </c>
      <c r="C51" s="18">
        <f>(2625.0/B51*100)</f>
        <v/>
      </c>
      <c r="D51" s="19" t="n">
        <v>747</v>
      </c>
      <c r="E51" s="18" t="n">
        <v>4.21443791</v>
      </c>
      <c r="F51" s="20" t="n">
        <v>0.85416791</v>
      </c>
      <c r="G51" s="18" t="n">
        <v>94.2865858</v>
      </c>
      <c r="H51" s="20" t="n">
        <v>1.03544333</v>
      </c>
      <c r="I51" s="18" t="s">
        <v>431</v>
      </c>
      <c r="J51" s="20" t="s">
        <v>431</v>
      </c>
      <c r="K51" s="18" t="n">
        <v>0.30203619</v>
      </c>
      <c r="L51" s="20" t="n">
        <v>0.21904451</v>
      </c>
      <c r="M51" s="18" t="n">
        <v>0</v>
      </c>
      <c r="N51" s="20" t="n">
        <v>0</v>
      </c>
      <c r="O51" s="18" t="n">
        <v>0</v>
      </c>
      <c r="P51" s="20" t="n">
        <v>0</v>
      </c>
      <c r="Q51" s="18" t="n">
        <v>1.19694011</v>
      </c>
      <c r="R51" s="20" t="n">
        <v>0.40714433</v>
      </c>
    </row>
    <row r="52" spans="1:18">
      <c r="A52" s="15" t="s">
        <v>476</v>
      </c>
      <c r="B52" s="17" t="n">
        <v>2796</v>
      </c>
      <c r="C52" s="18">
        <f>(2444.0/B52*100)</f>
        <v/>
      </c>
      <c r="D52" s="19" t="n">
        <v>352</v>
      </c>
      <c r="E52" s="18" t="n">
        <v>6.0765554</v>
      </c>
      <c r="F52" s="20" t="n">
        <v>1.09548099</v>
      </c>
      <c r="G52" s="18" t="n">
        <v>93.33804832</v>
      </c>
      <c r="H52" s="20" t="n">
        <v>1.08926523</v>
      </c>
      <c r="I52" s="18" t="s">
        <v>431</v>
      </c>
      <c r="J52" s="20" t="s">
        <v>431</v>
      </c>
      <c r="K52" s="18" t="n">
        <v>0.35627225</v>
      </c>
      <c r="L52" s="20" t="n">
        <v>0.36152979</v>
      </c>
      <c r="M52" s="18" t="n">
        <v>0</v>
      </c>
      <c r="N52" s="20" t="n">
        <v>0</v>
      </c>
      <c r="O52" s="18" t="n">
        <v>0</v>
      </c>
      <c r="P52" s="20" t="n">
        <v>0</v>
      </c>
      <c r="Q52" s="18" t="n">
        <v>0.22912403</v>
      </c>
      <c r="R52" s="20" t="n">
        <v>0.23031204</v>
      </c>
    </row>
    <row r="53" spans="1:18">
      <c r="A53" s="15" t="s">
        <v>477</v>
      </c>
      <c r="B53" s="17" t="n">
        <v>2811</v>
      </c>
      <c r="C53" s="18">
        <f>(2473.0/B53*100)</f>
        <v/>
      </c>
      <c r="D53" s="19" t="n">
        <v>338</v>
      </c>
      <c r="E53" s="18" t="n">
        <v>19.45547108</v>
      </c>
      <c r="F53" s="20" t="n">
        <v>2.41542014</v>
      </c>
      <c r="G53" s="18" t="n">
        <v>79.71837226</v>
      </c>
      <c r="H53" s="20" t="n">
        <v>2.47283985</v>
      </c>
      <c r="I53" s="18" t="s">
        <v>431</v>
      </c>
      <c r="J53" s="20" t="s">
        <v>431</v>
      </c>
      <c r="K53" s="18" t="n">
        <v>0</v>
      </c>
      <c r="L53" s="20" t="n">
        <v>0</v>
      </c>
      <c r="M53" s="18" t="n">
        <v>0</v>
      </c>
      <c r="N53" s="20" t="n">
        <v>0</v>
      </c>
      <c r="O53" s="18" t="n">
        <v>0</v>
      </c>
      <c r="P53" s="20" t="n">
        <v>0</v>
      </c>
      <c r="Q53" s="18" t="n">
        <v>0.82615666</v>
      </c>
      <c r="R53" s="20" t="n">
        <v>0.49732774</v>
      </c>
    </row>
    <row r="54" spans="1:18">
      <c r="A54" s="15" t="s">
        <v>478</v>
      </c>
      <c r="B54" s="17" t="n">
        <v>2266</v>
      </c>
      <c r="C54" s="18">
        <f>(1901.0/B54*100)</f>
        <v/>
      </c>
      <c r="D54" s="19" t="n">
        <v>365</v>
      </c>
      <c r="E54" s="18" t="n">
        <v>14.07473484</v>
      </c>
      <c r="F54" s="20" t="n">
        <v>2.36621362</v>
      </c>
      <c r="G54" s="18" t="n">
        <v>78.32851046</v>
      </c>
      <c r="H54" s="20" t="n">
        <v>2.77027984</v>
      </c>
      <c r="I54" s="18" t="s">
        <v>431</v>
      </c>
      <c r="J54" s="20" t="s">
        <v>431</v>
      </c>
      <c r="K54" s="18" t="n">
        <v>6.20157585</v>
      </c>
      <c r="L54" s="20" t="n">
        <v>1.33313294</v>
      </c>
      <c r="M54" s="18" t="n">
        <v>0</v>
      </c>
      <c r="N54" s="20" t="n">
        <v>0</v>
      </c>
      <c r="O54" s="18" t="n">
        <v>0</v>
      </c>
      <c r="P54" s="20" t="n">
        <v>0</v>
      </c>
      <c r="Q54" s="18" t="n">
        <v>1.39517885</v>
      </c>
      <c r="R54" s="20" t="n">
        <v>0.5571592399999999</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(2337.0/B56*100)</f>
        <v/>
      </c>
      <c r="D56" s="19" t="n">
        <v>347</v>
      </c>
      <c r="E56" s="18" t="n">
        <v>2.64072812</v>
      </c>
      <c r="F56" s="20" t="n">
        <v>0.67389049</v>
      </c>
      <c r="G56" s="18" t="n">
        <v>96.34643131999999</v>
      </c>
      <c r="H56" s="20" t="n">
        <v>0.90390926</v>
      </c>
      <c r="I56" s="18" t="s">
        <v>431</v>
      </c>
      <c r="J56" s="20" t="s">
        <v>431</v>
      </c>
      <c r="K56" s="18" t="n">
        <v>0.37020122</v>
      </c>
      <c r="L56" s="20" t="n">
        <v>0.31517841</v>
      </c>
      <c r="M56" s="18" t="n">
        <v>0</v>
      </c>
      <c r="N56" s="20" t="n">
        <v>0</v>
      </c>
      <c r="O56" s="18" t="n">
        <v>0</v>
      </c>
      <c r="P56" s="20" t="n">
        <v>0</v>
      </c>
      <c r="Q56" s="18" t="n">
        <v>0.64263934</v>
      </c>
      <c r="R56" s="20" t="n">
        <v>0.49833312</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(2913.0/B61*100)</f>
        <v/>
      </c>
      <c r="D61" s="19" t="n">
        <v>411</v>
      </c>
      <c r="E61" s="18" t="n">
        <v>5.8951799</v>
      </c>
      <c r="F61" s="20" t="n">
        <v>1.49892467</v>
      </c>
      <c r="G61" s="18" t="n">
        <v>92.83740881999999</v>
      </c>
      <c r="H61" s="20" t="n">
        <v>1.47287872</v>
      </c>
      <c r="I61" s="18" t="s">
        <v>431</v>
      </c>
      <c r="J61" s="20" t="s">
        <v>431</v>
      </c>
      <c r="K61" s="18" t="n">
        <v>0</v>
      </c>
      <c r="L61" s="20" t="n">
        <v>0</v>
      </c>
      <c r="M61" s="18" t="n">
        <v>0</v>
      </c>
      <c r="N61" s="20" t="n">
        <v>0</v>
      </c>
      <c r="O61" s="18" t="n">
        <v>0</v>
      </c>
      <c r="P61" s="20" t="n">
        <v>0</v>
      </c>
      <c r="Q61" s="18" t="n">
        <v>1.26741128</v>
      </c>
      <c r="R61" s="20" t="n">
        <v>0.64707748</v>
      </c>
    </row>
    <row r="62" spans="1:18">
      <c r="A62" s="15" t="s">
        <v>486</v>
      </c>
      <c r="B62" s="17" t="n">
        <v>2246</v>
      </c>
      <c r="C62" s="18">
        <f>(1955.0/B62*100)</f>
        <v/>
      </c>
      <c r="D62" s="19" t="n">
        <v>291</v>
      </c>
      <c r="E62" s="18" t="n">
        <v>3.4125614</v>
      </c>
      <c r="F62" s="20" t="n">
        <v>1.16254675</v>
      </c>
      <c r="G62" s="18" t="n">
        <v>96.5874386</v>
      </c>
      <c r="H62" s="20" t="n">
        <v>1.16254675</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(2527.0/B66*100)</f>
        <v/>
      </c>
      <c r="D66" s="19" t="n">
        <v>367</v>
      </c>
      <c r="E66" s="18" t="n">
        <v>9.36375866</v>
      </c>
      <c r="F66" s="20" t="n">
        <v>1.48267458</v>
      </c>
      <c r="G66" s="18" t="n">
        <v>88.50632317</v>
      </c>
      <c r="H66" s="20" t="n">
        <v>1.55110305</v>
      </c>
      <c r="I66" s="18" t="s">
        <v>431</v>
      </c>
      <c r="J66" s="20" t="s">
        <v>431</v>
      </c>
      <c r="K66" s="18" t="n">
        <v>0</v>
      </c>
      <c r="L66" s="20" t="n">
        <v>0</v>
      </c>
      <c r="M66" s="18" t="n">
        <v>0</v>
      </c>
      <c r="N66" s="20" t="n">
        <v>0</v>
      </c>
      <c r="O66" s="18" t="n">
        <v>0</v>
      </c>
      <c r="P66" s="20" t="n">
        <v>0</v>
      </c>
      <c r="Q66" s="18" t="n">
        <v>2.12991817</v>
      </c>
      <c r="R66" s="20" t="n">
        <v>0.68622954</v>
      </c>
    </row>
    <row r="67" spans="1:18">
      <c r="A67" s="15" t="s">
        <v>491</v>
      </c>
      <c r="B67" s="17" t="n">
        <v>3511</v>
      </c>
      <c r="C67" s="18">
        <f>(3062.0/B67*100)</f>
        <v/>
      </c>
      <c r="D67" s="19" t="n">
        <v>449</v>
      </c>
      <c r="E67" s="18" t="n">
        <v>7.78939484</v>
      </c>
      <c r="F67" s="20" t="n">
        <v>1.49624994</v>
      </c>
      <c r="G67" s="18" t="n">
        <v>91.77669313</v>
      </c>
      <c r="H67" s="20" t="n">
        <v>1.34375619</v>
      </c>
      <c r="I67" s="18" t="s">
        <v>431</v>
      </c>
      <c r="J67" s="20" t="s">
        <v>431</v>
      </c>
      <c r="K67" s="18" t="n">
        <v>0</v>
      </c>
      <c r="L67" s="20" t="n">
        <v>0</v>
      </c>
      <c r="M67" s="18" t="n">
        <v>0</v>
      </c>
      <c r="N67" s="20" t="n">
        <v>0</v>
      </c>
      <c r="O67" s="18" t="n">
        <v>0</v>
      </c>
      <c r="P67" s="20" t="n">
        <v>0</v>
      </c>
      <c r="Q67" s="18" t="n">
        <v>0.43391203</v>
      </c>
      <c r="R67" s="20" t="n">
        <v>0.43421934</v>
      </c>
    </row>
    <row r="68" spans="1:18">
      <c r="A68" s="15" t="s">
        <v>492</v>
      </c>
      <c r="B68" s="17" t="n">
        <v>6049</v>
      </c>
      <c r="C68" s="18">
        <f>(5042.0/B68*100)</f>
        <v/>
      </c>
      <c r="D68" s="19" t="n">
        <v>1007</v>
      </c>
      <c r="E68" s="18" t="n">
        <v>14.41415718</v>
      </c>
      <c r="F68" s="20" t="n">
        <v>1.07110779</v>
      </c>
      <c r="G68" s="18" t="n">
        <v>81.57522160000001</v>
      </c>
      <c r="H68" s="20" t="n">
        <v>1.22620844</v>
      </c>
      <c r="I68" s="18" t="s">
        <v>431</v>
      </c>
      <c r="J68" s="20" t="s">
        <v>431</v>
      </c>
      <c r="K68" s="18" t="n">
        <v>1.18496895</v>
      </c>
      <c r="L68" s="20" t="n">
        <v>0.35960476</v>
      </c>
      <c r="M68" s="18" t="n">
        <v>0</v>
      </c>
      <c r="N68" s="20" t="n">
        <v>0</v>
      </c>
      <c r="O68" s="18" t="n">
        <v>0</v>
      </c>
      <c r="P68" s="20" t="n">
        <v>0</v>
      </c>
      <c r="Q68" s="18" t="n">
        <v>2.82565227</v>
      </c>
      <c r="R68" s="20" t="n">
        <v>0.51550414</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(2587.0/B70*100)</f>
        <v/>
      </c>
      <c r="D70" s="19" t="n">
        <v>342</v>
      </c>
      <c r="E70" s="18" t="n">
        <v>1.95960168</v>
      </c>
      <c r="F70" s="20" t="n">
        <v>0.8847256100000001</v>
      </c>
      <c r="G70" s="18" t="n">
        <v>97.52711598</v>
      </c>
      <c r="H70" s="20" t="n">
        <v>1.05824214</v>
      </c>
      <c r="I70" s="18" t="s">
        <v>431</v>
      </c>
      <c r="J70" s="20" t="s">
        <v>431</v>
      </c>
      <c r="K70" s="18" t="n">
        <v>0.21557039</v>
      </c>
      <c r="L70" s="20" t="n">
        <v>0.21659197</v>
      </c>
      <c r="M70" s="18" t="n">
        <v>0</v>
      </c>
      <c r="N70" s="20" t="n">
        <v>0</v>
      </c>
      <c r="O70" s="18" t="n">
        <v>0</v>
      </c>
      <c r="P70" s="20" t="n">
        <v>0</v>
      </c>
      <c r="Q70" s="18" t="n">
        <v>0.29771195</v>
      </c>
      <c r="R70" s="20" t="n">
        <v>0.53848439</v>
      </c>
    </row>
    <row r="71" spans="1:18">
      <c r="A71" s="15" t="s">
        <v>495</v>
      </c>
      <c r="B71" s="17" t="n">
        <v>3142</v>
      </c>
      <c r="C71" s="18">
        <f>(2755.0/B71*100)</f>
        <v/>
      </c>
      <c r="D71" s="19" t="n">
        <v>387</v>
      </c>
      <c r="E71" s="18" t="n">
        <v>3.3039361</v>
      </c>
      <c r="F71" s="20" t="n">
        <v>1.0289377</v>
      </c>
      <c r="G71" s="18" t="n">
        <v>96.2208574</v>
      </c>
      <c r="H71" s="20" t="n">
        <v>1.08911829</v>
      </c>
      <c r="I71" s="18" t="s">
        <v>431</v>
      </c>
      <c r="J71" s="20" t="s">
        <v>431</v>
      </c>
      <c r="K71" s="18" t="n">
        <v>0.27596452</v>
      </c>
      <c r="L71" s="20" t="n">
        <v>0.26463588</v>
      </c>
      <c r="M71" s="18" t="n">
        <v>0</v>
      </c>
      <c r="N71" s="20" t="n">
        <v>0</v>
      </c>
      <c r="O71" s="18" t="n">
        <v>0</v>
      </c>
      <c r="P71" s="20" t="n">
        <v>0</v>
      </c>
      <c r="Q71" s="18" t="n">
        <v>0.19924199</v>
      </c>
      <c r="R71" s="20" t="n">
        <v>0.20303407</v>
      </c>
    </row>
    <row r="72" spans="1:18">
      <c r="A72" s="15" t="s">
        <v>496</v>
      </c>
      <c r="B72" s="17" t="n">
        <v>3889</v>
      </c>
      <c r="C72" s="18">
        <f>(3402.0/B72*100)</f>
        <v/>
      </c>
      <c r="D72" s="19" t="n">
        <v>487</v>
      </c>
      <c r="E72" s="18" t="n">
        <v>3.87751545</v>
      </c>
      <c r="F72" s="20" t="n">
        <v>0.85877161</v>
      </c>
      <c r="G72" s="18" t="n">
        <v>95.52633648</v>
      </c>
      <c r="H72" s="20" t="n">
        <v>0.9709752</v>
      </c>
      <c r="I72" s="18" t="s">
        <v>431</v>
      </c>
      <c r="J72" s="20" t="s">
        <v>431</v>
      </c>
      <c r="K72" s="18" t="n">
        <v>0</v>
      </c>
      <c r="L72" s="20" t="n">
        <v>0</v>
      </c>
      <c r="M72" s="18" t="n">
        <v>0</v>
      </c>
      <c r="N72" s="20" t="n">
        <v>0</v>
      </c>
      <c r="O72" s="18" t="n">
        <v>0</v>
      </c>
      <c r="P72" s="20" t="n">
        <v>0</v>
      </c>
      <c r="Q72" s="18" t="n">
        <v>0.59614807</v>
      </c>
      <c r="R72" s="20" t="n">
        <v>0.37052465</v>
      </c>
    </row>
    <row r="73" spans="1:18">
      <c r="A73" s="15" t="s">
        <v>497</v>
      </c>
      <c r="B73" s="17" t="n">
        <v>3597</v>
      </c>
      <c r="C73" s="18">
        <f>(3176.0/B73*100)</f>
        <v/>
      </c>
      <c r="D73" s="19" t="n">
        <v>421</v>
      </c>
      <c r="E73" s="18" t="n">
        <v>20.61082704</v>
      </c>
      <c r="F73" s="20" t="n">
        <v>2.78284515</v>
      </c>
      <c r="G73" s="18" t="n">
        <v>79.38917296</v>
      </c>
      <c r="H73" s="20" t="n">
        <v>2.78284515</v>
      </c>
      <c r="I73" s="18" t="s">
        <v>431</v>
      </c>
      <c r="J73" s="20" t="s">
        <v>431</v>
      </c>
      <c r="K73" s="18" t="n">
        <v>0</v>
      </c>
      <c r="L73" s="20" t="n">
        <v>0</v>
      </c>
      <c r="M73" s="18" t="n">
        <v>0</v>
      </c>
      <c r="N73" s="20" t="n">
        <v>0</v>
      </c>
      <c r="O73" s="18" t="n">
        <v>0</v>
      </c>
      <c r="P73" s="20" t="n">
        <v>0</v>
      </c>
      <c r="Q73" s="18" t="n">
        <v>0</v>
      </c>
      <c r="R73" s="20" t="n">
        <v>0</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(2124.0/B75*100)</f>
        <v/>
      </c>
      <c r="D75" s="19" t="n">
        <v>282</v>
      </c>
      <c r="E75" s="18" t="n">
        <v>11.93446644</v>
      </c>
      <c r="F75" s="20" t="n">
        <v>1.90588419</v>
      </c>
      <c r="G75" s="18" t="n">
        <v>86.00530101</v>
      </c>
      <c r="H75" s="20" t="n">
        <v>2.01534661</v>
      </c>
      <c r="I75" s="18" t="s">
        <v>431</v>
      </c>
      <c r="J75" s="20" t="s">
        <v>431</v>
      </c>
      <c r="K75" s="18" t="n">
        <v>0.70633958</v>
      </c>
      <c r="L75" s="20" t="n">
        <v>0.41532045</v>
      </c>
      <c r="M75" s="18" t="n">
        <v>0</v>
      </c>
      <c r="N75" s="20" t="n">
        <v>0</v>
      </c>
      <c r="O75" s="18" t="n">
        <v>0</v>
      </c>
      <c r="P75" s="20" t="n">
        <v>0</v>
      </c>
      <c r="Q75" s="18" t="n">
        <v>1.35389296</v>
      </c>
      <c r="R75" s="20" t="n">
        <v>0.67657342</v>
      </c>
    </row>
    <row r="76" spans="1:18">
      <c r="A76" s="15" t="s">
        <v>500</v>
      </c>
      <c r="B76" s="17" t="n">
        <v>7052</v>
      </c>
      <c r="C76" s="18">
        <f>(6183.0/B76*100)</f>
        <v/>
      </c>
      <c r="D76" s="19" t="n">
        <v>869</v>
      </c>
      <c r="E76" s="18" t="n">
        <v>9.88427577</v>
      </c>
      <c r="F76" s="20" t="n">
        <v>1.21896952</v>
      </c>
      <c r="G76" s="18" t="n">
        <v>87.36757197</v>
      </c>
      <c r="H76" s="20" t="n">
        <v>1.21437094</v>
      </c>
      <c r="I76" s="18" t="s">
        <v>431</v>
      </c>
      <c r="J76" s="20" t="s">
        <v>431</v>
      </c>
      <c r="K76" s="18" t="n">
        <v>0.44436467</v>
      </c>
      <c r="L76" s="20" t="n">
        <v>0.29364414</v>
      </c>
      <c r="M76" s="18" t="n">
        <v>0</v>
      </c>
      <c r="N76" s="20" t="n">
        <v>0</v>
      </c>
      <c r="O76" s="18" t="n">
        <v>0</v>
      </c>
      <c r="P76" s="20" t="n">
        <v>0</v>
      </c>
      <c r="Q76" s="18" t="n">
        <v>2.30378758</v>
      </c>
      <c r="R76" s="20" t="n">
        <v>0.5946873</v>
      </c>
    </row>
    <row r="77" spans="1:18">
      <c r="A77" s="15" t="s">
        <v>501</v>
      </c>
      <c r="B77" s="17" t="n">
        <v>2908</v>
      </c>
      <c r="C77" s="18">
        <f>(2571.0/B77*100)</f>
        <v/>
      </c>
      <c r="D77" s="19" t="n">
        <v>337</v>
      </c>
      <c r="E77" s="18" t="n">
        <v>8.152349989999999</v>
      </c>
      <c r="F77" s="20" t="n">
        <v>1.90125674</v>
      </c>
      <c r="G77" s="18" t="n">
        <v>90.79894315</v>
      </c>
      <c r="H77" s="20" t="n">
        <v>2.16245156</v>
      </c>
      <c r="I77" s="18" t="s">
        <v>431</v>
      </c>
      <c r="J77" s="20" t="s">
        <v>431</v>
      </c>
      <c r="K77" s="18" t="n">
        <v>0.48027114</v>
      </c>
      <c r="L77" s="20" t="n">
        <v>0.47945288</v>
      </c>
      <c r="M77" s="18" t="n">
        <v>0</v>
      </c>
      <c r="N77" s="20" t="n">
        <v>0</v>
      </c>
      <c r="O77" s="18" t="n">
        <v>0</v>
      </c>
      <c r="P77" s="20" t="n">
        <v>0</v>
      </c>
      <c r="Q77" s="18" t="n">
        <v>0.56843573</v>
      </c>
      <c r="R77" s="20" t="n">
        <v>0.4644028</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(3652.0/B81*100)</f>
        <v/>
      </c>
      <c r="D81" s="19" t="n">
        <v>511</v>
      </c>
      <c r="E81" s="18" t="n">
        <v>8.3390539</v>
      </c>
      <c r="F81" s="20" t="n">
        <v>1.41132587</v>
      </c>
      <c r="G81" s="18" t="n">
        <v>90.21615628000001</v>
      </c>
      <c r="H81" s="20" t="n">
        <v>1.5686517</v>
      </c>
      <c r="I81" s="18" t="s">
        <v>431</v>
      </c>
      <c r="J81" s="20" t="s">
        <v>431</v>
      </c>
      <c r="K81" s="18" t="n">
        <v>0.24456701</v>
      </c>
      <c r="L81" s="20" t="n">
        <v>0.24353233</v>
      </c>
      <c r="M81" s="18" t="n">
        <v>0</v>
      </c>
      <c r="N81" s="20" t="n">
        <v>0</v>
      </c>
      <c r="O81" s="18" t="n">
        <v>0</v>
      </c>
      <c r="P81" s="20" t="n">
        <v>0</v>
      </c>
      <c r="Q81" s="18" t="n">
        <v>1.20022281</v>
      </c>
      <c r="R81" s="20" t="n">
        <v>0.5862136999999999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(6467.0/B7*100)</f>
        <v/>
      </c>
      <c r="D7" s="19" t="n">
        <v>900</v>
      </c>
      <c r="E7" s="18" t="n">
        <v>22.11449298</v>
      </c>
      <c r="F7" s="20" t="n">
        <v>1.86831218</v>
      </c>
      <c r="G7" s="18" t="n">
        <v>75.55729692</v>
      </c>
      <c r="H7" s="20" t="n">
        <v>2.01685604</v>
      </c>
      <c r="I7" s="18" t="s">
        <v>431</v>
      </c>
      <c r="J7" s="20" t="s">
        <v>431</v>
      </c>
      <c r="K7" s="18" t="n">
        <v>0.23855412</v>
      </c>
      <c r="L7" s="20" t="n">
        <v>0.17039286</v>
      </c>
      <c r="M7" s="18" t="n">
        <v>0.06628623</v>
      </c>
      <c r="N7" s="20" t="n">
        <v>0.03716155</v>
      </c>
      <c r="O7" s="18" t="n">
        <v>0</v>
      </c>
      <c r="P7" s="20" t="n">
        <v>0</v>
      </c>
      <c r="Q7" s="18" t="n">
        <v>2.02336975</v>
      </c>
      <c r="R7" s="20" t="n">
        <v>0.55211816</v>
      </c>
    </row>
    <row r="8" spans="1:18">
      <c r="A8" s="15" t="s">
        <v>432</v>
      </c>
      <c r="B8" s="17" t="n">
        <v>3564</v>
      </c>
      <c r="C8" s="18">
        <f>(3080.0/B8*100)</f>
        <v/>
      </c>
      <c r="D8" s="19" t="n">
        <v>484</v>
      </c>
      <c r="E8" s="18" t="n">
        <v>26.57305443</v>
      </c>
      <c r="F8" s="20" t="n">
        <v>2.44101007</v>
      </c>
      <c r="G8" s="18" t="n">
        <v>70.17534709</v>
      </c>
      <c r="H8" s="20" t="n">
        <v>2.55342143</v>
      </c>
      <c r="I8" s="18" t="s">
        <v>431</v>
      </c>
      <c r="J8" s="20" t="s">
        <v>431</v>
      </c>
      <c r="K8" s="18" t="n">
        <v>0</v>
      </c>
      <c r="L8" s="20" t="n">
        <v>0</v>
      </c>
      <c r="M8" s="18" t="n">
        <v>0</v>
      </c>
      <c r="N8" s="20" t="n">
        <v>0</v>
      </c>
      <c r="O8" s="18" t="n">
        <v>0</v>
      </c>
      <c r="P8" s="20" t="n">
        <v>0</v>
      </c>
      <c r="Q8" s="18" t="n">
        <v>3.25159848</v>
      </c>
      <c r="R8" s="20" t="n">
        <v>0.87337104</v>
      </c>
    </row>
    <row r="9" spans="1:18">
      <c r="A9" s="15" t="s">
        <v>433</v>
      </c>
      <c r="B9" s="17" t="n">
        <v>4899</v>
      </c>
      <c r="C9" s="18">
        <f>(4134.0/B9*100)</f>
        <v/>
      </c>
      <c r="D9" s="19" t="n">
        <v>765</v>
      </c>
      <c r="E9" s="18" t="n">
        <v>30.76637178</v>
      </c>
      <c r="F9" s="20" t="n">
        <v>1.80428911</v>
      </c>
      <c r="G9" s="18" t="n">
        <v>65.51720195</v>
      </c>
      <c r="H9" s="20" t="n">
        <v>1.96961749</v>
      </c>
      <c r="I9" s="18" t="s">
        <v>431</v>
      </c>
      <c r="J9" s="20" t="s">
        <v>431</v>
      </c>
      <c r="K9" s="18" t="n">
        <v>0.24296198</v>
      </c>
      <c r="L9" s="20" t="n">
        <v>0.12533071</v>
      </c>
      <c r="M9" s="18" t="n">
        <v>0.12300289</v>
      </c>
      <c r="N9" s="20" t="n">
        <v>0.12318473</v>
      </c>
      <c r="O9" s="18" t="n">
        <v>0</v>
      </c>
      <c r="P9" s="20" t="n">
        <v>0</v>
      </c>
      <c r="Q9" s="18" t="n">
        <v>3.3504614</v>
      </c>
      <c r="R9" s="20" t="n">
        <v>0.67590527</v>
      </c>
    </row>
    <row r="10" spans="1:18">
      <c r="A10" s="15" t="s">
        <v>434</v>
      </c>
      <c r="B10" s="17" t="n">
        <v>10036</v>
      </c>
      <c r="C10" s="18">
        <f>(8768.0/B10*100)</f>
        <v/>
      </c>
      <c r="D10" s="19" t="n">
        <v>1268</v>
      </c>
      <c r="E10" s="18" t="n">
        <v>15.41914366</v>
      </c>
      <c r="F10" s="20" t="n">
        <v>1.30306689</v>
      </c>
      <c r="G10" s="18" t="n">
        <v>82.92157532</v>
      </c>
      <c r="H10" s="20" t="n">
        <v>1.44009494</v>
      </c>
      <c r="I10" s="18" t="s">
        <v>431</v>
      </c>
      <c r="J10" s="20" t="s">
        <v>431</v>
      </c>
      <c r="K10" s="18" t="n">
        <v>0.43104996</v>
      </c>
      <c r="L10" s="20" t="n">
        <v>0.29570889</v>
      </c>
      <c r="M10" s="18" t="n">
        <v>0</v>
      </c>
      <c r="N10" s="20" t="n">
        <v>0</v>
      </c>
      <c r="O10" s="18" t="n">
        <v>0</v>
      </c>
      <c r="P10" s="20" t="n">
        <v>0</v>
      </c>
      <c r="Q10" s="18" t="n">
        <v>1.22823105</v>
      </c>
      <c r="R10" s="20" t="n">
        <v>0.46193875</v>
      </c>
    </row>
    <row r="11" spans="1:18">
      <c r="A11" s="15" t="s">
        <v>435</v>
      </c>
      <c r="B11" s="17" t="n">
        <v>3553</v>
      </c>
      <c r="C11" s="18">
        <f>(3104.0/B11*100)</f>
        <v/>
      </c>
      <c r="D11" s="19" t="n">
        <v>449</v>
      </c>
      <c r="E11" s="18" t="n">
        <v>25.41557666</v>
      </c>
      <c r="F11" s="20" t="n">
        <v>2.2751639</v>
      </c>
      <c r="G11" s="18" t="n">
        <v>68.49889415</v>
      </c>
      <c r="H11" s="20" t="n">
        <v>2.49537733</v>
      </c>
      <c r="I11" s="18" t="s">
        <v>431</v>
      </c>
      <c r="J11" s="20" t="s">
        <v>431</v>
      </c>
      <c r="K11" s="18" t="n">
        <v>0.19389981</v>
      </c>
      <c r="L11" s="20" t="n">
        <v>0.17947647</v>
      </c>
      <c r="M11" s="18" t="n">
        <v>0</v>
      </c>
      <c r="N11" s="20" t="n">
        <v>0</v>
      </c>
      <c r="O11" s="18" t="n">
        <v>0</v>
      </c>
      <c r="P11" s="20" t="n">
        <v>0</v>
      </c>
      <c r="Q11" s="18" t="n">
        <v>5.89162938</v>
      </c>
      <c r="R11" s="20" t="n">
        <v>1.39031995</v>
      </c>
    </row>
    <row r="12" spans="1:18">
      <c r="A12" s="15" t="s">
        <v>436</v>
      </c>
      <c r="B12" s="17" t="n">
        <v>3472</v>
      </c>
      <c r="C12" s="18">
        <f>(3012.0/B12*100)</f>
        <v/>
      </c>
      <c r="D12" s="19" t="n">
        <v>460</v>
      </c>
      <c r="E12" s="18" t="n">
        <v>26.97551733</v>
      </c>
      <c r="F12" s="20" t="n">
        <v>2.84422337</v>
      </c>
      <c r="G12" s="18" t="n">
        <v>67.97475501</v>
      </c>
      <c r="H12" s="20" t="n">
        <v>3.73595885</v>
      </c>
      <c r="I12" s="18" t="s">
        <v>431</v>
      </c>
      <c r="J12" s="20" t="s">
        <v>431</v>
      </c>
      <c r="K12" s="18" t="n">
        <v>0</v>
      </c>
      <c r="L12" s="20" t="n">
        <v>0</v>
      </c>
      <c r="M12" s="18" t="n">
        <v>0</v>
      </c>
      <c r="N12" s="20" t="n">
        <v>0</v>
      </c>
      <c r="O12" s="18" t="n">
        <v>0</v>
      </c>
      <c r="P12" s="20" t="n">
        <v>0</v>
      </c>
      <c r="Q12" s="18" t="n">
        <v>5.04972766</v>
      </c>
      <c r="R12" s="20" t="n">
        <v>1.48797885</v>
      </c>
    </row>
    <row r="13" spans="1:18">
      <c r="A13" s="15" t="s">
        <v>437</v>
      </c>
      <c r="B13" s="17" t="n">
        <v>3559</v>
      </c>
      <c r="C13" s="18">
        <f>(2949.0/B13*100)</f>
        <v/>
      </c>
      <c r="D13" s="19" t="n">
        <v>610</v>
      </c>
      <c r="E13" s="18" t="n">
        <v>36.16450428</v>
      </c>
      <c r="F13" s="20" t="n">
        <v>2.3838121</v>
      </c>
      <c r="G13" s="18" t="n">
        <v>61.86763943</v>
      </c>
      <c r="H13" s="20" t="n">
        <v>2.35640608</v>
      </c>
      <c r="I13" s="18" t="s">
        <v>431</v>
      </c>
      <c r="J13" s="20" t="s">
        <v>431</v>
      </c>
      <c r="K13" s="18" t="n">
        <v>0.2692428</v>
      </c>
      <c r="L13" s="20" t="n">
        <v>0.23129442</v>
      </c>
      <c r="M13" s="18" t="n">
        <v>0</v>
      </c>
      <c r="N13" s="20" t="n">
        <v>0</v>
      </c>
      <c r="O13" s="18" t="n">
        <v>0</v>
      </c>
      <c r="P13" s="20" t="n">
        <v>0</v>
      </c>
      <c r="Q13" s="18" t="n">
        <v>1.69861348</v>
      </c>
      <c r="R13" s="20" t="n">
        <v>0.71907986</v>
      </c>
    </row>
    <row r="14" spans="1:18">
      <c r="A14" s="15" t="s">
        <v>438</v>
      </c>
      <c r="B14" s="17" t="n">
        <v>2799</v>
      </c>
      <c r="C14" s="18">
        <f>(2455.0/B14*100)</f>
        <v/>
      </c>
      <c r="D14" s="19" t="n">
        <v>344</v>
      </c>
      <c r="E14" s="18" t="n">
        <v>22.42686264</v>
      </c>
      <c r="F14" s="20" t="n">
        <v>2.66043312</v>
      </c>
      <c r="G14" s="18" t="n">
        <v>76.81714074</v>
      </c>
      <c r="H14" s="20" t="n">
        <v>2.63677397</v>
      </c>
      <c r="I14" s="18" t="s">
        <v>431</v>
      </c>
      <c r="J14" s="20" t="s">
        <v>431</v>
      </c>
      <c r="K14" s="18" t="n">
        <v>0</v>
      </c>
      <c r="L14" s="20" t="n">
        <v>0</v>
      </c>
      <c r="M14" s="18" t="n">
        <v>0</v>
      </c>
      <c r="N14" s="20" t="n">
        <v>0</v>
      </c>
      <c r="O14" s="18" t="n">
        <v>0</v>
      </c>
      <c r="P14" s="20" t="n">
        <v>0</v>
      </c>
      <c r="Q14" s="18" t="n">
        <v>0.75599662</v>
      </c>
      <c r="R14" s="20" t="n">
        <v>0.4490507</v>
      </c>
    </row>
    <row r="15" spans="1:18">
      <c r="A15" s="15" t="s">
        <v>439</v>
      </c>
      <c r="B15" s="17" t="n">
        <v>3019</v>
      </c>
      <c r="C15" s="18">
        <f>(2628.0/B15*100)</f>
        <v/>
      </c>
      <c r="D15" s="19" t="n">
        <v>391</v>
      </c>
      <c r="E15" s="18" t="n">
        <v>23.97455833</v>
      </c>
      <c r="F15" s="20" t="n">
        <v>2.57795667</v>
      </c>
      <c r="G15" s="18" t="n">
        <v>73.28529037</v>
      </c>
      <c r="H15" s="20" t="n">
        <v>2.79660274</v>
      </c>
      <c r="I15" s="18" t="s">
        <v>431</v>
      </c>
      <c r="J15" s="20" t="s">
        <v>431</v>
      </c>
      <c r="K15" s="18" t="n">
        <v>0.22658877</v>
      </c>
      <c r="L15" s="20" t="n">
        <v>0.2275381</v>
      </c>
      <c r="M15" s="18" t="n">
        <v>0</v>
      </c>
      <c r="N15" s="20" t="n">
        <v>0</v>
      </c>
      <c r="O15" s="18" t="n">
        <v>0</v>
      </c>
      <c r="P15" s="20" t="n">
        <v>0</v>
      </c>
      <c r="Q15" s="18" t="n">
        <v>2.51356254</v>
      </c>
      <c r="R15" s="20" t="n">
        <v>0.77184104</v>
      </c>
    </row>
    <row r="16" spans="1:18">
      <c r="A16" s="15" t="s">
        <v>440</v>
      </c>
      <c r="B16" s="17" t="n">
        <v>2997</v>
      </c>
      <c r="C16" s="18">
        <f>(2637.0/B16*100)</f>
        <v/>
      </c>
      <c r="D16" s="19" t="n">
        <v>360</v>
      </c>
      <c r="E16" s="18" t="n">
        <v>32.80061101</v>
      </c>
      <c r="F16" s="20" t="n">
        <v>2.70895778</v>
      </c>
      <c r="G16" s="18" t="n">
        <v>62.0640339</v>
      </c>
      <c r="H16" s="20" t="n">
        <v>2.66482488</v>
      </c>
      <c r="I16" s="18" t="s">
        <v>431</v>
      </c>
      <c r="J16" s="20" t="s">
        <v>431</v>
      </c>
      <c r="K16" s="18" t="n">
        <v>1.01380115</v>
      </c>
      <c r="L16" s="20" t="n">
        <v>0.60482103</v>
      </c>
      <c r="M16" s="18" t="n">
        <v>0</v>
      </c>
      <c r="N16" s="20" t="n">
        <v>0</v>
      </c>
      <c r="O16" s="18" t="n">
        <v>0</v>
      </c>
      <c r="P16" s="20" t="n">
        <v>0</v>
      </c>
      <c r="Q16" s="18" t="n">
        <v>4.12155394</v>
      </c>
      <c r="R16" s="20" t="n">
        <v>1.25416916</v>
      </c>
    </row>
    <row r="17" spans="1:18">
      <c r="A17" s="15" t="s">
        <v>441</v>
      </c>
      <c r="B17" s="17" t="n">
        <v>3307</v>
      </c>
      <c r="C17" s="18">
        <f>(2823.0/B17*100)</f>
        <v/>
      </c>
      <c r="D17" s="19" t="n">
        <v>484</v>
      </c>
      <c r="E17" s="18" t="n">
        <v>14.25071443</v>
      </c>
      <c r="F17" s="20" t="n">
        <v>1.68416035</v>
      </c>
      <c r="G17" s="18" t="n">
        <v>80.64388556999999</v>
      </c>
      <c r="H17" s="20" t="n">
        <v>2.10298974</v>
      </c>
      <c r="I17" s="18" t="s">
        <v>431</v>
      </c>
      <c r="J17" s="20" t="s">
        <v>431</v>
      </c>
      <c r="K17" s="18" t="n">
        <v>0.5343712</v>
      </c>
      <c r="L17" s="20" t="n">
        <v>0.37216119</v>
      </c>
      <c r="M17" s="18" t="n">
        <v>0</v>
      </c>
      <c r="N17" s="20" t="n">
        <v>0</v>
      </c>
      <c r="O17" s="18" t="n">
        <v>0</v>
      </c>
      <c r="P17" s="20" t="n">
        <v>0</v>
      </c>
      <c r="Q17" s="18" t="n">
        <v>4.5710288</v>
      </c>
      <c r="R17" s="20" t="n">
        <v>1.09929086</v>
      </c>
    </row>
    <row r="18" spans="1:18">
      <c r="A18" s="15" t="s">
        <v>442</v>
      </c>
      <c r="B18" s="17" t="n">
        <v>2826</v>
      </c>
      <c r="C18" s="18">
        <f>(2482.0/B18*100)</f>
        <v/>
      </c>
      <c r="D18" s="19" t="n">
        <v>344</v>
      </c>
      <c r="E18" s="18" t="n">
        <v>24.79358281</v>
      </c>
      <c r="F18" s="20" t="n">
        <v>2.1852189</v>
      </c>
      <c r="G18" s="18" t="n">
        <v>69.09238766</v>
      </c>
      <c r="H18" s="20" t="n">
        <v>2.42707182</v>
      </c>
      <c r="I18" s="18" t="s">
        <v>431</v>
      </c>
      <c r="J18" s="20" t="s">
        <v>431</v>
      </c>
      <c r="K18" s="18" t="n">
        <v>0</v>
      </c>
      <c r="L18" s="20" t="n">
        <v>0</v>
      </c>
      <c r="M18" s="18" t="n">
        <v>0</v>
      </c>
      <c r="N18" s="20" t="n">
        <v>0</v>
      </c>
      <c r="O18" s="18" t="n">
        <v>0</v>
      </c>
      <c r="P18" s="20" t="n">
        <v>0</v>
      </c>
      <c r="Q18" s="18" t="n">
        <v>6.11402953</v>
      </c>
      <c r="R18" s="20" t="n">
        <v>1.52011358</v>
      </c>
    </row>
    <row r="19" spans="1:18">
      <c r="A19" s="15" t="s">
        <v>443</v>
      </c>
      <c r="B19" s="17" t="n">
        <v>2808</v>
      </c>
      <c r="C19" s="18">
        <f>(2459.0/B19*100)</f>
        <v/>
      </c>
      <c r="D19" s="19" t="n">
        <v>349</v>
      </c>
      <c r="E19" s="18" t="n">
        <v>37.24100364</v>
      </c>
      <c r="F19" s="20" t="n">
        <v>2.49570597</v>
      </c>
      <c r="G19" s="18" t="n">
        <v>57.76948588</v>
      </c>
      <c r="H19" s="20" t="n">
        <v>2.67008846</v>
      </c>
      <c r="I19" s="18" t="s">
        <v>431</v>
      </c>
      <c r="J19" s="20" t="s">
        <v>431</v>
      </c>
      <c r="K19" s="18" t="n">
        <v>0</v>
      </c>
      <c r="L19" s="20" t="n">
        <v>0</v>
      </c>
      <c r="M19" s="18" t="n">
        <v>0</v>
      </c>
      <c r="N19" s="20" t="n">
        <v>0</v>
      </c>
      <c r="O19" s="18" t="n">
        <v>0</v>
      </c>
      <c r="P19" s="20" t="n">
        <v>0</v>
      </c>
      <c r="Q19" s="18" t="n">
        <v>4.98951049</v>
      </c>
      <c r="R19" s="20" t="n">
        <v>1.46426396</v>
      </c>
    </row>
    <row r="20" spans="1:18">
      <c r="A20" s="15" t="s">
        <v>444</v>
      </c>
      <c r="B20" s="17" t="n">
        <v>1630</v>
      </c>
      <c r="C20" s="18">
        <f>(1434.0/B20*100)</f>
        <v/>
      </c>
      <c r="D20" s="19" t="n">
        <v>196</v>
      </c>
      <c r="E20" s="18" t="n">
        <v>17.32825812</v>
      </c>
      <c r="F20" s="20" t="n">
        <v>2.44748825</v>
      </c>
      <c r="G20" s="18" t="n">
        <v>79.44115644999999</v>
      </c>
      <c r="H20" s="20" t="n">
        <v>2.7643706</v>
      </c>
      <c r="I20" s="18" t="s">
        <v>431</v>
      </c>
      <c r="J20" s="20" t="s">
        <v>431</v>
      </c>
      <c r="K20" s="18" t="n">
        <v>0.58157203</v>
      </c>
      <c r="L20" s="20" t="n">
        <v>0.58935858</v>
      </c>
      <c r="M20" s="18" t="n">
        <v>0.78920248</v>
      </c>
      <c r="N20" s="20" t="n">
        <v>0.5602563699999999</v>
      </c>
      <c r="O20" s="18" t="n">
        <v>0</v>
      </c>
      <c r="P20" s="20" t="n">
        <v>0</v>
      </c>
      <c r="Q20" s="18" t="n">
        <v>1.85981093</v>
      </c>
      <c r="R20" s="20" t="n">
        <v>0.904162</v>
      </c>
    </row>
    <row r="21" spans="1:18">
      <c r="A21" s="15" t="s">
        <v>445</v>
      </c>
      <c r="B21" s="17" t="n">
        <v>2908</v>
      </c>
      <c r="C21" s="18">
        <f>(2417.0/B21*100)</f>
        <v/>
      </c>
      <c r="D21" s="19" t="n">
        <v>491</v>
      </c>
      <c r="E21" s="18" t="n">
        <v>10.92446216</v>
      </c>
      <c r="F21" s="20" t="n">
        <v>1.33297632</v>
      </c>
      <c r="G21" s="18" t="n">
        <v>88.15563732</v>
      </c>
      <c r="H21" s="20" t="n">
        <v>1.45563291</v>
      </c>
      <c r="I21" s="18" t="s">
        <v>431</v>
      </c>
      <c r="J21" s="20" t="s">
        <v>431</v>
      </c>
      <c r="K21" s="18" t="n">
        <v>0</v>
      </c>
      <c r="L21" s="20" t="n">
        <v>0</v>
      </c>
      <c r="M21" s="18" t="n">
        <v>0</v>
      </c>
      <c r="N21" s="20" t="n">
        <v>0</v>
      </c>
      <c r="O21" s="18" t="n">
        <v>0</v>
      </c>
      <c r="P21" s="20" t="n">
        <v>0</v>
      </c>
      <c r="Q21" s="18" t="n">
        <v>0.91990052</v>
      </c>
      <c r="R21" s="20" t="n">
        <v>0.40524164</v>
      </c>
    </row>
    <row r="22" spans="1:18">
      <c r="A22" s="15" t="s">
        <v>446</v>
      </c>
      <c r="B22" s="17" t="n">
        <v>2931</v>
      </c>
      <c r="C22" s="18">
        <f>(2562.0/B22*100)</f>
        <v/>
      </c>
      <c r="D22" s="19" t="n">
        <v>369</v>
      </c>
      <c r="E22" s="18" t="n">
        <v>25.88102299</v>
      </c>
      <c r="F22" s="20" t="n">
        <v>2.75105828</v>
      </c>
      <c r="G22" s="18" t="n">
        <v>68.33968185000001</v>
      </c>
      <c r="H22" s="20" t="n">
        <v>2.55435873</v>
      </c>
      <c r="I22" s="18" t="s">
        <v>431</v>
      </c>
      <c r="J22" s="20" t="s">
        <v>431</v>
      </c>
      <c r="K22" s="18" t="n">
        <v>0.65488921</v>
      </c>
      <c r="L22" s="20" t="n">
        <v>0.47976959</v>
      </c>
      <c r="M22" s="18" t="n">
        <v>0</v>
      </c>
      <c r="N22" s="20" t="n">
        <v>0</v>
      </c>
      <c r="O22" s="18" t="n">
        <v>0</v>
      </c>
      <c r="P22" s="20" t="n">
        <v>0</v>
      </c>
      <c r="Q22" s="18" t="n">
        <v>5.12440596</v>
      </c>
      <c r="R22" s="20" t="n">
        <v>1.10254618</v>
      </c>
    </row>
    <row r="23" spans="1:18">
      <c r="A23" s="15" t="s">
        <v>447</v>
      </c>
      <c r="B23" s="17" t="n">
        <v>5791</v>
      </c>
      <c r="C23" s="18">
        <f>(5033.0/B23*100)</f>
        <v/>
      </c>
      <c r="D23" s="19" t="n">
        <v>758</v>
      </c>
      <c r="E23" s="18" t="n">
        <v>33.25227637</v>
      </c>
      <c r="F23" s="20" t="n">
        <v>2.18831101</v>
      </c>
      <c r="G23" s="18" t="n">
        <v>61.78547639</v>
      </c>
      <c r="H23" s="20" t="n">
        <v>2.56633903</v>
      </c>
      <c r="I23" s="18" t="s">
        <v>431</v>
      </c>
      <c r="J23" s="20" t="s">
        <v>431</v>
      </c>
      <c r="K23" s="18" t="n">
        <v>0</v>
      </c>
      <c r="L23" s="20" t="n">
        <v>0</v>
      </c>
      <c r="M23" s="18" t="n">
        <v>0.63081318</v>
      </c>
      <c r="N23" s="20" t="n">
        <v>0.37173363</v>
      </c>
      <c r="O23" s="18" t="n">
        <v>0</v>
      </c>
      <c r="P23" s="20" t="n">
        <v>0</v>
      </c>
      <c r="Q23" s="18" t="n">
        <v>4.33143407</v>
      </c>
      <c r="R23" s="20" t="n">
        <v>1.59635932</v>
      </c>
    </row>
    <row r="24" spans="1:18">
      <c r="A24" s="15" t="s">
        <v>448</v>
      </c>
      <c r="B24" s="17" t="n">
        <v>3338</v>
      </c>
      <c r="C24" s="18">
        <f>(2938.0/B24*100)</f>
        <v/>
      </c>
      <c r="D24" s="19" t="n">
        <v>400</v>
      </c>
      <c r="E24" s="18" t="n">
        <v>11.70306115</v>
      </c>
      <c r="F24" s="20" t="n">
        <v>1.728954</v>
      </c>
      <c r="G24" s="18" t="n">
        <v>85.60471176</v>
      </c>
      <c r="H24" s="20" t="n">
        <v>1.92512557</v>
      </c>
      <c r="I24" s="18" t="s">
        <v>431</v>
      </c>
      <c r="J24" s="20" t="s">
        <v>431</v>
      </c>
      <c r="K24" s="18" t="n">
        <v>0</v>
      </c>
      <c r="L24" s="20" t="n">
        <v>0</v>
      </c>
      <c r="M24" s="18" t="n">
        <v>0</v>
      </c>
      <c r="N24" s="20" t="n">
        <v>0</v>
      </c>
      <c r="O24" s="18" t="n">
        <v>0</v>
      </c>
      <c r="P24" s="20" t="n">
        <v>0</v>
      </c>
      <c r="Q24" s="18" t="n">
        <v>2.69222709</v>
      </c>
      <c r="R24" s="20" t="n">
        <v>0.89050719</v>
      </c>
    </row>
    <row r="25" spans="1:18">
      <c r="A25" s="15" t="s">
        <v>449</v>
      </c>
      <c r="B25" s="17" t="n">
        <v>2912</v>
      </c>
      <c r="C25" s="18">
        <f>(2560.0/B25*100)</f>
        <v/>
      </c>
      <c r="D25" s="19" t="n">
        <v>352</v>
      </c>
      <c r="E25" s="18" t="n">
        <v>19.76829795</v>
      </c>
      <c r="F25" s="20" t="n">
        <v>2.02105124</v>
      </c>
      <c r="G25" s="18" t="n">
        <v>77.31356205</v>
      </c>
      <c r="H25" s="20" t="n">
        <v>2.18900298</v>
      </c>
      <c r="I25" s="18" t="s">
        <v>431</v>
      </c>
      <c r="J25" s="20" t="s">
        <v>431</v>
      </c>
      <c r="K25" s="18" t="n">
        <v>0.8601131</v>
      </c>
      <c r="L25" s="20" t="n">
        <v>0.49788335</v>
      </c>
      <c r="M25" s="18" t="n">
        <v>0</v>
      </c>
      <c r="N25" s="20" t="n">
        <v>0</v>
      </c>
      <c r="O25" s="18" t="n">
        <v>0</v>
      </c>
      <c r="P25" s="20" t="n">
        <v>0</v>
      </c>
      <c r="Q25" s="18" t="n">
        <v>2.05802689</v>
      </c>
      <c r="R25" s="20" t="n">
        <v>0.90659019</v>
      </c>
    </row>
    <row r="26" spans="1:18">
      <c r="A26" s="15" t="s">
        <v>450</v>
      </c>
      <c r="B26" s="17" t="n">
        <v>2450</v>
      </c>
      <c r="C26" s="18">
        <f>(2147.0/B26*100)</f>
        <v/>
      </c>
      <c r="D26" s="19" t="n">
        <v>303</v>
      </c>
      <c r="E26" s="18" t="n">
        <v>20.44513717</v>
      </c>
      <c r="F26" s="20" t="n">
        <v>2.50701778</v>
      </c>
      <c r="G26" s="18" t="n">
        <v>77.53834971000001</v>
      </c>
      <c r="H26" s="20" t="n">
        <v>2.57495267</v>
      </c>
      <c r="I26" s="18" t="s">
        <v>431</v>
      </c>
      <c r="J26" s="20" t="s">
        <v>431</v>
      </c>
      <c r="K26" s="18" t="n">
        <v>0</v>
      </c>
      <c r="L26" s="20" t="n">
        <v>0</v>
      </c>
      <c r="M26" s="18" t="n">
        <v>0.23074417</v>
      </c>
      <c r="N26" s="20" t="n">
        <v>0.23158608</v>
      </c>
      <c r="O26" s="18" t="n">
        <v>0</v>
      </c>
      <c r="P26" s="20" t="n">
        <v>0</v>
      </c>
      <c r="Q26" s="18" t="n">
        <v>1.78576896</v>
      </c>
      <c r="R26" s="20" t="n">
        <v>0.8382173000000001</v>
      </c>
    </row>
    <row r="27" spans="1:18">
      <c r="A27" s="15" t="s">
        <v>451</v>
      </c>
      <c r="B27" s="17" t="n">
        <v>2616</v>
      </c>
      <c r="C27" s="18">
        <f>(2301.0/B27*100)</f>
        <v/>
      </c>
      <c r="D27" s="19" t="n">
        <v>315</v>
      </c>
      <c r="E27" s="18" t="n">
        <v>15.51533332</v>
      </c>
      <c r="F27" s="20" t="n">
        <v>1.98228504</v>
      </c>
      <c r="G27" s="18" t="n">
        <v>80.87134008</v>
      </c>
      <c r="H27" s="20" t="n">
        <v>2.1079706</v>
      </c>
      <c r="I27" s="18" t="s">
        <v>431</v>
      </c>
      <c r="J27" s="20" t="s">
        <v>431</v>
      </c>
      <c r="K27" s="18" t="n">
        <v>0</v>
      </c>
      <c r="L27" s="20" t="n">
        <v>0</v>
      </c>
      <c r="M27" s="18" t="n">
        <v>0</v>
      </c>
      <c r="N27" s="20" t="n">
        <v>0</v>
      </c>
      <c r="O27" s="18" t="n">
        <v>0</v>
      </c>
      <c r="P27" s="20" t="n">
        <v>0</v>
      </c>
      <c r="Q27" s="18" t="n">
        <v>3.6133266</v>
      </c>
      <c r="R27" s="20" t="n">
        <v>1.14836591</v>
      </c>
    </row>
    <row r="28" spans="1:18">
      <c r="A28" s="15" t="s">
        <v>452</v>
      </c>
      <c r="B28" s="17" t="n">
        <v>3765</v>
      </c>
      <c r="C28" s="18">
        <f>(3321.0/B28*100)</f>
        <v/>
      </c>
      <c r="D28" s="19" t="n">
        <v>444</v>
      </c>
      <c r="E28" s="18" t="n">
        <v>43.95387306</v>
      </c>
      <c r="F28" s="20" t="n">
        <v>2.25643415</v>
      </c>
      <c r="G28" s="18" t="n">
        <v>53.694905</v>
      </c>
      <c r="H28" s="20" t="n">
        <v>2.33450416</v>
      </c>
      <c r="I28" s="18" t="s">
        <v>431</v>
      </c>
      <c r="J28" s="20" t="s">
        <v>431</v>
      </c>
      <c r="K28" s="18" t="n">
        <v>0.2382056</v>
      </c>
      <c r="L28" s="20" t="n">
        <v>0.24208732</v>
      </c>
      <c r="M28" s="18" t="n">
        <v>0</v>
      </c>
      <c r="N28" s="20" t="n">
        <v>0</v>
      </c>
      <c r="O28" s="18" t="n">
        <v>0</v>
      </c>
      <c r="P28" s="20" t="n">
        <v>0</v>
      </c>
      <c r="Q28" s="18" t="n">
        <v>2.11301635</v>
      </c>
      <c r="R28" s="20" t="n">
        <v>0.66120109</v>
      </c>
    </row>
    <row r="29" spans="1:18">
      <c r="A29" s="15" t="s">
        <v>453</v>
      </c>
      <c r="B29" s="17" t="n">
        <v>2685</v>
      </c>
      <c r="C29" s="18">
        <f>(2290.0/B29*100)</f>
        <v/>
      </c>
      <c r="D29" s="19" t="n">
        <v>395</v>
      </c>
      <c r="E29" s="18" t="n">
        <v>32.12925197</v>
      </c>
      <c r="F29" s="20" t="n">
        <v>2.5627199</v>
      </c>
      <c r="G29" s="18" t="n">
        <v>66.43350555000001</v>
      </c>
      <c r="H29" s="20" t="n">
        <v>2.44024074</v>
      </c>
      <c r="I29" s="18" t="s">
        <v>431</v>
      </c>
      <c r="J29" s="20" t="s">
        <v>431</v>
      </c>
      <c r="K29" s="18" t="n">
        <v>0.32137609</v>
      </c>
      <c r="L29" s="20" t="n">
        <v>0.31856052</v>
      </c>
      <c r="M29" s="18" t="n">
        <v>0</v>
      </c>
      <c r="N29" s="20" t="n">
        <v>0</v>
      </c>
      <c r="O29" s="18" t="n">
        <v>0</v>
      </c>
      <c r="P29" s="20" t="n">
        <v>0</v>
      </c>
      <c r="Q29" s="18" t="n">
        <v>1.11586639</v>
      </c>
      <c r="R29" s="20" t="n">
        <v>0.64499378</v>
      </c>
    </row>
    <row r="30" spans="1:18">
      <c r="A30" s="15" t="s">
        <v>454</v>
      </c>
      <c r="B30" s="17" t="n">
        <v>2263</v>
      </c>
      <c r="C30" s="18">
        <f>(1992.0/B30*100)</f>
        <v/>
      </c>
      <c r="D30" s="19" t="n">
        <v>271</v>
      </c>
      <c r="E30" s="18" t="n">
        <v>11.71125927</v>
      </c>
      <c r="F30" s="20" t="n">
        <v>2.17920774</v>
      </c>
      <c r="G30" s="18" t="n">
        <v>85.05501491</v>
      </c>
      <c r="H30" s="20" t="n">
        <v>2.53565076</v>
      </c>
      <c r="I30" s="18" t="s">
        <v>431</v>
      </c>
      <c r="J30" s="20" t="s">
        <v>431</v>
      </c>
      <c r="K30" s="18" t="n">
        <v>0</v>
      </c>
      <c r="L30" s="20" t="n">
        <v>0</v>
      </c>
      <c r="M30" s="18" t="n">
        <v>0</v>
      </c>
      <c r="N30" s="20" t="n">
        <v>0</v>
      </c>
      <c r="O30" s="18" t="n">
        <v>0</v>
      </c>
      <c r="P30" s="20" t="n">
        <v>0</v>
      </c>
      <c r="Q30" s="18" t="n">
        <v>3.23372583</v>
      </c>
      <c r="R30" s="20" t="n">
        <v>1.0759251</v>
      </c>
    </row>
    <row r="31" spans="1:18">
      <c r="A31" s="15" t="s">
        <v>455</v>
      </c>
      <c r="B31" s="17" t="n">
        <v>2750</v>
      </c>
      <c r="C31" s="18">
        <f>(2428.0/B31*100)</f>
        <v/>
      </c>
      <c r="D31" s="19" t="n">
        <v>322</v>
      </c>
      <c r="E31" s="18" t="n">
        <v>8.037926179999999</v>
      </c>
      <c r="F31" s="20" t="n">
        <v>1.27844292</v>
      </c>
      <c r="G31" s="18" t="n">
        <v>89.74443033</v>
      </c>
      <c r="H31" s="20" t="n">
        <v>1.58488025</v>
      </c>
      <c r="I31" s="18" t="s">
        <v>431</v>
      </c>
      <c r="J31" s="20" t="s">
        <v>431</v>
      </c>
      <c r="K31" s="18" t="n">
        <v>0</v>
      </c>
      <c r="L31" s="20" t="n">
        <v>0</v>
      </c>
      <c r="M31" s="18" t="n">
        <v>0</v>
      </c>
      <c r="N31" s="20" t="n">
        <v>0</v>
      </c>
      <c r="O31" s="18" t="n">
        <v>0</v>
      </c>
      <c r="P31" s="20" t="n">
        <v>0</v>
      </c>
      <c r="Q31" s="18" t="n">
        <v>2.21764349</v>
      </c>
      <c r="R31" s="20" t="n">
        <v>0.95625491</v>
      </c>
    </row>
    <row r="32" spans="1:18">
      <c r="A32" s="15" t="s">
        <v>456</v>
      </c>
      <c r="B32" s="17" t="n">
        <v>2269</v>
      </c>
      <c r="C32" s="18">
        <f>(1895.0/B32*100)</f>
        <v/>
      </c>
      <c r="D32" s="19" t="n">
        <v>374</v>
      </c>
      <c r="E32" s="18" t="n">
        <v>22.87451406</v>
      </c>
      <c r="F32" s="20" t="n">
        <v>2.04258497</v>
      </c>
      <c r="G32" s="18" t="n">
        <v>74.74018402</v>
      </c>
      <c r="H32" s="20" t="n">
        <v>1.95214729</v>
      </c>
      <c r="I32" s="18" t="s">
        <v>431</v>
      </c>
      <c r="J32" s="20" t="s">
        <v>431</v>
      </c>
      <c r="K32" s="18" t="n">
        <v>0.25671725</v>
      </c>
      <c r="L32" s="20" t="n">
        <v>0.24219836</v>
      </c>
      <c r="M32" s="18" t="n">
        <v>0.25011242</v>
      </c>
      <c r="N32" s="20" t="n">
        <v>0.24979579</v>
      </c>
      <c r="O32" s="18" t="n">
        <v>0</v>
      </c>
      <c r="P32" s="20" t="n">
        <v>0</v>
      </c>
      <c r="Q32" s="18" t="n">
        <v>1.87847226</v>
      </c>
      <c r="R32" s="20" t="n">
        <v>0.71877021</v>
      </c>
    </row>
    <row r="33" spans="1:18">
      <c r="A33" s="15" t="s">
        <v>457</v>
      </c>
      <c r="B33" s="17" t="n">
        <v>3674</v>
      </c>
      <c r="C33" s="18">
        <f>(3221.0/B33*100)</f>
        <v/>
      </c>
      <c r="D33" s="19" t="n">
        <v>453</v>
      </c>
      <c r="E33" s="18" t="n">
        <v>20.49293422</v>
      </c>
      <c r="F33" s="20" t="n">
        <v>2.22283249</v>
      </c>
      <c r="G33" s="18" t="n">
        <v>77.39416995000001</v>
      </c>
      <c r="H33" s="20" t="n">
        <v>2.45453767</v>
      </c>
      <c r="I33" s="18" t="s">
        <v>431</v>
      </c>
      <c r="J33" s="20" t="s">
        <v>431</v>
      </c>
      <c r="K33" s="18" t="n">
        <v>0</v>
      </c>
      <c r="L33" s="20" t="n">
        <v>0</v>
      </c>
      <c r="M33" s="18" t="n">
        <v>0</v>
      </c>
      <c r="N33" s="20" t="n">
        <v>0</v>
      </c>
      <c r="O33" s="18" t="n">
        <v>0</v>
      </c>
      <c r="P33" s="20" t="n">
        <v>0</v>
      </c>
      <c r="Q33" s="18" t="n">
        <v>2.11289583</v>
      </c>
      <c r="R33" s="20" t="n">
        <v>0.7666901</v>
      </c>
    </row>
    <row r="34" spans="1:18">
      <c r="A34" s="15" t="s">
        <v>458</v>
      </c>
      <c r="B34" s="17" t="n">
        <v>3315</v>
      </c>
      <c r="C34" s="18">
        <f>(2846.0/B34*100)</f>
        <v/>
      </c>
      <c r="D34" s="19" t="n">
        <v>469</v>
      </c>
      <c r="E34" s="18" t="n">
        <v>33.71884749</v>
      </c>
      <c r="F34" s="20" t="n">
        <v>2.8789683</v>
      </c>
      <c r="G34" s="18" t="n">
        <v>59.20443814</v>
      </c>
      <c r="H34" s="20" t="n">
        <v>2.85643383</v>
      </c>
      <c r="I34" s="18" t="s">
        <v>431</v>
      </c>
      <c r="J34" s="20" t="s">
        <v>431</v>
      </c>
      <c r="K34" s="18" t="n">
        <v>0</v>
      </c>
      <c r="L34" s="20" t="n">
        <v>0</v>
      </c>
      <c r="M34" s="18" t="n">
        <v>0.18448365</v>
      </c>
      <c r="N34" s="20" t="n">
        <v>0.1854475</v>
      </c>
      <c r="O34" s="18" t="n">
        <v>0</v>
      </c>
      <c r="P34" s="20" t="n">
        <v>0</v>
      </c>
      <c r="Q34" s="18" t="n">
        <v>6.89223072</v>
      </c>
      <c r="R34" s="20" t="n">
        <v>1.27947327</v>
      </c>
    </row>
    <row r="35" spans="1:18">
      <c r="A35" s="15" t="s">
        <v>459</v>
      </c>
      <c r="B35" s="17" t="n">
        <v>3505</v>
      </c>
      <c r="C35" s="18">
        <f>(2979.0/B35*100)</f>
        <v/>
      </c>
      <c r="D35" s="19" t="n">
        <v>526</v>
      </c>
      <c r="E35" s="18" t="n">
        <v>31.58998704</v>
      </c>
      <c r="F35" s="20" t="n">
        <v>2.50682365</v>
      </c>
      <c r="G35" s="18" t="n">
        <v>64.26973252000001</v>
      </c>
      <c r="H35" s="20" t="n">
        <v>2.42935223</v>
      </c>
      <c r="I35" s="18" t="s">
        <v>431</v>
      </c>
      <c r="J35" s="20" t="s">
        <v>431</v>
      </c>
      <c r="K35" s="18" t="n">
        <v>0</v>
      </c>
      <c r="L35" s="20" t="n">
        <v>0</v>
      </c>
      <c r="M35" s="18" t="n">
        <v>0.39351901</v>
      </c>
      <c r="N35" s="20" t="n">
        <v>0.39510235</v>
      </c>
      <c r="O35" s="18" t="n">
        <v>0</v>
      </c>
      <c r="P35" s="20" t="n">
        <v>0</v>
      </c>
      <c r="Q35" s="18" t="n">
        <v>3.74676143</v>
      </c>
      <c r="R35" s="20" t="n">
        <v>0.78993525</v>
      </c>
    </row>
    <row r="36" spans="1:18">
      <c r="A36" s="15" t="s">
        <v>460</v>
      </c>
      <c r="B36" s="17" t="n">
        <v>3332</v>
      </c>
      <c r="C36" s="18">
        <f>(2922.0/B36*100)</f>
        <v/>
      </c>
      <c r="D36" s="19" t="n">
        <v>410</v>
      </c>
      <c r="E36" s="18" t="n">
        <v>18.91749495</v>
      </c>
      <c r="F36" s="20" t="n">
        <v>1.74300221</v>
      </c>
      <c r="G36" s="18" t="n">
        <v>78.81765815999999</v>
      </c>
      <c r="H36" s="20" t="n">
        <v>1.96390603</v>
      </c>
      <c r="I36" s="18" t="s">
        <v>431</v>
      </c>
      <c r="J36" s="20" t="s">
        <v>431</v>
      </c>
      <c r="K36" s="18" t="n">
        <v>0</v>
      </c>
      <c r="L36" s="20" t="n">
        <v>0</v>
      </c>
      <c r="M36" s="18" t="n">
        <v>0</v>
      </c>
      <c r="N36" s="20" t="n">
        <v>0</v>
      </c>
      <c r="O36" s="18" t="n">
        <v>0</v>
      </c>
      <c r="P36" s="20" t="n">
        <v>0</v>
      </c>
      <c r="Q36" s="18" t="n">
        <v>2.26484689</v>
      </c>
      <c r="R36" s="20" t="n">
        <v>0.79866773</v>
      </c>
    </row>
    <row r="37" spans="1:18">
      <c r="A37" s="15" t="s">
        <v>461</v>
      </c>
      <c r="B37" s="17" t="n">
        <v>2727</v>
      </c>
      <c r="C37" s="18">
        <f>(2392.0/B37*100)</f>
        <v/>
      </c>
      <c r="D37" s="19" t="n">
        <v>335</v>
      </c>
      <c r="E37" s="18" t="n">
        <v>25.20539021</v>
      </c>
      <c r="F37" s="20" t="n">
        <v>2.46640103</v>
      </c>
      <c r="G37" s="18" t="n">
        <v>71.21892549</v>
      </c>
      <c r="H37" s="20" t="n">
        <v>2.53630494</v>
      </c>
      <c r="I37" s="18" t="s">
        <v>431</v>
      </c>
      <c r="J37" s="20" t="s">
        <v>431</v>
      </c>
      <c r="K37" s="18" t="n">
        <v>0.26171509</v>
      </c>
      <c r="L37" s="20" t="n">
        <v>0.37124693</v>
      </c>
      <c r="M37" s="18" t="n">
        <v>0</v>
      </c>
      <c r="N37" s="20" t="n">
        <v>0</v>
      </c>
      <c r="O37" s="18" t="n">
        <v>0</v>
      </c>
      <c r="P37" s="20" t="n">
        <v>0</v>
      </c>
      <c r="Q37" s="18" t="n">
        <v>3.31396922</v>
      </c>
      <c r="R37" s="20" t="n">
        <v>1.03221541</v>
      </c>
    </row>
    <row r="38" spans="1:18">
      <c r="A38" s="15" t="s">
        <v>462</v>
      </c>
      <c r="B38" s="17" t="n">
        <v>3053</v>
      </c>
      <c r="C38" s="18">
        <f>(2543.0/B38*100)</f>
        <v/>
      </c>
      <c r="D38" s="19" t="n">
        <v>510</v>
      </c>
      <c r="E38" s="18" t="n">
        <v>30.81307903</v>
      </c>
      <c r="F38" s="20" t="n">
        <v>2.49820047</v>
      </c>
      <c r="G38" s="18" t="n">
        <v>67.71767953</v>
      </c>
      <c r="H38" s="20" t="n">
        <v>2.50741537</v>
      </c>
      <c r="I38" s="18" t="s">
        <v>431</v>
      </c>
      <c r="J38" s="20" t="s">
        <v>431</v>
      </c>
      <c r="K38" s="18" t="n">
        <v>0</v>
      </c>
      <c r="L38" s="20" t="n">
        <v>0</v>
      </c>
      <c r="M38" s="18" t="n">
        <v>0</v>
      </c>
      <c r="N38" s="20" t="n">
        <v>0</v>
      </c>
      <c r="O38" s="18" t="n">
        <v>0</v>
      </c>
      <c r="P38" s="20" t="n">
        <v>0</v>
      </c>
      <c r="Q38" s="18" t="n">
        <v>1.46924145</v>
      </c>
      <c r="R38" s="20" t="n">
        <v>0.54654812</v>
      </c>
    </row>
    <row r="39" spans="1:18">
      <c r="A39" s="15" t="s">
        <v>463</v>
      </c>
      <c r="B39" s="17" t="n">
        <v>2957</v>
      </c>
      <c r="C39" s="18">
        <f>(2592.0/B39*100)</f>
        <v/>
      </c>
      <c r="D39" s="19" t="n">
        <v>365</v>
      </c>
      <c r="E39" s="18" t="n">
        <v>22.84730401</v>
      </c>
      <c r="F39" s="20" t="n">
        <v>2.74208851</v>
      </c>
      <c r="G39" s="18" t="n">
        <v>74.47467801000001</v>
      </c>
      <c r="H39" s="20" t="n">
        <v>2.73721916</v>
      </c>
      <c r="I39" s="18" t="s">
        <v>431</v>
      </c>
      <c r="J39" s="20" t="s">
        <v>431</v>
      </c>
      <c r="K39" s="18" t="n">
        <v>0.39935416</v>
      </c>
      <c r="L39" s="20" t="n">
        <v>0.4044374</v>
      </c>
      <c r="M39" s="18" t="n">
        <v>0.12208733</v>
      </c>
      <c r="N39" s="20" t="n">
        <v>0.08730375999999999</v>
      </c>
      <c r="O39" s="18" t="n">
        <v>0</v>
      </c>
      <c r="P39" s="20" t="n">
        <v>0</v>
      </c>
      <c r="Q39" s="18" t="n">
        <v>2.15657648</v>
      </c>
      <c r="R39" s="20" t="n">
        <v>0.8511641599999999</v>
      </c>
    </row>
    <row r="40" spans="1:18">
      <c r="A40" s="15" t="s">
        <v>464</v>
      </c>
      <c r="B40" s="17" t="n">
        <v>7235</v>
      </c>
      <c r="C40" s="18">
        <f>(6335.0/B40*100)</f>
        <v/>
      </c>
      <c r="D40" s="19" t="n">
        <v>900</v>
      </c>
      <c r="E40" s="18" t="n">
        <v>14.77079335</v>
      </c>
      <c r="F40" s="20" t="n">
        <v>1.88810405</v>
      </c>
      <c r="G40" s="18" t="n">
        <v>81.07039254999999</v>
      </c>
      <c r="H40" s="20" t="n">
        <v>2.1157021</v>
      </c>
      <c r="I40" s="18" t="s">
        <v>431</v>
      </c>
      <c r="J40" s="20" t="s">
        <v>431</v>
      </c>
      <c r="K40" s="18" t="n">
        <v>0.24001888</v>
      </c>
      <c r="L40" s="20" t="n">
        <v>0.158463</v>
      </c>
      <c r="M40" s="18" t="n">
        <v>0.55461479</v>
      </c>
      <c r="N40" s="20" t="n">
        <v>0.43574476</v>
      </c>
      <c r="O40" s="18" t="n">
        <v>0</v>
      </c>
      <c r="P40" s="20" t="n">
        <v>0</v>
      </c>
      <c r="Q40" s="18" t="n">
        <v>3.36418043</v>
      </c>
      <c r="R40" s="20" t="n">
        <v>0.91077209</v>
      </c>
    </row>
    <row r="41" spans="1:18">
      <c r="A41" s="15" t="s">
        <v>465</v>
      </c>
      <c r="B41" s="17" t="n">
        <v>2858</v>
      </c>
      <c r="C41" s="18">
        <f>(2467.0/B41*100)</f>
        <v/>
      </c>
      <c r="D41" s="19" t="n">
        <v>391</v>
      </c>
      <c r="E41" s="18" t="n">
        <v>20.70592739</v>
      </c>
      <c r="F41" s="20" t="n">
        <v>1.71340382</v>
      </c>
      <c r="G41" s="18" t="n">
        <v>77.91122017000001</v>
      </c>
      <c r="H41" s="20" t="n">
        <v>1.77382938</v>
      </c>
      <c r="I41" s="18" t="s">
        <v>431</v>
      </c>
      <c r="J41" s="20" t="s">
        <v>431</v>
      </c>
      <c r="K41" s="18" t="n">
        <v>0</v>
      </c>
      <c r="L41" s="20" t="n">
        <v>0</v>
      </c>
      <c r="M41" s="18" t="n">
        <v>0</v>
      </c>
      <c r="N41" s="20" t="n">
        <v>0</v>
      </c>
      <c r="O41" s="18" t="n">
        <v>0</v>
      </c>
      <c r="P41" s="20" t="n">
        <v>0</v>
      </c>
      <c r="Q41" s="18" t="n">
        <v>1.38285244</v>
      </c>
      <c r="R41" s="20" t="n">
        <v>0.53011044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(9828.0/B46*100)</f>
        <v/>
      </c>
      <c r="D46" s="19" t="n">
        <v>1240</v>
      </c>
      <c r="E46" s="18" t="n">
        <v>47.06787609</v>
      </c>
      <c r="F46" s="20" t="n">
        <v>1.88790119</v>
      </c>
      <c r="G46" s="18" t="n">
        <v>47.12537499</v>
      </c>
      <c r="H46" s="20" t="n">
        <v>1.92827014</v>
      </c>
      <c r="I46" s="18" t="s">
        <v>431</v>
      </c>
      <c r="J46" s="20" t="s">
        <v>431</v>
      </c>
      <c r="K46" s="18" t="n">
        <v>0.41213669</v>
      </c>
      <c r="L46" s="20" t="n">
        <v>0.03299605</v>
      </c>
      <c r="M46" s="18" t="n">
        <v>0.31931689</v>
      </c>
      <c r="N46" s="20" t="n">
        <v>0.17353467</v>
      </c>
      <c r="O46" s="18" t="n">
        <v>0</v>
      </c>
      <c r="P46" s="20" t="n">
        <v>0</v>
      </c>
      <c r="Q46" s="18" t="n">
        <v>5.07529535</v>
      </c>
      <c r="R46" s="20" t="n">
        <v>0.82668968</v>
      </c>
    </row>
    <row r="47" spans="1:18">
      <c r="A47" s="15" t="s">
        <v>471</v>
      </c>
      <c r="B47" s="17" t="n">
        <v>3105</v>
      </c>
      <c r="C47" s="18">
        <f>(2716.0/B47*100)</f>
        <v/>
      </c>
      <c r="D47" s="19" t="n">
        <v>389</v>
      </c>
      <c r="E47" s="18" t="n">
        <v>27.48198428</v>
      </c>
      <c r="F47" s="20" t="n">
        <v>2.38655719</v>
      </c>
      <c r="G47" s="18" t="n">
        <v>60.95680518</v>
      </c>
      <c r="H47" s="20" t="n">
        <v>2.89039233</v>
      </c>
      <c r="I47" s="18" t="s">
        <v>431</v>
      </c>
      <c r="J47" s="20" t="s">
        <v>431</v>
      </c>
      <c r="K47" s="18" t="n">
        <v>0</v>
      </c>
      <c r="L47" s="20" t="n">
        <v>0</v>
      </c>
      <c r="M47" s="18" t="n">
        <v>0</v>
      </c>
      <c r="N47" s="20" t="n">
        <v>0</v>
      </c>
      <c r="O47" s="18" t="n">
        <v>0</v>
      </c>
      <c r="P47" s="20" t="n">
        <v>0</v>
      </c>
      <c r="Q47" s="18" t="n">
        <v>11.56121054</v>
      </c>
      <c r="R47" s="20" t="n">
        <v>1.66616872</v>
      </c>
    </row>
    <row r="48" spans="1:18">
      <c r="A48" s="15" t="s">
        <v>472</v>
      </c>
      <c r="B48" s="17" t="n">
        <v>5159</v>
      </c>
      <c r="C48" s="18">
        <f>(4547.0/B48*100)</f>
        <v/>
      </c>
      <c r="D48" s="19" t="n">
        <v>612</v>
      </c>
      <c r="E48" s="18" t="n">
        <v>34.58346559</v>
      </c>
      <c r="F48" s="20" t="n">
        <v>2.26099035</v>
      </c>
      <c r="G48" s="18" t="n">
        <v>60.66350242</v>
      </c>
      <c r="H48" s="20" t="n">
        <v>2.67561779</v>
      </c>
      <c r="I48" s="18" t="s">
        <v>431</v>
      </c>
      <c r="J48" s="20" t="s">
        <v>431</v>
      </c>
      <c r="K48" s="18" t="n">
        <v>0.95636946</v>
      </c>
      <c r="L48" s="20" t="n">
        <v>0.5598136500000001</v>
      </c>
      <c r="M48" s="18" t="n">
        <v>0</v>
      </c>
      <c r="N48" s="20" t="n">
        <v>0</v>
      </c>
      <c r="O48" s="18" t="n">
        <v>0</v>
      </c>
      <c r="P48" s="20" t="n">
        <v>0</v>
      </c>
      <c r="Q48" s="18" t="n">
        <v>3.79666253</v>
      </c>
      <c r="R48" s="20" t="n">
        <v>1.06975889</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(4956.0/B50*100)</f>
        <v/>
      </c>
      <c r="D50" s="19" t="n">
        <v>681</v>
      </c>
      <c r="E50" s="18" t="n">
        <v>55.67158034</v>
      </c>
      <c r="F50" s="20" t="n">
        <v>2.64274196</v>
      </c>
      <c r="G50" s="18" t="n">
        <v>40.73678031</v>
      </c>
      <c r="H50" s="20" t="n">
        <v>2.62342665</v>
      </c>
      <c r="I50" s="18" t="s">
        <v>431</v>
      </c>
      <c r="J50" s="20" t="s">
        <v>431</v>
      </c>
      <c r="K50" s="18" t="n">
        <v>1.64790655</v>
      </c>
      <c r="L50" s="20" t="n">
        <v>0.65241288</v>
      </c>
      <c r="M50" s="18" t="n">
        <v>0.008258980000000001</v>
      </c>
      <c r="N50" s="20" t="n">
        <v>0.008321780000000001</v>
      </c>
      <c r="O50" s="18" t="n">
        <v>0</v>
      </c>
      <c r="P50" s="20" t="n">
        <v>0</v>
      </c>
      <c r="Q50" s="18" t="n">
        <v>1.93547382</v>
      </c>
      <c r="R50" s="20" t="n">
        <v>0.87789273</v>
      </c>
    </row>
    <row r="51" spans="1:18">
      <c r="A51" s="15" t="s">
        <v>475</v>
      </c>
      <c r="B51" s="17" t="n">
        <v>3372</v>
      </c>
      <c r="C51" s="18">
        <f>(2626.0/B51*100)</f>
        <v/>
      </c>
      <c r="D51" s="19" t="n">
        <v>746</v>
      </c>
      <c r="E51" s="18" t="n">
        <v>36.19826246</v>
      </c>
      <c r="F51" s="20" t="n">
        <v>1.83959641</v>
      </c>
      <c r="G51" s="18" t="n">
        <v>60.51799455</v>
      </c>
      <c r="H51" s="20" t="n">
        <v>1.90161854</v>
      </c>
      <c r="I51" s="18" t="s">
        <v>431</v>
      </c>
      <c r="J51" s="20" t="s">
        <v>431</v>
      </c>
      <c r="K51" s="18" t="n">
        <v>0.30248036</v>
      </c>
      <c r="L51" s="20" t="n">
        <v>0.21936987</v>
      </c>
      <c r="M51" s="18" t="n">
        <v>0</v>
      </c>
      <c r="N51" s="20" t="n">
        <v>0</v>
      </c>
      <c r="O51" s="18" t="n">
        <v>0</v>
      </c>
      <c r="P51" s="20" t="n">
        <v>0</v>
      </c>
      <c r="Q51" s="18" t="n">
        <v>2.98126263</v>
      </c>
      <c r="R51" s="20" t="n">
        <v>0.67124008</v>
      </c>
    </row>
    <row r="52" spans="1:18">
      <c r="A52" s="15" t="s">
        <v>476</v>
      </c>
      <c r="B52" s="17" t="n">
        <v>2796</v>
      </c>
      <c r="C52" s="18">
        <f>(2444.0/B52*100)</f>
        <v/>
      </c>
      <c r="D52" s="19" t="n">
        <v>352</v>
      </c>
      <c r="E52" s="18" t="n">
        <v>19.53296329</v>
      </c>
      <c r="F52" s="20" t="n">
        <v>1.99055331</v>
      </c>
      <c r="G52" s="18" t="n">
        <v>77.6605067</v>
      </c>
      <c r="H52" s="20" t="n">
        <v>1.88458745</v>
      </c>
      <c r="I52" s="18" t="s">
        <v>431</v>
      </c>
      <c r="J52" s="20" t="s">
        <v>431</v>
      </c>
      <c r="K52" s="18" t="n">
        <v>0.35627225</v>
      </c>
      <c r="L52" s="20" t="n">
        <v>0.36152979</v>
      </c>
      <c r="M52" s="18" t="n">
        <v>0</v>
      </c>
      <c r="N52" s="20" t="n">
        <v>0</v>
      </c>
      <c r="O52" s="18" t="n">
        <v>0</v>
      </c>
      <c r="P52" s="20" t="n">
        <v>0</v>
      </c>
      <c r="Q52" s="18" t="n">
        <v>2.45025775</v>
      </c>
      <c r="R52" s="20" t="n">
        <v>0.6609135900000001</v>
      </c>
    </row>
    <row r="53" spans="1:18">
      <c r="A53" s="15" t="s">
        <v>477</v>
      </c>
      <c r="B53" s="17" t="n">
        <v>2811</v>
      </c>
      <c r="C53" s="18">
        <f>(2473.0/B53*100)</f>
        <v/>
      </c>
      <c r="D53" s="19" t="n">
        <v>338</v>
      </c>
      <c r="E53" s="18" t="n">
        <v>31.05342256</v>
      </c>
      <c r="F53" s="20" t="n">
        <v>2.58021286</v>
      </c>
      <c r="G53" s="18" t="n">
        <v>60.79938583</v>
      </c>
      <c r="H53" s="20" t="n">
        <v>2.57163427</v>
      </c>
      <c r="I53" s="18" t="s">
        <v>431</v>
      </c>
      <c r="J53" s="20" t="s">
        <v>431</v>
      </c>
      <c r="K53" s="18" t="n">
        <v>0</v>
      </c>
      <c r="L53" s="20" t="n">
        <v>0</v>
      </c>
      <c r="M53" s="18" t="n">
        <v>0</v>
      </c>
      <c r="N53" s="20" t="n">
        <v>0</v>
      </c>
      <c r="O53" s="18" t="n">
        <v>0</v>
      </c>
      <c r="P53" s="20" t="n">
        <v>0</v>
      </c>
      <c r="Q53" s="18" t="n">
        <v>8.14719161</v>
      </c>
      <c r="R53" s="20" t="n">
        <v>1.5581727</v>
      </c>
    </row>
    <row r="54" spans="1:18">
      <c r="A54" s="15" t="s">
        <v>478</v>
      </c>
      <c r="B54" s="17" t="n">
        <v>2266</v>
      </c>
      <c r="C54" s="18">
        <f>(1903.0/B54*100)</f>
        <v/>
      </c>
      <c r="D54" s="19" t="n">
        <v>363</v>
      </c>
      <c r="E54" s="18" t="n">
        <v>40.92350134</v>
      </c>
      <c r="F54" s="20" t="n">
        <v>2.94766902</v>
      </c>
      <c r="G54" s="18" t="n">
        <v>43.54517875</v>
      </c>
      <c r="H54" s="20" t="n">
        <v>2.2861026</v>
      </c>
      <c r="I54" s="18" t="s">
        <v>431</v>
      </c>
      <c r="J54" s="20" t="s">
        <v>431</v>
      </c>
      <c r="K54" s="18" t="n">
        <v>6.23508908</v>
      </c>
      <c r="L54" s="20" t="n">
        <v>1.3401746</v>
      </c>
      <c r="M54" s="18" t="n">
        <v>0.54171264</v>
      </c>
      <c r="N54" s="20" t="n">
        <v>0.37726677</v>
      </c>
      <c r="O54" s="18" t="n">
        <v>0</v>
      </c>
      <c r="P54" s="20" t="n">
        <v>0</v>
      </c>
      <c r="Q54" s="18" t="n">
        <v>8.754518190000001</v>
      </c>
      <c r="R54" s="20" t="n">
        <v>1.94903771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(2337.0/B56*100)</f>
        <v/>
      </c>
      <c r="D56" s="19" t="n">
        <v>347</v>
      </c>
      <c r="E56" s="18" t="n">
        <v>24.49383348</v>
      </c>
      <c r="F56" s="20" t="n">
        <v>2.48238227</v>
      </c>
      <c r="G56" s="18" t="n">
        <v>73.38475645</v>
      </c>
      <c r="H56" s="20" t="n">
        <v>2.58115356</v>
      </c>
      <c r="I56" s="18" t="s">
        <v>431</v>
      </c>
      <c r="J56" s="20" t="s">
        <v>431</v>
      </c>
      <c r="K56" s="18" t="n">
        <v>0.37020122</v>
      </c>
      <c r="L56" s="20" t="n">
        <v>0.31517841</v>
      </c>
      <c r="M56" s="18" t="n">
        <v>0</v>
      </c>
      <c r="N56" s="20" t="n">
        <v>0</v>
      </c>
      <c r="O56" s="18" t="n">
        <v>0</v>
      </c>
      <c r="P56" s="20" t="n">
        <v>0</v>
      </c>
      <c r="Q56" s="18" t="n">
        <v>1.75120884</v>
      </c>
      <c r="R56" s="20" t="n">
        <v>0.58269792</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(2913.0/B61*100)</f>
        <v/>
      </c>
      <c r="D61" s="19" t="n">
        <v>411</v>
      </c>
      <c r="E61" s="18" t="n">
        <v>34.90967293</v>
      </c>
      <c r="F61" s="20" t="n">
        <v>2.49163036</v>
      </c>
      <c r="G61" s="18" t="n">
        <v>60.99972346</v>
      </c>
      <c r="H61" s="20" t="n">
        <v>2.50217701</v>
      </c>
      <c r="I61" s="18" t="s">
        <v>431</v>
      </c>
      <c r="J61" s="20" t="s">
        <v>431</v>
      </c>
      <c r="K61" s="18" t="n">
        <v>0</v>
      </c>
      <c r="L61" s="20" t="n">
        <v>0</v>
      </c>
      <c r="M61" s="18" t="n">
        <v>0</v>
      </c>
      <c r="N61" s="20" t="n">
        <v>0</v>
      </c>
      <c r="O61" s="18" t="n">
        <v>0</v>
      </c>
      <c r="P61" s="20" t="n">
        <v>0</v>
      </c>
      <c r="Q61" s="18" t="n">
        <v>4.0906036</v>
      </c>
      <c r="R61" s="20" t="n">
        <v>1.02563386</v>
      </c>
    </row>
    <row r="62" spans="1:18">
      <c r="A62" s="15" t="s">
        <v>486</v>
      </c>
      <c r="B62" s="17" t="n">
        <v>2246</v>
      </c>
      <c r="C62" s="18">
        <f>(1955.0/B62*100)</f>
        <v/>
      </c>
      <c r="D62" s="19" t="n">
        <v>291</v>
      </c>
      <c r="E62" s="18" t="n">
        <v>44.56747629</v>
      </c>
      <c r="F62" s="20" t="n">
        <v>3.14049521</v>
      </c>
      <c r="G62" s="18" t="n">
        <v>53.36090411</v>
      </c>
      <c r="H62" s="20" t="n">
        <v>2.88004854</v>
      </c>
      <c r="I62" s="18" t="s">
        <v>431</v>
      </c>
      <c r="J62" s="20" t="s">
        <v>431</v>
      </c>
      <c r="K62" s="18" t="n">
        <v>0</v>
      </c>
      <c r="L62" s="20" t="n">
        <v>0</v>
      </c>
      <c r="M62" s="18" t="n">
        <v>0</v>
      </c>
      <c r="N62" s="20" t="n">
        <v>0</v>
      </c>
      <c r="O62" s="18" t="n">
        <v>0</v>
      </c>
      <c r="P62" s="20" t="n">
        <v>0</v>
      </c>
      <c r="Q62" s="18" t="n">
        <v>2.0716196</v>
      </c>
      <c r="R62" s="20" t="n">
        <v>0.84467598</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(2525.0/B66*100)</f>
        <v/>
      </c>
      <c r="D66" s="19" t="n">
        <v>369</v>
      </c>
      <c r="E66" s="18" t="n">
        <v>10.26967333</v>
      </c>
      <c r="F66" s="20" t="n">
        <v>1.65300232</v>
      </c>
      <c r="G66" s="18" t="n">
        <v>32.71045326</v>
      </c>
      <c r="H66" s="20" t="n">
        <v>2.66139851</v>
      </c>
      <c r="I66" s="18" t="s">
        <v>431</v>
      </c>
      <c r="J66" s="20" t="s">
        <v>431</v>
      </c>
      <c r="K66" s="18" t="n">
        <v>0</v>
      </c>
      <c r="L66" s="20" t="n">
        <v>0</v>
      </c>
      <c r="M66" s="18" t="n">
        <v>54.56857325</v>
      </c>
      <c r="N66" s="20" t="n">
        <v>2.75868372</v>
      </c>
      <c r="O66" s="18" t="n">
        <v>0</v>
      </c>
      <c r="P66" s="20" t="n">
        <v>0</v>
      </c>
      <c r="Q66" s="18" t="n">
        <v>2.45130016</v>
      </c>
      <c r="R66" s="20" t="n">
        <v>0.86543079</v>
      </c>
    </row>
    <row r="67" spans="1:18">
      <c r="A67" s="15" t="s">
        <v>491</v>
      </c>
      <c r="B67" s="17" t="n">
        <v>3511</v>
      </c>
      <c r="C67" s="18">
        <f>(3068.0/B67*100)</f>
        <v/>
      </c>
      <c r="D67" s="19" t="n">
        <v>443</v>
      </c>
      <c r="E67" s="18" t="n">
        <v>52.5253793</v>
      </c>
      <c r="F67" s="20" t="n">
        <v>2.54529277</v>
      </c>
      <c r="G67" s="18" t="n">
        <v>44.99909623</v>
      </c>
      <c r="H67" s="20" t="n">
        <v>2.39876337</v>
      </c>
      <c r="I67" s="18" t="s">
        <v>431</v>
      </c>
      <c r="J67" s="20" t="s">
        <v>431</v>
      </c>
      <c r="K67" s="18" t="n">
        <v>0</v>
      </c>
      <c r="L67" s="20" t="n">
        <v>0</v>
      </c>
      <c r="M67" s="18" t="n">
        <v>0.24705654</v>
      </c>
      <c r="N67" s="20" t="n">
        <v>0.24871113</v>
      </c>
      <c r="O67" s="18" t="n">
        <v>0</v>
      </c>
      <c r="P67" s="20" t="n">
        <v>0</v>
      </c>
      <c r="Q67" s="18" t="n">
        <v>2.22846792</v>
      </c>
      <c r="R67" s="20" t="n">
        <v>0.82174034</v>
      </c>
    </row>
    <row r="68" spans="1:18">
      <c r="A68" s="15" t="s">
        <v>492</v>
      </c>
      <c r="B68" s="17" t="n">
        <v>6049</v>
      </c>
      <c r="C68" s="18">
        <f>(5041.0/B68*100)</f>
        <v/>
      </c>
      <c r="D68" s="19" t="n">
        <v>1008</v>
      </c>
      <c r="E68" s="18" t="n">
        <v>30.60928337</v>
      </c>
      <c r="F68" s="20" t="n">
        <v>1.35311625</v>
      </c>
      <c r="G68" s="18" t="n">
        <v>60.61833862</v>
      </c>
      <c r="H68" s="20" t="n">
        <v>1.35949228</v>
      </c>
      <c r="I68" s="18" t="s">
        <v>431</v>
      </c>
      <c r="J68" s="20" t="s">
        <v>431</v>
      </c>
      <c r="K68" s="18" t="n">
        <v>1.28590561</v>
      </c>
      <c r="L68" s="20" t="n">
        <v>0.37330289</v>
      </c>
      <c r="M68" s="18" t="n">
        <v>0</v>
      </c>
      <c r="N68" s="20" t="n">
        <v>0</v>
      </c>
      <c r="O68" s="18" t="n">
        <v>0</v>
      </c>
      <c r="P68" s="20" t="n">
        <v>0</v>
      </c>
      <c r="Q68" s="18" t="n">
        <v>7.4864724</v>
      </c>
      <c r="R68" s="20" t="n">
        <v>0.90924468</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(2588.0/B70*100)</f>
        <v/>
      </c>
      <c r="D70" s="19" t="n">
        <v>341</v>
      </c>
      <c r="E70" s="18" t="n">
        <v>35.80618924</v>
      </c>
      <c r="F70" s="20" t="n">
        <v>4.06792428</v>
      </c>
      <c r="G70" s="18" t="n">
        <v>62.16859451</v>
      </c>
      <c r="H70" s="20" t="n">
        <v>4.19838709</v>
      </c>
      <c r="I70" s="18" t="s">
        <v>431</v>
      </c>
      <c r="J70" s="20" t="s">
        <v>431</v>
      </c>
      <c r="K70" s="18" t="n">
        <v>0.21599258</v>
      </c>
      <c r="L70" s="20" t="n">
        <v>0.21702468</v>
      </c>
      <c r="M70" s="18" t="n">
        <v>0</v>
      </c>
      <c r="N70" s="20" t="n">
        <v>0</v>
      </c>
      <c r="O70" s="18" t="n">
        <v>0</v>
      </c>
      <c r="P70" s="20" t="n">
        <v>0</v>
      </c>
      <c r="Q70" s="18" t="n">
        <v>1.80922367</v>
      </c>
      <c r="R70" s="20" t="n">
        <v>0.88427263</v>
      </c>
    </row>
    <row r="71" spans="1:18">
      <c r="A71" s="15" t="s">
        <v>495</v>
      </c>
      <c r="B71" s="17" t="n">
        <v>3142</v>
      </c>
      <c r="C71" s="18">
        <f>(2755.0/B71*100)</f>
        <v/>
      </c>
      <c r="D71" s="19" t="n">
        <v>387</v>
      </c>
      <c r="E71" s="18" t="n">
        <v>14.71308269</v>
      </c>
      <c r="F71" s="20" t="n">
        <v>1.91623362</v>
      </c>
      <c r="G71" s="18" t="n">
        <v>83.39579256</v>
      </c>
      <c r="H71" s="20" t="n">
        <v>1.9781947</v>
      </c>
      <c r="I71" s="18" t="s">
        <v>431</v>
      </c>
      <c r="J71" s="20" t="s">
        <v>431</v>
      </c>
      <c r="K71" s="18" t="n">
        <v>0.50366945</v>
      </c>
      <c r="L71" s="20" t="n">
        <v>0.35699877</v>
      </c>
      <c r="M71" s="18" t="n">
        <v>0</v>
      </c>
      <c r="N71" s="20" t="n">
        <v>0</v>
      </c>
      <c r="O71" s="18" t="n">
        <v>0</v>
      </c>
      <c r="P71" s="20" t="n">
        <v>0</v>
      </c>
      <c r="Q71" s="18" t="n">
        <v>1.3874553</v>
      </c>
      <c r="R71" s="20" t="n">
        <v>0.5708372</v>
      </c>
    </row>
    <row r="72" spans="1:18">
      <c r="A72" s="15" t="s">
        <v>496</v>
      </c>
      <c r="B72" s="17" t="n">
        <v>3889</v>
      </c>
      <c r="C72" s="18">
        <f>(3402.0/B72*100)</f>
        <v/>
      </c>
      <c r="D72" s="19" t="n">
        <v>487</v>
      </c>
      <c r="E72" s="18" t="n">
        <v>23.33387761</v>
      </c>
      <c r="F72" s="20" t="n">
        <v>1.78556749</v>
      </c>
      <c r="G72" s="18" t="n">
        <v>74.39893714999999</v>
      </c>
      <c r="H72" s="20" t="n">
        <v>1.84561265</v>
      </c>
      <c r="I72" s="18" t="s">
        <v>431</v>
      </c>
      <c r="J72" s="20" t="s">
        <v>431</v>
      </c>
      <c r="K72" s="18" t="n">
        <v>0</v>
      </c>
      <c r="L72" s="20" t="n">
        <v>0</v>
      </c>
      <c r="M72" s="18" t="n">
        <v>0</v>
      </c>
      <c r="N72" s="20" t="n">
        <v>0</v>
      </c>
      <c r="O72" s="18" t="n">
        <v>0</v>
      </c>
      <c r="P72" s="20" t="n">
        <v>0</v>
      </c>
      <c r="Q72" s="18" t="n">
        <v>2.26718525</v>
      </c>
      <c r="R72" s="20" t="n">
        <v>0.4859236</v>
      </c>
    </row>
    <row r="73" spans="1:18">
      <c r="A73" s="15" t="s">
        <v>497</v>
      </c>
      <c r="B73" s="17" t="n">
        <v>3597</v>
      </c>
      <c r="C73" s="18">
        <f>(3176.0/B73*100)</f>
        <v/>
      </c>
      <c r="D73" s="19" t="n">
        <v>421</v>
      </c>
      <c r="E73" s="18" t="n">
        <v>54.32346899</v>
      </c>
      <c r="F73" s="20" t="n">
        <v>3.70269519</v>
      </c>
      <c r="G73" s="18" t="n">
        <v>43.65876771</v>
      </c>
      <c r="H73" s="20" t="n">
        <v>3.70442389</v>
      </c>
      <c r="I73" s="18" t="s">
        <v>431</v>
      </c>
      <c r="J73" s="20" t="s">
        <v>431</v>
      </c>
      <c r="K73" s="18" t="n">
        <v>0</v>
      </c>
      <c r="L73" s="20" t="n">
        <v>0</v>
      </c>
      <c r="M73" s="18" t="n">
        <v>0.6332031</v>
      </c>
      <c r="N73" s="20" t="n">
        <v>0.58609174</v>
      </c>
      <c r="O73" s="18" t="n">
        <v>0</v>
      </c>
      <c r="P73" s="20" t="n">
        <v>0</v>
      </c>
      <c r="Q73" s="18" t="n">
        <v>1.38456019</v>
      </c>
      <c r="R73" s="20" t="n">
        <v>0.67273368</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(2126.0/B75*100)</f>
        <v/>
      </c>
      <c r="D75" s="19" t="n">
        <v>280</v>
      </c>
      <c r="E75" s="18" t="n">
        <v>58.21031956</v>
      </c>
      <c r="F75" s="20" t="n">
        <v>2.45417572</v>
      </c>
      <c r="G75" s="18" t="n">
        <v>29.60199885</v>
      </c>
      <c r="H75" s="20" t="n">
        <v>2.66021402</v>
      </c>
      <c r="I75" s="18" t="s">
        <v>431</v>
      </c>
      <c r="J75" s="20" t="s">
        <v>431</v>
      </c>
      <c r="K75" s="18" t="n">
        <v>0.71023284</v>
      </c>
      <c r="L75" s="20" t="n">
        <v>0.41754098</v>
      </c>
      <c r="M75" s="18" t="n">
        <v>0.8043162700000001</v>
      </c>
      <c r="N75" s="20" t="n">
        <v>0.58103635</v>
      </c>
      <c r="O75" s="18" t="n">
        <v>0</v>
      </c>
      <c r="P75" s="20" t="n">
        <v>0</v>
      </c>
      <c r="Q75" s="18" t="n">
        <v>10.67313249</v>
      </c>
      <c r="R75" s="20" t="n">
        <v>1.88365237</v>
      </c>
    </row>
    <row r="76" spans="1:18">
      <c r="A76" s="15" t="s">
        <v>500</v>
      </c>
      <c r="B76" s="17" t="n">
        <v>7052</v>
      </c>
      <c r="C76" s="18">
        <f>(6182.0/B76*100)</f>
        <v/>
      </c>
      <c r="D76" s="19" t="n">
        <v>870</v>
      </c>
      <c r="E76" s="18" t="n">
        <v>27.63750076</v>
      </c>
      <c r="F76" s="20" t="n">
        <v>1.90719792</v>
      </c>
      <c r="G76" s="18" t="n">
        <v>67.03508585</v>
      </c>
      <c r="H76" s="20" t="n">
        <v>1.90392784</v>
      </c>
      <c r="I76" s="18" t="s">
        <v>431</v>
      </c>
      <c r="J76" s="20" t="s">
        <v>431</v>
      </c>
      <c r="K76" s="18" t="n">
        <v>0.51252253</v>
      </c>
      <c r="L76" s="20" t="n">
        <v>0.30147801</v>
      </c>
      <c r="M76" s="18" t="n">
        <v>0.17622914</v>
      </c>
      <c r="N76" s="20" t="n">
        <v>0.17527006</v>
      </c>
      <c r="O76" s="18" t="n">
        <v>0</v>
      </c>
      <c r="P76" s="20" t="n">
        <v>0</v>
      </c>
      <c r="Q76" s="18" t="n">
        <v>4.63866172</v>
      </c>
      <c r="R76" s="20" t="n">
        <v>0.96146697</v>
      </c>
    </row>
    <row r="77" spans="1:18">
      <c r="A77" s="15" t="s">
        <v>501</v>
      </c>
      <c r="B77" s="17" t="n">
        <v>2908</v>
      </c>
      <c r="C77" s="18">
        <f>(2571.0/B77*100)</f>
        <v/>
      </c>
      <c r="D77" s="19" t="n">
        <v>337</v>
      </c>
      <c r="E77" s="18" t="n">
        <v>26.34017673</v>
      </c>
      <c r="F77" s="20" t="n">
        <v>2.96994036</v>
      </c>
      <c r="G77" s="18" t="n">
        <v>67.80019462</v>
      </c>
      <c r="H77" s="20" t="n">
        <v>2.7956383</v>
      </c>
      <c r="I77" s="18" t="s">
        <v>431</v>
      </c>
      <c r="J77" s="20" t="s">
        <v>431</v>
      </c>
      <c r="K77" s="18" t="n">
        <v>0.48027114</v>
      </c>
      <c r="L77" s="20" t="n">
        <v>0.47945288</v>
      </c>
      <c r="M77" s="18" t="n">
        <v>0</v>
      </c>
      <c r="N77" s="20" t="n">
        <v>0</v>
      </c>
      <c r="O77" s="18" t="n">
        <v>0</v>
      </c>
      <c r="P77" s="20" t="n">
        <v>0</v>
      </c>
      <c r="Q77" s="18" t="n">
        <v>5.37935752</v>
      </c>
      <c r="R77" s="20" t="n">
        <v>1.39323597</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(3652.0/B81*100)</f>
        <v/>
      </c>
      <c r="D81" s="19" t="n">
        <v>511</v>
      </c>
      <c r="E81" s="18" t="n">
        <v>36.04846218</v>
      </c>
      <c r="F81" s="20" t="n">
        <v>2.33912645</v>
      </c>
      <c r="G81" s="18" t="n">
        <v>62.77369584</v>
      </c>
      <c r="H81" s="20" t="n">
        <v>2.3956089</v>
      </c>
      <c r="I81" s="18" t="s">
        <v>431</v>
      </c>
      <c r="J81" s="20" t="s">
        <v>431</v>
      </c>
      <c r="K81" s="18" t="n">
        <v>0.24456701</v>
      </c>
      <c r="L81" s="20" t="n">
        <v>0.24353233</v>
      </c>
      <c r="M81" s="18" t="n">
        <v>0</v>
      </c>
      <c r="N81" s="20" t="n">
        <v>0</v>
      </c>
      <c r="O81" s="18" t="n">
        <v>0</v>
      </c>
      <c r="P81" s="20" t="n">
        <v>0</v>
      </c>
      <c r="Q81" s="18" t="n">
        <v>0.93327497</v>
      </c>
      <c r="R81" s="20" t="n">
        <v>0.48229123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(6467.0/B7*100)</f>
        <v/>
      </c>
      <c r="D7" s="19" t="n">
        <v>900</v>
      </c>
      <c r="E7" s="18" t="n">
        <v>17.84376977</v>
      </c>
      <c r="F7" s="20" t="n">
        <v>1.321145</v>
      </c>
      <c r="G7" s="18" t="n">
        <v>72.69245604</v>
      </c>
      <c r="H7" s="20" t="n">
        <v>1.54856389</v>
      </c>
      <c r="I7" s="18" t="s">
        <v>431</v>
      </c>
      <c r="J7" s="20" t="s">
        <v>431</v>
      </c>
      <c r="K7" s="18" t="n">
        <v>0.23855412</v>
      </c>
      <c r="L7" s="20" t="n">
        <v>0.17039286</v>
      </c>
      <c r="M7" s="18" t="n">
        <v>6.28361699</v>
      </c>
      <c r="N7" s="20" t="n">
        <v>1.04668351</v>
      </c>
      <c r="O7" s="18" t="n">
        <v>0</v>
      </c>
      <c r="P7" s="20" t="n">
        <v>0</v>
      </c>
      <c r="Q7" s="18" t="n">
        <v>2.94160308</v>
      </c>
      <c r="R7" s="20" t="n">
        <v>0.6232060699999999</v>
      </c>
    </row>
    <row r="8" spans="1:18">
      <c r="A8" s="15" t="s">
        <v>432</v>
      </c>
      <c r="B8" s="17" t="n">
        <v>3564</v>
      </c>
      <c r="C8" s="18">
        <f>(3080.0/B8*100)</f>
        <v/>
      </c>
      <c r="D8" s="19" t="n">
        <v>484</v>
      </c>
      <c r="E8" s="18" t="n">
        <v>21.45822452</v>
      </c>
      <c r="F8" s="20" t="n">
        <v>2.61009651</v>
      </c>
      <c r="G8" s="18" t="n">
        <v>72.25775041</v>
      </c>
      <c r="H8" s="20" t="n">
        <v>2.49511585</v>
      </c>
      <c r="I8" s="18" t="s">
        <v>431</v>
      </c>
      <c r="J8" s="20" t="s">
        <v>431</v>
      </c>
      <c r="K8" s="18" t="n">
        <v>0</v>
      </c>
      <c r="L8" s="20" t="n">
        <v>0</v>
      </c>
      <c r="M8" s="18" t="n">
        <v>0</v>
      </c>
      <c r="N8" s="20" t="n">
        <v>0</v>
      </c>
      <c r="O8" s="18" t="n">
        <v>0</v>
      </c>
      <c r="P8" s="20" t="n">
        <v>0</v>
      </c>
      <c r="Q8" s="18" t="n">
        <v>6.28402507</v>
      </c>
      <c r="R8" s="20" t="n">
        <v>1.4458269</v>
      </c>
    </row>
    <row r="9" spans="1:18">
      <c r="A9" s="15" t="s">
        <v>433</v>
      </c>
      <c r="B9" s="17" t="n">
        <v>4899</v>
      </c>
      <c r="C9" s="18">
        <f>(4134.0/B9*100)</f>
        <v/>
      </c>
      <c r="D9" s="19" t="n">
        <v>765</v>
      </c>
      <c r="E9" s="18" t="n">
        <v>24.60257747</v>
      </c>
      <c r="F9" s="20" t="n">
        <v>1.84482299</v>
      </c>
      <c r="G9" s="18" t="n">
        <v>69.36014612</v>
      </c>
      <c r="H9" s="20" t="n">
        <v>2.33349497</v>
      </c>
      <c r="I9" s="18" t="s">
        <v>431</v>
      </c>
      <c r="J9" s="20" t="s">
        <v>431</v>
      </c>
      <c r="K9" s="18" t="n">
        <v>0.24296198</v>
      </c>
      <c r="L9" s="20" t="n">
        <v>0.12533071</v>
      </c>
      <c r="M9" s="18" t="n">
        <v>0.12300289</v>
      </c>
      <c r="N9" s="20" t="n">
        <v>0.12318473</v>
      </c>
      <c r="O9" s="18" t="n">
        <v>0</v>
      </c>
      <c r="P9" s="20" t="n">
        <v>0</v>
      </c>
      <c r="Q9" s="18" t="n">
        <v>5.67131154</v>
      </c>
      <c r="R9" s="20" t="n">
        <v>1.09313312</v>
      </c>
    </row>
    <row r="10" spans="1:18">
      <c r="A10" s="15" t="s">
        <v>434</v>
      </c>
      <c r="B10" s="17" t="n">
        <v>10036</v>
      </c>
      <c r="C10" s="18">
        <f>(8768.0/B10*100)</f>
        <v/>
      </c>
      <c r="D10" s="19" t="n">
        <v>1268</v>
      </c>
      <c r="E10" s="18" t="n">
        <v>17.83127123</v>
      </c>
      <c r="F10" s="20" t="n">
        <v>1.530678</v>
      </c>
      <c r="G10" s="18" t="n">
        <v>67.48554851</v>
      </c>
      <c r="H10" s="20" t="n">
        <v>2.10118219</v>
      </c>
      <c r="I10" s="18" t="s">
        <v>431</v>
      </c>
      <c r="J10" s="20" t="s">
        <v>431</v>
      </c>
      <c r="K10" s="18" t="n">
        <v>0.43976023</v>
      </c>
      <c r="L10" s="20" t="n">
        <v>0.30419991</v>
      </c>
      <c r="M10" s="18" t="n">
        <v>12.57759185</v>
      </c>
      <c r="N10" s="20" t="n">
        <v>1.60787533</v>
      </c>
      <c r="O10" s="18" t="n">
        <v>0</v>
      </c>
      <c r="P10" s="20" t="n">
        <v>0</v>
      </c>
      <c r="Q10" s="18" t="n">
        <v>1.66582817</v>
      </c>
      <c r="R10" s="20" t="n">
        <v>0.45907005</v>
      </c>
    </row>
    <row r="11" spans="1:18">
      <c r="A11" s="15" t="s">
        <v>435</v>
      </c>
      <c r="B11" s="17" t="n">
        <v>3553</v>
      </c>
      <c r="C11" s="18">
        <f>(3104.0/B11*100)</f>
        <v/>
      </c>
      <c r="D11" s="19" t="n">
        <v>449</v>
      </c>
      <c r="E11" s="18" t="n">
        <v>17.61181589</v>
      </c>
      <c r="F11" s="20" t="n">
        <v>2.31845073</v>
      </c>
      <c r="G11" s="18" t="n">
        <v>74.67050575</v>
      </c>
      <c r="H11" s="20" t="n">
        <v>2.82205125</v>
      </c>
      <c r="I11" s="18" t="s">
        <v>431</v>
      </c>
      <c r="J11" s="20" t="s">
        <v>431</v>
      </c>
      <c r="K11" s="18" t="n">
        <v>0.19389981</v>
      </c>
      <c r="L11" s="20" t="n">
        <v>0.17947647</v>
      </c>
      <c r="M11" s="18" t="n">
        <v>0</v>
      </c>
      <c r="N11" s="20" t="n">
        <v>0</v>
      </c>
      <c r="O11" s="18" t="n">
        <v>0</v>
      </c>
      <c r="P11" s="20" t="n">
        <v>0</v>
      </c>
      <c r="Q11" s="18" t="n">
        <v>7.52377855</v>
      </c>
      <c r="R11" s="20" t="n">
        <v>1.84020061</v>
      </c>
    </row>
    <row r="12" spans="1:18">
      <c r="A12" s="15" t="s">
        <v>436</v>
      </c>
      <c r="B12" s="17" t="n">
        <v>3472</v>
      </c>
      <c r="C12" s="18">
        <f>(3012.0/B12*100)</f>
        <v/>
      </c>
      <c r="D12" s="19" t="n">
        <v>460</v>
      </c>
      <c r="E12" s="18" t="n">
        <v>21.17433108</v>
      </c>
      <c r="F12" s="20" t="n">
        <v>3.37322226</v>
      </c>
      <c r="G12" s="18" t="n">
        <v>72.13590322</v>
      </c>
      <c r="H12" s="20" t="n">
        <v>4.64313991</v>
      </c>
      <c r="I12" s="18" t="s">
        <v>431</v>
      </c>
      <c r="J12" s="20" t="s">
        <v>431</v>
      </c>
      <c r="K12" s="18" t="n">
        <v>0</v>
      </c>
      <c r="L12" s="20" t="n">
        <v>0</v>
      </c>
      <c r="M12" s="18" t="n">
        <v>0</v>
      </c>
      <c r="N12" s="20" t="n">
        <v>0</v>
      </c>
      <c r="O12" s="18" t="n">
        <v>0</v>
      </c>
      <c r="P12" s="20" t="n">
        <v>0</v>
      </c>
      <c r="Q12" s="18" t="n">
        <v>6.6897657</v>
      </c>
      <c r="R12" s="20" t="n">
        <v>1.76239233</v>
      </c>
    </row>
    <row r="13" spans="1:18">
      <c r="A13" s="15" t="s">
        <v>437</v>
      </c>
      <c r="B13" s="17" t="n">
        <v>3559</v>
      </c>
      <c r="C13" s="18">
        <f>(2949.0/B13*100)</f>
        <v/>
      </c>
      <c r="D13" s="19" t="n">
        <v>610</v>
      </c>
      <c r="E13" s="18" t="n">
        <v>21.45634034</v>
      </c>
      <c r="F13" s="20" t="n">
        <v>1.91468057</v>
      </c>
      <c r="G13" s="18" t="n">
        <v>75.57177354</v>
      </c>
      <c r="H13" s="20" t="n">
        <v>2.28288892</v>
      </c>
      <c r="I13" s="18" t="s">
        <v>431</v>
      </c>
      <c r="J13" s="20" t="s">
        <v>431</v>
      </c>
      <c r="K13" s="18" t="n">
        <v>0.2692428</v>
      </c>
      <c r="L13" s="20" t="n">
        <v>0.23129442</v>
      </c>
      <c r="M13" s="18" t="n">
        <v>0</v>
      </c>
      <c r="N13" s="20" t="n">
        <v>0</v>
      </c>
      <c r="O13" s="18" t="n">
        <v>0</v>
      </c>
      <c r="P13" s="20" t="n">
        <v>0</v>
      </c>
      <c r="Q13" s="18" t="n">
        <v>2.70264332</v>
      </c>
      <c r="R13" s="20" t="n">
        <v>0.82981014</v>
      </c>
    </row>
    <row r="14" spans="1:18">
      <c r="A14" s="15" t="s">
        <v>438</v>
      </c>
      <c r="B14" s="17" t="n">
        <v>2799</v>
      </c>
      <c r="C14" s="18">
        <f>(2455.0/B14*100)</f>
        <v/>
      </c>
      <c r="D14" s="19" t="n">
        <v>344</v>
      </c>
      <c r="E14" s="18" t="n">
        <v>15.604327</v>
      </c>
      <c r="F14" s="20" t="n">
        <v>2.28998472</v>
      </c>
      <c r="G14" s="18" t="n">
        <v>82.56620267</v>
      </c>
      <c r="H14" s="20" t="n">
        <v>2.35582064</v>
      </c>
      <c r="I14" s="18" t="s">
        <v>431</v>
      </c>
      <c r="J14" s="20" t="s">
        <v>431</v>
      </c>
      <c r="K14" s="18" t="n">
        <v>0</v>
      </c>
      <c r="L14" s="20" t="n">
        <v>0</v>
      </c>
      <c r="M14" s="18" t="n">
        <v>0</v>
      </c>
      <c r="N14" s="20" t="n">
        <v>0</v>
      </c>
      <c r="O14" s="18" t="n">
        <v>0</v>
      </c>
      <c r="P14" s="20" t="n">
        <v>0</v>
      </c>
      <c r="Q14" s="18" t="n">
        <v>1.82947033</v>
      </c>
      <c r="R14" s="20" t="n">
        <v>0.92051941</v>
      </c>
    </row>
    <row r="15" spans="1:18">
      <c r="A15" s="15" t="s">
        <v>439</v>
      </c>
      <c r="B15" s="17" t="n">
        <v>3019</v>
      </c>
      <c r="C15" s="18">
        <f>(2628.0/B15*100)</f>
        <v/>
      </c>
      <c r="D15" s="19" t="n">
        <v>391</v>
      </c>
      <c r="E15" s="18" t="n">
        <v>19.49239773</v>
      </c>
      <c r="F15" s="20" t="n">
        <v>2.13206462</v>
      </c>
      <c r="G15" s="18" t="n">
        <v>77.06179331</v>
      </c>
      <c r="H15" s="20" t="n">
        <v>2.6999102</v>
      </c>
      <c r="I15" s="18" t="s">
        <v>431</v>
      </c>
      <c r="J15" s="20" t="s">
        <v>431</v>
      </c>
      <c r="K15" s="18" t="n">
        <v>0.22658877</v>
      </c>
      <c r="L15" s="20" t="n">
        <v>0.2275381</v>
      </c>
      <c r="M15" s="18" t="n">
        <v>0</v>
      </c>
      <c r="N15" s="20" t="n">
        <v>0</v>
      </c>
      <c r="O15" s="18" t="n">
        <v>0</v>
      </c>
      <c r="P15" s="20" t="n">
        <v>0</v>
      </c>
      <c r="Q15" s="18" t="n">
        <v>3.2192202</v>
      </c>
      <c r="R15" s="20" t="n">
        <v>1.1391989</v>
      </c>
    </row>
    <row r="16" spans="1:18">
      <c r="A16" s="15" t="s">
        <v>440</v>
      </c>
      <c r="B16" s="17" t="n">
        <v>2997</v>
      </c>
      <c r="C16" s="18">
        <f>(2637.0/B16*100)</f>
        <v/>
      </c>
      <c r="D16" s="19" t="n">
        <v>360</v>
      </c>
      <c r="E16" s="18" t="n">
        <v>26.06008407</v>
      </c>
      <c r="F16" s="20" t="n">
        <v>2.51353615</v>
      </c>
      <c r="G16" s="18" t="n">
        <v>64.05820104999999</v>
      </c>
      <c r="H16" s="20" t="n">
        <v>2.92177644</v>
      </c>
      <c r="I16" s="18" t="s">
        <v>431</v>
      </c>
      <c r="J16" s="20" t="s">
        <v>431</v>
      </c>
      <c r="K16" s="18" t="n">
        <v>1.01380115</v>
      </c>
      <c r="L16" s="20" t="n">
        <v>0.60482103</v>
      </c>
      <c r="M16" s="18" t="n">
        <v>0</v>
      </c>
      <c r="N16" s="20" t="n">
        <v>0</v>
      </c>
      <c r="O16" s="18" t="n">
        <v>0</v>
      </c>
      <c r="P16" s="20" t="n">
        <v>0</v>
      </c>
      <c r="Q16" s="18" t="n">
        <v>8.867913720000001</v>
      </c>
      <c r="R16" s="20" t="n">
        <v>1.6487168</v>
      </c>
    </row>
    <row r="17" spans="1:18">
      <c r="A17" s="15" t="s">
        <v>441</v>
      </c>
      <c r="B17" s="17" t="n">
        <v>3307</v>
      </c>
      <c r="C17" s="18">
        <f>(2823.0/B17*100)</f>
        <v/>
      </c>
      <c r="D17" s="19" t="n">
        <v>484</v>
      </c>
      <c r="E17" s="18" t="n">
        <v>24.28135055</v>
      </c>
      <c r="F17" s="20" t="n">
        <v>2.20911592</v>
      </c>
      <c r="G17" s="18" t="n">
        <v>69.85649839</v>
      </c>
      <c r="H17" s="20" t="n">
        <v>2.58091024</v>
      </c>
      <c r="I17" s="18" t="s">
        <v>431</v>
      </c>
      <c r="J17" s="20" t="s">
        <v>431</v>
      </c>
      <c r="K17" s="18" t="n">
        <v>0.92763822</v>
      </c>
      <c r="L17" s="20" t="n">
        <v>0.46423661</v>
      </c>
      <c r="M17" s="18" t="n">
        <v>0</v>
      </c>
      <c r="N17" s="20" t="n">
        <v>0</v>
      </c>
      <c r="O17" s="18" t="n">
        <v>0</v>
      </c>
      <c r="P17" s="20" t="n">
        <v>0</v>
      </c>
      <c r="Q17" s="18" t="n">
        <v>4.93451284</v>
      </c>
      <c r="R17" s="20" t="n">
        <v>1.24261545</v>
      </c>
    </row>
    <row r="18" spans="1:18">
      <c r="A18" s="15" t="s">
        <v>442</v>
      </c>
      <c r="B18" s="17" t="n">
        <v>2826</v>
      </c>
      <c r="C18" s="18">
        <f>(2482.0/B18*100)</f>
        <v/>
      </c>
      <c r="D18" s="19" t="n">
        <v>344</v>
      </c>
      <c r="E18" s="18" t="n">
        <v>21.04855615</v>
      </c>
      <c r="F18" s="20" t="n">
        <v>2.8420625</v>
      </c>
      <c r="G18" s="18" t="n">
        <v>71.90549061</v>
      </c>
      <c r="H18" s="20" t="n">
        <v>2.94551704</v>
      </c>
      <c r="I18" s="18" t="s">
        <v>431</v>
      </c>
      <c r="J18" s="20" t="s">
        <v>431</v>
      </c>
      <c r="K18" s="18" t="n">
        <v>0.14693927</v>
      </c>
      <c r="L18" s="20" t="n">
        <v>0.14770791</v>
      </c>
      <c r="M18" s="18" t="n">
        <v>0</v>
      </c>
      <c r="N18" s="20" t="n">
        <v>0</v>
      </c>
      <c r="O18" s="18" t="n">
        <v>0</v>
      </c>
      <c r="P18" s="20" t="n">
        <v>0</v>
      </c>
      <c r="Q18" s="18" t="n">
        <v>6.89901397</v>
      </c>
      <c r="R18" s="20" t="n">
        <v>1.4441653</v>
      </c>
    </row>
    <row r="19" spans="1:18">
      <c r="A19" s="15" t="s">
        <v>443</v>
      </c>
      <c r="B19" s="17" t="n">
        <v>2808</v>
      </c>
      <c r="C19" s="18">
        <f>(2459.0/B19*100)</f>
        <v/>
      </c>
      <c r="D19" s="19" t="n">
        <v>349</v>
      </c>
      <c r="E19" s="18" t="n">
        <v>28.94612425</v>
      </c>
      <c r="F19" s="20" t="n">
        <v>2.58869146</v>
      </c>
      <c r="G19" s="18" t="n">
        <v>64.11299278</v>
      </c>
      <c r="H19" s="20" t="n">
        <v>2.75308867</v>
      </c>
      <c r="I19" s="18" t="s">
        <v>431</v>
      </c>
      <c r="J19" s="20" t="s">
        <v>431</v>
      </c>
      <c r="K19" s="18" t="n">
        <v>0</v>
      </c>
      <c r="L19" s="20" t="n">
        <v>0</v>
      </c>
      <c r="M19" s="18" t="n">
        <v>0</v>
      </c>
      <c r="N19" s="20" t="n">
        <v>0</v>
      </c>
      <c r="O19" s="18" t="n">
        <v>0</v>
      </c>
      <c r="P19" s="20" t="n">
        <v>0</v>
      </c>
      <c r="Q19" s="18" t="n">
        <v>6.94088297</v>
      </c>
      <c r="R19" s="20" t="n">
        <v>1.83269936</v>
      </c>
    </row>
    <row r="20" spans="1:18">
      <c r="A20" s="15" t="s">
        <v>444</v>
      </c>
      <c r="B20" s="17" t="n">
        <v>1630</v>
      </c>
      <c r="C20" s="18">
        <f>(1434.0/B20*100)</f>
        <v/>
      </c>
      <c r="D20" s="19" t="n">
        <v>196</v>
      </c>
      <c r="E20" s="18" t="n">
        <v>25.28151828</v>
      </c>
      <c r="F20" s="20" t="n">
        <v>3.06162146</v>
      </c>
      <c r="G20" s="18" t="n">
        <v>71.35799312</v>
      </c>
      <c r="H20" s="20" t="n">
        <v>3.19300751</v>
      </c>
      <c r="I20" s="18" t="s">
        <v>431</v>
      </c>
      <c r="J20" s="20" t="s">
        <v>431</v>
      </c>
      <c r="K20" s="18" t="n">
        <v>0.58157203</v>
      </c>
      <c r="L20" s="20" t="n">
        <v>0.58935858</v>
      </c>
      <c r="M20" s="18" t="n">
        <v>0.78920248</v>
      </c>
      <c r="N20" s="20" t="n">
        <v>0.5602563699999999</v>
      </c>
      <c r="O20" s="18" t="n">
        <v>0</v>
      </c>
      <c r="P20" s="20" t="n">
        <v>0</v>
      </c>
      <c r="Q20" s="18" t="n">
        <v>1.98971409</v>
      </c>
      <c r="R20" s="20" t="n">
        <v>0.9618759</v>
      </c>
    </row>
    <row r="21" spans="1:18">
      <c r="A21" s="15" t="s">
        <v>445</v>
      </c>
      <c r="B21" s="17" t="n">
        <v>2908</v>
      </c>
      <c r="C21" s="18">
        <f>(2417.0/B21*100)</f>
        <v/>
      </c>
      <c r="D21" s="19" t="n">
        <v>491</v>
      </c>
      <c r="E21" s="18" t="n">
        <v>11.50825963</v>
      </c>
      <c r="F21" s="20" t="n">
        <v>1.55895727</v>
      </c>
      <c r="G21" s="18" t="n">
        <v>87.66777096</v>
      </c>
      <c r="H21" s="20" t="n">
        <v>1.6456645</v>
      </c>
      <c r="I21" s="18" t="s">
        <v>431</v>
      </c>
      <c r="J21" s="20" t="s">
        <v>431</v>
      </c>
      <c r="K21" s="18" t="n">
        <v>0</v>
      </c>
      <c r="L21" s="20" t="n">
        <v>0</v>
      </c>
      <c r="M21" s="18" t="n">
        <v>0</v>
      </c>
      <c r="N21" s="20" t="n">
        <v>0</v>
      </c>
      <c r="O21" s="18" t="n">
        <v>0</v>
      </c>
      <c r="P21" s="20" t="n">
        <v>0</v>
      </c>
      <c r="Q21" s="18" t="n">
        <v>0.8239694</v>
      </c>
      <c r="R21" s="20" t="n">
        <v>0.41342869</v>
      </c>
    </row>
    <row r="22" spans="1:18">
      <c r="A22" s="15" t="s">
        <v>446</v>
      </c>
      <c r="B22" s="17" t="n">
        <v>2931</v>
      </c>
      <c r="C22" s="18">
        <f>(2562.0/B22*100)</f>
        <v/>
      </c>
      <c r="D22" s="19" t="n">
        <v>369</v>
      </c>
      <c r="E22" s="18" t="n">
        <v>19.52866345</v>
      </c>
      <c r="F22" s="20" t="n">
        <v>1.68035973</v>
      </c>
      <c r="G22" s="18" t="n">
        <v>74.22717053</v>
      </c>
      <c r="H22" s="20" t="n">
        <v>1.98446108</v>
      </c>
      <c r="I22" s="18" t="s">
        <v>431</v>
      </c>
      <c r="J22" s="20" t="s">
        <v>431</v>
      </c>
      <c r="K22" s="18" t="n">
        <v>0.65488921</v>
      </c>
      <c r="L22" s="20" t="n">
        <v>0.47976959</v>
      </c>
      <c r="M22" s="18" t="n">
        <v>0</v>
      </c>
      <c r="N22" s="20" t="n">
        <v>0</v>
      </c>
      <c r="O22" s="18" t="n">
        <v>0</v>
      </c>
      <c r="P22" s="20" t="n">
        <v>0</v>
      </c>
      <c r="Q22" s="18" t="n">
        <v>5.58927681</v>
      </c>
      <c r="R22" s="20" t="n">
        <v>1.24285726</v>
      </c>
    </row>
    <row r="23" spans="1:18">
      <c r="A23" s="15" t="s">
        <v>447</v>
      </c>
      <c r="B23" s="17" t="n">
        <v>5791</v>
      </c>
      <c r="C23" s="18">
        <f>(5033.0/B23*100)</f>
        <v/>
      </c>
      <c r="D23" s="19" t="n">
        <v>758</v>
      </c>
      <c r="E23" s="18" t="n">
        <v>24.01583027</v>
      </c>
      <c r="F23" s="20" t="n">
        <v>2.0954941</v>
      </c>
      <c r="G23" s="18" t="n">
        <v>68.08668435</v>
      </c>
      <c r="H23" s="20" t="n">
        <v>2.3809378</v>
      </c>
      <c r="I23" s="18" t="s">
        <v>431</v>
      </c>
      <c r="J23" s="20" t="s">
        <v>431</v>
      </c>
      <c r="K23" s="18" t="n">
        <v>0</v>
      </c>
      <c r="L23" s="20" t="n">
        <v>0</v>
      </c>
      <c r="M23" s="18" t="n">
        <v>0.63081318</v>
      </c>
      <c r="N23" s="20" t="n">
        <v>0.37173363</v>
      </c>
      <c r="O23" s="18" t="n">
        <v>0</v>
      </c>
      <c r="P23" s="20" t="n">
        <v>0</v>
      </c>
      <c r="Q23" s="18" t="n">
        <v>7.2666722</v>
      </c>
      <c r="R23" s="20" t="n">
        <v>1.70571361</v>
      </c>
    </row>
    <row r="24" spans="1:18">
      <c r="A24" s="15" t="s">
        <v>448</v>
      </c>
      <c r="B24" s="17" t="n">
        <v>3338</v>
      </c>
      <c r="C24" s="18">
        <f>(2938.0/B24*100)</f>
        <v/>
      </c>
      <c r="D24" s="19" t="n">
        <v>400</v>
      </c>
      <c r="E24" s="18" t="n">
        <v>12.12246679</v>
      </c>
      <c r="F24" s="20" t="n">
        <v>1.65164606</v>
      </c>
      <c r="G24" s="18" t="n">
        <v>83.41398561</v>
      </c>
      <c r="H24" s="20" t="n">
        <v>2.23362966</v>
      </c>
      <c r="I24" s="18" t="s">
        <v>431</v>
      </c>
      <c r="J24" s="20" t="s">
        <v>431</v>
      </c>
      <c r="K24" s="18" t="n">
        <v>0</v>
      </c>
      <c r="L24" s="20" t="n">
        <v>0</v>
      </c>
      <c r="M24" s="18" t="n">
        <v>0</v>
      </c>
      <c r="N24" s="20" t="n">
        <v>0</v>
      </c>
      <c r="O24" s="18" t="n">
        <v>0</v>
      </c>
      <c r="P24" s="20" t="n">
        <v>0</v>
      </c>
      <c r="Q24" s="18" t="n">
        <v>4.46354761</v>
      </c>
      <c r="R24" s="20" t="n">
        <v>1.1571554</v>
      </c>
    </row>
    <row r="25" spans="1:18">
      <c r="A25" s="15" t="s">
        <v>449</v>
      </c>
      <c r="B25" s="17" t="n">
        <v>2912</v>
      </c>
      <c r="C25" s="18">
        <f>(2560.0/B25*100)</f>
        <v/>
      </c>
      <c r="D25" s="19" t="n">
        <v>352</v>
      </c>
      <c r="E25" s="18" t="n">
        <v>7.01053944</v>
      </c>
      <c r="F25" s="20" t="n">
        <v>1.51230758</v>
      </c>
      <c r="G25" s="18" t="n">
        <v>89.21623648000001</v>
      </c>
      <c r="H25" s="20" t="n">
        <v>1.91270578</v>
      </c>
      <c r="I25" s="18" t="s">
        <v>431</v>
      </c>
      <c r="J25" s="20" t="s">
        <v>431</v>
      </c>
      <c r="K25" s="18" t="n">
        <v>0.8601131</v>
      </c>
      <c r="L25" s="20" t="n">
        <v>0.49788335</v>
      </c>
      <c r="M25" s="18" t="n">
        <v>0</v>
      </c>
      <c r="N25" s="20" t="n">
        <v>0</v>
      </c>
      <c r="O25" s="18" t="n">
        <v>0</v>
      </c>
      <c r="P25" s="20" t="n">
        <v>0</v>
      </c>
      <c r="Q25" s="18" t="n">
        <v>2.91311098</v>
      </c>
      <c r="R25" s="20" t="n">
        <v>1.01801041</v>
      </c>
    </row>
    <row r="26" spans="1:18">
      <c r="A26" s="15" t="s">
        <v>450</v>
      </c>
      <c r="B26" s="17" t="n">
        <v>2450</v>
      </c>
      <c r="C26" s="18">
        <f>(2147.0/B26*100)</f>
        <v/>
      </c>
      <c r="D26" s="19" t="n">
        <v>303</v>
      </c>
      <c r="E26" s="18" t="n">
        <v>23.07687612</v>
      </c>
      <c r="F26" s="20" t="n">
        <v>2.74167853</v>
      </c>
      <c r="G26" s="18" t="n">
        <v>73.57537005</v>
      </c>
      <c r="H26" s="20" t="n">
        <v>2.93331898</v>
      </c>
      <c r="I26" s="18" t="s">
        <v>431</v>
      </c>
      <c r="J26" s="20" t="s">
        <v>431</v>
      </c>
      <c r="K26" s="18" t="n">
        <v>0</v>
      </c>
      <c r="L26" s="20" t="n">
        <v>0</v>
      </c>
      <c r="M26" s="18" t="n">
        <v>0.23074417</v>
      </c>
      <c r="N26" s="20" t="n">
        <v>0.23158608</v>
      </c>
      <c r="O26" s="18" t="n">
        <v>0</v>
      </c>
      <c r="P26" s="20" t="n">
        <v>0</v>
      </c>
      <c r="Q26" s="18" t="n">
        <v>3.11700966</v>
      </c>
      <c r="R26" s="20" t="n">
        <v>1.12114747</v>
      </c>
    </row>
    <row r="27" spans="1:18">
      <c r="A27" s="15" t="s">
        <v>451</v>
      </c>
      <c r="B27" s="17" t="n">
        <v>2616</v>
      </c>
      <c r="C27" s="18">
        <f>(2301.0/B27*100)</f>
        <v/>
      </c>
      <c r="D27" s="19" t="n">
        <v>315</v>
      </c>
      <c r="E27" s="18" t="n">
        <v>22.28547254</v>
      </c>
      <c r="F27" s="20" t="n">
        <v>2.60271986</v>
      </c>
      <c r="G27" s="18" t="n">
        <v>72.18620644000001</v>
      </c>
      <c r="H27" s="20" t="n">
        <v>2.65526929</v>
      </c>
      <c r="I27" s="18" t="s">
        <v>431</v>
      </c>
      <c r="J27" s="20" t="s">
        <v>431</v>
      </c>
      <c r="K27" s="18" t="n">
        <v>0</v>
      </c>
      <c r="L27" s="20" t="n">
        <v>0</v>
      </c>
      <c r="M27" s="18" t="n">
        <v>0</v>
      </c>
      <c r="N27" s="20" t="n">
        <v>0</v>
      </c>
      <c r="O27" s="18" t="n">
        <v>0</v>
      </c>
      <c r="P27" s="20" t="n">
        <v>0</v>
      </c>
      <c r="Q27" s="18" t="n">
        <v>5.52832102</v>
      </c>
      <c r="R27" s="20" t="n">
        <v>1.18602911</v>
      </c>
    </row>
    <row r="28" spans="1:18">
      <c r="A28" s="15" t="s">
        <v>452</v>
      </c>
      <c r="B28" s="17" t="n">
        <v>3765</v>
      </c>
      <c r="C28" s="18">
        <f>(3321.0/B28*100)</f>
        <v/>
      </c>
      <c r="D28" s="19" t="n">
        <v>444</v>
      </c>
      <c r="E28" s="18" t="n">
        <v>31.55772159</v>
      </c>
      <c r="F28" s="20" t="n">
        <v>2.82092735</v>
      </c>
      <c r="G28" s="18" t="n">
        <v>64.99412107000001</v>
      </c>
      <c r="H28" s="20" t="n">
        <v>2.88279372</v>
      </c>
      <c r="I28" s="18" t="s">
        <v>431</v>
      </c>
      <c r="J28" s="20" t="s">
        <v>431</v>
      </c>
      <c r="K28" s="18" t="n">
        <v>0.2382056</v>
      </c>
      <c r="L28" s="20" t="n">
        <v>0.24208732</v>
      </c>
      <c r="M28" s="18" t="n">
        <v>0</v>
      </c>
      <c r="N28" s="20" t="n">
        <v>0</v>
      </c>
      <c r="O28" s="18" t="n">
        <v>0</v>
      </c>
      <c r="P28" s="20" t="n">
        <v>0</v>
      </c>
      <c r="Q28" s="18" t="n">
        <v>3.20995174</v>
      </c>
      <c r="R28" s="20" t="n">
        <v>0.8196938</v>
      </c>
    </row>
    <row r="29" spans="1:18">
      <c r="A29" s="15" t="s">
        <v>453</v>
      </c>
      <c r="B29" s="17" t="n">
        <v>2685</v>
      </c>
      <c r="C29" s="18">
        <f>(2290.0/B29*100)</f>
        <v/>
      </c>
      <c r="D29" s="19" t="n">
        <v>395</v>
      </c>
      <c r="E29" s="18" t="n">
        <v>26.95467479</v>
      </c>
      <c r="F29" s="20" t="n">
        <v>2.87349467</v>
      </c>
      <c r="G29" s="18" t="n">
        <v>70.99982068</v>
      </c>
      <c r="H29" s="20" t="n">
        <v>2.90220192</v>
      </c>
      <c r="I29" s="18" t="s">
        <v>431</v>
      </c>
      <c r="J29" s="20" t="s">
        <v>431</v>
      </c>
      <c r="K29" s="18" t="n">
        <v>0.32137609</v>
      </c>
      <c r="L29" s="20" t="n">
        <v>0.31856052</v>
      </c>
      <c r="M29" s="18" t="n">
        <v>0</v>
      </c>
      <c r="N29" s="20" t="n">
        <v>0</v>
      </c>
      <c r="O29" s="18" t="n">
        <v>0</v>
      </c>
      <c r="P29" s="20" t="n">
        <v>0</v>
      </c>
      <c r="Q29" s="18" t="n">
        <v>1.72412845</v>
      </c>
      <c r="R29" s="20" t="n">
        <v>0.74444138</v>
      </c>
    </row>
    <row r="30" spans="1:18">
      <c r="A30" s="15" t="s">
        <v>454</v>
      </c>
      <c r="B30" s="17" t="n">
        <v>2263</v>
      </c>
      <c r="C30" s="18">
        <f>(1992.0/B30*100)</f>
        <v/>
      </c>
      <c r="D30" s="19" t="n">
        <v>271</v>
      </c>
      <c r="E30" s="18" t="n">
        <v>15.72083204</v>
      </c>
      <c r="F30" s="20" t="n">
        <v>2.45115056</v>
      </c>
      <c r="G30" s="18" t="n">
        <v>80.63279532</v>
      </c>
      <c r="H30" s="20" t="n">
        <v>2.69328129</v>
      </c>
      <c r="I30" s="18" t="s">
        <v>431</v>
      </c>
      <c r="J30" s="20" t="s">
        <v>431</v>
      </c>
      <c r="K30" s="18" t="n">
        <v>0</v>
      </c>
      <c r="L30" s="20" t="n">
        <v>0</v>
      </c>
      <c r="M30" s="18" t="n">
        <v>0</v>
      </c>
      <c r="N30" s="20" t="n">
        <v>0</v>
      </c>
      <c r="O30" s="18" t="n">
        <v>0</v>
      </c>
      <c r="P30" s="20" t="n">
        <v>0</v>
      </c>
      <c r="Q30" s="18" t="n">
        <v>3.64637264</v>
      </c>
      <c r="R30" s="20" t="n">
        <v>1.19457068</v>
      </c>
    </row>
    <row r="31" spans="1:18">
      <c r="A31" s="15" t="s">
        <v>455</v>
      </c>
      <c r="B31" s="17" t="n">
        <v>2750</v>
      </c>
      <c r="C31" s="18">
        <f>(2428.0/B31*100)</f>
        <v/>
      </c>
      <c r="D31" s="19" t="n">
        <v>322</v>
      </c>
      <c r="E31" s="18" t="n">
        <v>16.95887295</v>
      </c>
      <c r="F31" s="20" t="n">
        <v>2.05429579</v>
      </c>
      <c r="G31" s="18" t="n">
        <v>79.89083782</v>
      </c>
      <c r="H31" s="20" t="n">
        <v>2.0103353</v>
      </c>
      <c r="I31" s="18" t="s">
        <v>431</v>
      </c>
      <c r="J31" s="20" t="s">
        <v>431</v>
      </c>
      <c r="K31" s="18" t="n">
        <v>0</v>
      </c>
      <c r="L31" s="20" t="n">
        <v>0</v>
      </c>
      <c r="M31" s="18" t="n">
        <v>0</v>
      </c>
      <c r="N31" s="20" t="n">
        <v>0</v>
      </c>
      <c r="O31" s="18" t="n">
        <v>0</v>
      </c>
      <c r="P31" s="20" t="n">
        <v>0</v>
      </c>
      <c r="Q31" s="18" t="n">
        <v>3.15028923</v>
      </c>
      <c r="R31" s="20" t="n">
        <v>1.10145516</v>
      </c>
    </row>
    <row r="32" spans="1:18">
      <c r="A32" s="15" t="s">
        <v>456</v>
      </c>
      <c r="B32" s="17" t="n">
        <v>2269</v>
      </c>
      <c r="C32" s="18">
        <f>(1895.0/B32*100)</f>
        <v/>
      </c>
      <c r="D32" s="19" t="n">
        <v>374</v>
      </c>
      <c r="E32" s="18" t="n">
        <v>32.37912717</v>
      </c>
      <c r="F32" s="20" t="n">
        <v>2.48486533</v>
      </c>
      <c r="G32" s="18" t="n">
        <v>63.41469228</v>
      </c>
      <c r="H32" s="20" t="n">
        <v>2.70672359</v>
      </c>
      <c r="I32" s="18" t="s">
        <v>431</v>
      </c>
      <c r="J32" s="20" t="s">
        <v>431</v>
      </c>
      <c r="K32" s="18" t="n">
        <v>0.25671725</v>
      </c>
      <c r="L32" s="20" t="n">
        <v>0.24219836</v>
      </c>
      <c r="M32" s="18" t="n">
        <v>0.25011242</v>
      </c>
      <c r="N32" s="20" t="n">
        <v>0.24979579</v>
      </c>
      <c r="O32" s="18" t="n">
        <v>0</v>
      </c>
      <c r="P32" s="20" t="n">
        <v>0</v>
      </c>
      <c r="Q32" s="18" t="n">
        <v>3.69935088</v>
      </c>
      <c r="R32" s="20" t="n">
        <v>0.94330905</v>
      </c>
    </row>
    <row r="33" spans="1:18">
      <c r="A33" s="15" t="s">
        <v>457</v>
      </c>
      <c r="B33" s="17" t="n">
        <v>3674</v>
      </c>
      <c r="C33" s="18">
        <f>(3221.0/B33*100)</f>
        <v/>
      </c>
      <c r="D33" s="19" t="n">
        <v>453</v>
      </c>
      <c r="E33" s="18" t="n">
        <v>17.03481523</v>
      </c>
      <c r="F33" s="20" t="n">
        <v>2.17717549</v>
      </c>
      <c r="G33" s="18" t="n">
        <v>80.23560191999999</v>
      </c>
      <c r="H33" s="20" t="n">
        <v>2.41593001</v>
      </c>
      <c r="I33" s="18" t="s">
        <v>431</v>
      </c>
      <c r="J33" s="20" t="s">
        <v>431</v>
      </c>
      <c r="K33" s="18" t="n">
        <v>0</v>
      </c>
      <c r="L33" s="20" t="n">
        <v>0</v>
      </c>
      <c r="M33" s="18" t="n">
        <v>0</v>
      </c>
      <c r="N33" s="20" t="n">
        <v>0</v>
      </c>
      <c r="O33" s="18" t="n">
        <v>0</v>
      </c>
      <c r="P33" s="20" t="n">
        <v>0</v>
      </c>
      <c r="Q33" s="18" t="n">
        <v>2.72958285</v>
      </c>
      <c r="R33" s="20" t="n">
        <v>0.85723531</v>
      </c>
    </row>
    <row r="34" spans="1:18">
      <c r="A34" s="15" t="s">
        <v>458</v>
      </c>
      <c r="B34" s="17" t="n">
        <v>3315</v>
      </c>
      <c r="C34" s="18">
        <f>(2846.0/B34*100)</f>
        <v/>
      </c>
      <c r="D34" s="19" t="n">
        <v>469</v>
      </c>
      <c r="E34" s="18" t="n">
        <v>30.58175838</v>
      </c>
      <c r="F34" s="20" t="n">
        <v>3.08108499</v>
      </c>
      <c r="G34" s="18" t="n">
        <v>62.44440418</v>
      </c>
      <c r="H34" s="20" t="n">
        <v>3.27198454</v>
      </c>
      <c r="I34" s="18" t="s">
        <v>431</v>
      </c>
      <c r="J34" s="20" t="s">
        <v>431</v>
      </c>
      <c r="K34" s="18" t="n">
        <v>0</v>
      </c>
      <c r="L34" s="20" t="n">
        <v>0</v>
      </c>
      <c r="M34" s="18" t="n">
        <v>0.18448365</v>
      </c>
      <c r="N34" s="20" t="n">
        <v>0.1854475</v>
      </c>
      <c r="O34" s="18" t="n">
        <v>0</v>
      </c>
      <c r="P34" s="20" t="n">
        <v>0</v>
      </c>
      <c r="Q34" s="18" t="n">
        <v>6.78935379</v>
      </c>
      <c r="R34" s="20" t="n">
        <v>1.12903591</v>
      </c>
    </row>
    <row r="35" spans="1:18">
      <c r="A35" s="15" t="s">
        <v>459</v>
      </c>
      <c r="B35" s="17" t="n">
        <v>3505</v>
      </c>
      <c r="C35" s="18">
        <f>(2979.0/B35*100)</f>
        <v/>
      </c>
      <c r="D35" s="19" t="n">
        <v>526</v>
      </c>
      <c r="E35" s="18" t="n">
        <v>26.45382343</v>
      </c>
      <c r="F35" s="20" t="n">
        <v>2.38877783</v>
      </c>
      <c r="G35" s="18" t="n">
        <v>68.35408099999999</v>
      </c>
      <c r="H35" s="20" t="n">
        <v>2.29557079</v>
      </c>
      <c r="I35" s="18" t="s">
        <v>431</v>
      </c>
      <c r="J35" s="20" t="s">
        <v>431</v>
      </c>
      <c r="K35" s="18" t="n">
        <v>0.09669846999999999</v>
      </c>
      <c r="L35" s="20" t="n">
        <v>0.06938395</v>
      </c>
      <c r="M35" s="18" t="n">
        <v>0.39351901</v>
      </c>
      <c r="N35" s="20" t="n">
        <v>0.39510235</v>
      </c>
      <c r="O35" s="18" t="n">
        <v>0</v>
      </c>
      <c r="P35" s="20" t="n">
        <v>0</v>
      </c>
      <c r="Q35" s="18" t="n">
        <v>4.70187809</v>
      </c>
      <c r="R35" s="20" t="n">
        <v>0.83441566</v>
      </c>
    </row>
    <row r="36" spans="1:18">
      <c r="A36" s="15" t="s">
        <v>460</v>
      </c>
      <c r="B36" s="17" t="n">
        <v>3332</v>
      </c>
      <c r="C36" s="18">
        <f>(2922.0/B36*100)</f>
        <v/>
      </c>
      <c r="D36" s="19" t="n">
        <v>410</v>
      </c>
      <c r="E36" s="18" t="n">
        <v>19.87041863</v>
      </c>
      <c r="F36" s="20" t="n">
        <v>1.90329698</v>
      </c>
      <c r="G36" s="18" t="n">
        <v>75.69309675</v>
      </c>
      <c r="H36" s="20" t="n">
        <v>2.24154477</v>
      </c>
      <c r="I36" s="18" t="s">
        <v>431</v>
      </c>
      <c r="J36" s="20" t="s">
        <v>431</v>
      </c>
      <c r="K36" s="18" t="n">
        <v>0</v>
      </c>
      <c r="L36" s="20" t="n">
        <v>0</v>
      </c>
      <c r="M36" s="18" t="n">
        <v>0</v>
      </c>
      <c r="N36" s="20" t="n">
        <v>0</v>
      </c>
      <c r="O36" s="18" t="n">
        <v>0</v>
      </c>
      <c r="P36" s="20" t="n">
        <v>0</v>
      </c>
      <c r="Q36" s="18" t="n">
        <v>4.43648462</v>
      </c>
      <c r="R36" s="20" t="n">
        <v>1.1113392</v>
      </c>
    </row>
    <row r="37" spans="1:18">
      <c r="A37" s="15" t="s">
        <v>461</v>
      </c>
      <c r="B37" s="17" t="n">
        <v>2727</v>
      </c>
      <c r="C37" s="18">
        <f>(2392.0/B37*100)</f>
        <v/>
      </c>
      <c r="D37" s="19" t="n">
        <v>335</v>
      </c>
      <c r="E37" s="18" t="n">
        <v>13.39678885</v>
      </c>
      <c r="F37" s="20" t="n">
        <v>1.88369415</v>
      </c>
      <c r="G37" s="18" t="n">
        <v>80.76668526</v>
      </c>
      <c r="H37" s="20" t="n">
        <v>2.38782532</v>
      </c>
      <c r="I37" s="18" t="s">
        <v>431</v>
      </c>
      <c r="J37" s="20" t="s">
        <v>431</v>
      </c>
      <c r="K37" s="18" t="n">
        <v>0.26171509</v>
      </c>
      <c r="L37" s="20" t="n">
        <v>0.37124693</v>
      </c>
      <c r="M37" s="18" t="n">
        <v>0</v>
      </c>
      <c r="N37" s="20" t="n">
        <v>0</v>
      </c>
      <c r="O37" s="18" t="n">
        <v>0</v>
      </c>
      <c r="P37" s="20" t="n">
        <v>0</v>
      </c>
      <c r="Q37" s="18" t="n">
        <v>5.5748108</v>
      </c>
      <c r="R37" s="20" t="n">
        <v>1.31580929</v>
      </c>
    </row>
    <row r="38" spans="1:18">
      <c r="A38" s="15" t="s">
        <v>462</v>
      </c>
      <c r="B38" s="17" t="n">
        <v>3053</v>
      </c>
      <c r="C38" s="18">
        <f>(2543.0/B38*100)</f>
        <v/>
      </c>
      <c r="D38" s="19" t="n">
        <v>510</v>
      </c>
      <c r="E38" s="18" t="n">
        <v>23.09839962</v>
      </c>
      <c r="F38" s="20" t="n">
        <v>1.95127447</v>
      </c>
      <c r="G38" s="18" t="n">
        <v>73.25493483</v>
      </c>
      <c r="H38" s="20" t="n">
        <v>2.34037979</v>
      </c>
      <c r="I38" s="18" t="s">
        <v>431</v>
      </c>
      <c r="J38" s="20" t="s">
        <v>431</v>
      </c>
      <c r="K38" s="18" t="n">
        <v>0</v>
      </c>
      <c r="L38" s="20" t="n">
        <v>0</v>
      </c>
      <c r="M38" s="18" t="n">
        <v>0</v>
      </c>
      <c r="N38" s="20" t="n">
        <v>0</v>
      </c>
      <c r="O38" s="18" t="n">
        <v>0</v>
      </c>
      <c r="P38" s="20" t="n">
        <v>0</v>
      </c>
      <c r="Q38" s="18" t="n">
        <v>3.64666555</v>
      </c>
      <c r="R38" s="20" t="n">
        <v>1.05759118</v>
      </c>
    </row>
    <row r="39" spans="1:18">
      <c r="A39" s="15" t="s">
        <v>463</v>
      </c>
      <c r="B39" s="17" t="n">
        <v>2957</v>
      </c>
      <c r="C39" s="18">
        <f>(2592.0/B39*100)</f>
        <v/>
      </c>
      <c r="D39" s="19" t="n">
        <v>365</v>
      </c>
      <c r="E39" s="18" t="n">
        <v>24.69729533</v>
      </c>
      <c r="F39" s="20" t="n">
        <v>2.88800129</v>
      </c>
      <c r="G39" s="18" t="n">
        <v>70.32484297000001</v>
      </c>
      <c r="H39" s="20" t="n">
        <v>2.9095733</v>
      </c>
      <c r="I39" s="18" t="s">
        <v>431</v>
      </c>
      <c r="J39" s="20" t="s">
        <v>431</v>
      </c>
      <c r="K39" s="18" t="n">
        <v>0.39935416</v>
      </c>
      <c r="L39" s="20" t="n">
        <v>0.4044374</v>
      </c>
      <c r="M39" s="18" t="n">
        <v>0.12208733</v>
      </c>
      <c r="N39" s="20" t="n">
        <v>0.08730375999999999</v>
      </c>
      <c r="O39" s="18" t="n">
        <v>0</v>
      </c>
      <c r="P39" s="20" t="n">
        <v>0</v>
      </c>
      <c r="Q39" s="18" t="n">
        <v>4.45642021</v>
      </c>
      <c r="R39" s="20" t="n">
        <v>1.09440436</v>
      </c>
    </row>
    <row r="40" spans="1:18">
      <c r="A40" s="15" t="s">
        <v>464</v>
      </c>
      <c r="B40" s="17" t="n">
        <v>7235</v>
      </c>
      <c r="C40" s="18">
        <f>(6335.0/B40*100)</f>
        <v/>
      </c>
      <c r="D40" s="19" t="n">
        <v>900</v>
      </c>
      <c r="E40" s="18" t="n">
        <v>19.04733034</v>
      </c>
      <c r="F40" s="20" t="n">
        <v>2.14398705</v>
      </c>
      <c r="G40" s="18" t="n">
        <v>74.90319789</v>
      </c>
      <c r="H40" s="20" t="n">
        <v>2.37928046</v>
      </c>
      <c r="I40" s="18" t="s">
        <v>431</v>
      </c>
      <c r="J40" s="20" t="s">
        <v>431</v>
      </c>
      <c r="K40" s="18" t="n">
        <v>0.25975761</v>
      </c>
      <c r="L40" s="20" t="n">
        <v>0.15909981</v>
      </c>
      <c r="M40" s="18" t="n">
        <v>0.55461479</v>
      </c>
      <c r="N40" s="20" t="n">
        <v>0.43574476</v>
      </c>
      <c r="O40" s="18" t="n">
        <v>0</v>
      </c>
      <c r="P40" s="20" t="n">
        <v>0</v>
      </c>
      <c r="Q40" s="18" t="n">
        <v>5.23509936</v>
      </c>
      <c r="R40" s="20" t="n">
        <v>1.01367212</v>
      </c>
    </row>
    <row r="41" spans="1:18">
      <c r="A41" s="15" t="s">
        <v>465</v>
      </c>
      <c r="B41" s="17" t="n">
        <v>2858</v>
      </c>
      <c r="C41" s="18">
        <f>(2467.0/B41*100)</f>
        <v/>
      </c>
      <c r="D41" s="19" t="n">
        <v>391</v>
      </c>
      <c r="E41" s="18" t="n">
        <v>18.48379812</v>
      </c>
      <c r="F41" s="20" t="n">
        <v>2.22561377</v>
      </c>
      <c r="G41" s="18" t="n">
        <v>79.20221537</v>
      </c>
      <c r="H41" s="20" t="n">
        <v>2.45439176</v>
      </c>
      <c r="I41" s="18" t="s">
        <v>431</v>
      </c>
      <c r="J41" s="20" t="s">
        <v>431</v>
      </c>
      <c r="K41" s="18" t="n">
        <v>0</v>
      </c>
      <c r="L41" s="20" t="n">
        <v>0</v>
      </c>
      <c r="M41" s="18" t="n">
        <v>0</v>
      </c>
      <c r="N41" s="20" t="n">
        <v>0</v>
      </c>
      <c r="O41" s="18" t="n">
        <v>0</v>
      </c>
      <c r="P41" s="20" t="n">
        <v>0</v>
      </c>
      <c r="Q41" s="18" t="n">
        <v>2.31398651</v>
      </c>
      <c r="R41" s="20" t="n">
        <v>0.74339823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(9828.0/B46*100)</f>
        <v/>
      </c>
      <c r="D46" s="19" t="n">
        <v>1240</v>
      </c>
      <c r="E46" s="18" t="n">
        <v>29.89233128</v>
      </c>
      <c r="F46" s="20" t="n">
        <v>1.72345543</v>
      </c>
      <c r="G46" s="18" t="n">
        <v>61.46140879</v>
      </c>
      <c r="H46" s="20" t="n">
        <v>1.94320142</v>
      </c>
      <c r="I46" s="18" t="s">
        <v>431</v>
      </c>
      <c r="J46" s="20" t="s">
        <v>431</v>
      </c>
      <c r="K46" s="18" t="n">
        <v>0.41213669</v>
      </c>
      <c r="L46" s="20" t="n">
        <v>0.03299605</v>
      </c>
      <c r="M46" s="18" t="n">
        <v>0.31931689</v>
      </c>
      <c r="N46" s="20" t="n">
        <v>0.17353467</v>
      </c>
      <c r="O46" s="18" t="n">
        <v>0</v>
      </c>
      <c r="P46" s="20" t="n">
        <v>0</v>
      </c>
      <c r="Q46" s="18" t="n">
        <v>7.91480634</v>
      </c>
      <c r="R46" s="20" t="n">
        <v>0.94099648</v>
      </c>
    </row>
    <row r="47" spans="1:18">
      <c r="A47" s="15" t="s">
        <v>471</v>
      </c>
      <c r="B47" s="17" t="n">
        <v>3105</v>
      </c>
      <c r="C47" s="18">
        <f>(2716.0/B47*100)</f>
        <v/>
      </c>
      <c r="D47" s="19" t="n">
        <v>389</v>
      </c>
      <c r="E47" s="18" t="n">
        <v>33.12520529</v>
      </c>
      <c r="F47" s="20" t="n">
        <v>2.27907551</v>
      </c>
      <c r="G47" s="18" t="n">
        <v>55.82683165</v>
      </c>
      <c r="H47" s="20" t="n">
        <v>2.76771892</v>
      </c>
      <c r="I47" s="18" t="s">
        <v>431</v>
      </c>
      <c r="J47" s="20" t="s">
        <v>431</v>
      </c>
      <c r="K47" s="18" t="n">
        <v>0</v>
      </c>
      <c r="L47" s="20" t="n">
        <v>0</v>
      </c>
      <c r="M47" s="18" t="n">
        <v>0</v>
      </c>
      <c r="N47" s="20" t="n">
        <v>0</v>
      </c>
      <c r="O47" s="18" t="n">
        <v>0</v>
      </c>
      <c r="P47" s="20" t="n">
        <v>0</v>
      </c>
      <c r="Q47" s="18" t="n">
        <v>11.04796306</v>
      </c>
      <c r="R47" s="20" t="n">
        <v>1.69632955</v>
      </c>
    </row>
    <row r="48" spans="1:18">
      <c r="A48" s="15" t="s">
        <v>472</v>
      </c>
      <c r="B48" s="17" t="n">
        <v>5159</v>
      </c>
      <c r="C48" s="18">
        <f>(4547.0/B48*100)</f>
        <v/>
      </c>
      <c r="D48" s="19" t="n">
        <v>612</v>
      </c>
      <c r="E48" s="18" t="n">
        <v>12.7417784</v>
      </c>
      <c r="F48" s="20" t="n">
        <v>1.83083269</v>
      </c>
      <c r="G48" s="18" t="n">
        <v>81.84751493</v>
      </c>
      <c r="H48" s="20" t="n">
        <v>2.50369813</v>
      </c>
      <c r="I48" s="18" t="s">
        <v>431</v>
      </c>
      <c r="J48" s="20" t="s">
        <v>431</v>
      </c>
      <c r="K48" s="18" t="n">
        <v>0.95636946</v>
      </c>
      <c r="L48" s="20" t="n">
        <v>0.5598136500000001</v>
      </c>
      <c r="M48" s="18" t="n">
        <v>0</v>
      </c>
      <c r="N48" s="20" t="n">
        <v>0</v>
      </c>
      <c r="O48" s="18" t="n">
        <v>0</v>
      </c>
      <c r="P48" s="20" t="n">
        <v>0</v>
      </c>
      <c r="Q48" s="18" t="n">
        <v>4.4543372</v>
      </c>
      <c r="R48" s="20" t="n">
        <v>1.14458024</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(4956.0/B50*100)</f>
        <v/>
      </c>
      <c r="D50" s="19" t="n">
        <v>681</v>
      </c>
      <c r="E50" s="18" t="n">
        <v>22.33956125</v>
      </c>
      <c r="F50" s="20" t="n">
        <v>2.31910102</v>
      </c>
      <c r="G50" s="18" t="n">
        <v>72.0322657</v>
      </c>
      <c r="H50" s="20" t="n">
        <v>2.76148863</v>
      </c>
      <c r="I50" s="18" t="s">
        <v>431</v>
      </c>
      <c r="J50" s="20" t="s">
        <v>431</v>
      </c>
      <c r="K50" s="18" t="n">
        <v>1.64790655</v>
      </c>
      <c r="L50" s="20" t="n">
        <v>0.65241288</v>
      </c>
      <c r="M50" s="18" t="n">
        <v>0.008258980000000001</v>
      </c>
      <c r="N50" s="20" t="n">
        <v>0.008321780000000001</v>
      </c>
      <c r="O50" s="18" t="n">
        <v>0</v>
      </c>
      <c r="P50" s="20" t="n">
        <v>0</v>
      </c>
      <c r="Q50" s="18" t="n">
        <v>3.97200753</v>
      </c>
      <c r="R50" s="20" t="n">
        <v>1.10643996</v>
      </c>
    </row>
    <row r="51" spans="1:18">
      <c r="A51" s="15" t="s">
        <v>475</v>
      </c>
      <c r="B51" s="17" t="n">
        <v>3372</v>
      </c>
      <c r="C51" s="18">
        <f>(2626.0/B51*100)</f>
        <v/>
      </c>
      <c r="D51" s="19" t="n">
        <v>746</v>
      </c>
      <c r="E51" s="18" t="n">
        <v>24.36666448</v>
      </c>
      <c r="F51" s="20" t="n">
        <v>1.68971018</v>
      </c>
      <c r="G51" s="18" t="n">
        <v>70.92740671</v>
      </c>
      <c r="H51" s="20" t="n">
        <v>1.97092267</v>
      </c>
      <c r="I51" s="18" t="s">
        <v>431</v>
      </c>
      <c r="J51" s="20" t="s">
        <v>431</v>
      </c>
      <c r="K51" s="18" t="n">
        <v>0.30248036</v>
      </c>
      <c r="L51" s="20" t="n">
        <v>0.21936987</v>
      </c>
      <c r="M51" s="18" t="n">
        <v>0</v>
      </c>
      <c r="N51" s="20" t="n">
        <v>0</v>
      </c>
      <c r="O51" s="18" t="n">
        <v>0</v>
      </c>
      <c r="P51" s="20" t="n">
        <v>0</v>
      </c>
      <c r="Q51" s="18" t="n">
        <v>4.40344846</v>
      </c>
      <c r="R51" s="20" t="n">
        <v>0.68796548</v>
      </c>
    </row>
    <row r="52" spans="1:18">
      <c r="A52" s="15" t="s">
        <v>476</v>
      </c>
      <c r="B52" s="17" t="n">
        <v>2796</v>
      </c>
      <c r="C52" s="18">
        <f>(2444.0/B52*100)</f>
        <v/>
      </c>
      <c r="D52" s="19" t="n">
        <v>352</v>
      </c>
      <c r="E52" s="18" t="n">
        <v>27.04519685</v>
      </c>
      <c r="F52" s="20" t="n">
        <v>2.14884994</v>
      </c>
      <c r="G52" s="18" t="n">
        <v>64.46493801</v>
      </c>
      <c r="H52" s="20" t="n">
        <v>2.09915868</v>
      </c>
      <c r="I52" s="18" t="s">
        <v>431</v>
      </c>
      <c r="J52" s="20" t="s">
        <v>431</v>
      </c>
      <c r="K52" s="18" t="n">
        <v>0.35627225</v>
      </c>
      <c r="L52" s="20" t="n">
        <v>0.36152979</v>
      </c>
      <c r="M52" s="18" t="n">
        <v>0</v>
      </c>
      <c r="N52" s="20" t="n">
        <v>0</v>
      </c>
      <c r="O52" s="18" t="n">
        <v>0</v>
      </c>
      <c r="P52" s="20" t="n">
        <v>0</v>
      </c>
      <c r="Q52" s="18" t="n">
        <v>8.133592889999999</v>
      </c>
      <c r="R52" s="20" t="n">
        <v>1.5828314</v>
      </c>
    </row>
    <row r="53" spans="1:18">
      <c r="A53" s="15" t="s">
        <v>477</v>
      </c>
      <c r="B53" s="17" t="n">
        <v>2811</v>
      </c>
      <c r="C53" s="18">
        <f>(2473.0/B53*100)</f>
        <v/>
      </c>
      <c r="D53" s="19" t="n">
        <v>338</v>
      </c>
      <c r="E53" s="18" t="n">
        <v>26.43437898</v>
      </c>
      <c r="F53" s="20" t="n">
        <v>2.34111026</v>
      </c>
      <c r="G53" s="18" t="n">
        <v>63.46799036</v>
      </c>
      <c r="H53" s="20" t="n">
        <v>2.7474067</v>
      </c>
      <c r="I53" s="18" t="s">
        <v>431</v>
      </c>
      <c r="J53" s="20" t="s">
        <v>431</v>
      </c>
      <c r="K53" s="18" t="n">
        <v>0</v>
      </c>
      <c r="L53" s="20" t="n">
        <v>0</v>
      </c>
      <c r="M53" s="18" t="n">
        <v>0</v>
      </c>
      <c r="N53" s="20" t="n">
        <v>0</v>
      </c>
      <c r="O53" s="18" t="n">
        <v>0</v>
      </c>
      <c r="P53" s="20" t="n">
        <v>0</v>
      </c>
      <c r="Q53" s="18" t="n">
        <v>10.09763065</v>
      </c>
      <c r="R53" s="20" t="n">
        <v>1.78454899</v>
      </c>
    </row>
    <row r="54" spans="1:18">
      <c r="A54" s="15" t="s">
        <v>478</v>
      </c>
      <c r="B54" s="17" t="n">
        <v>2266</v>
      </c>
      <c r="C54" s="18">
        <f>(1903.0/B54*100)</f>
        <v/>
      </c>
      <c r="D54" s="19" t="n">
        <v>363</v>
      </c>
      <c r="E54" s="18" t="n">
        <v>29.74372302</v>
      </c>
      <c r="F54" s="20" t="n">
        <v>2.68898851</v>
      </c>
      <c r="G54" s="18" t="n">
        <v>53.09250577</v>
      </c>
      <c r="H54" s="20" t="n">
        <v>2.80657219</v>
      </c>
      <c r="I54" s="18" t="s">
        <v>431</v>
      </c>
      <c r="J54" s="20" t="s">
        <v>431</v>
      </c>
      <c r="K54" s="18" t="n">
        <v>6.76511736</v>
      </c>
      <c r="L54" s="20" t="n">
        <v>1.35845057</v>
      </c>
      <c r="M54" s="18" t="n">
        <v>0.54171264</v>
      </c>
      <c r="N54" s="20" t="n">
        <v>0.37726677</v>
      </c>
      <c r="O54" s="18" t="n">
        <v>0</v>
      </c>
      <c r="P54" s="20" t="n">
        <v>0</v>
      </c>
      <c r="Q54" s="18" t="n">
        <v>9.85694121</v>
      </c>
      <c r="R54" s="20" t="n">
        <v>1.82186651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(2337.0/B56*100)</f>
        <v/>
      </c>
      <c r="D56" s="19" t="n">
        <v>347</v>
      </c>
      <c r="E56" s="18" t="n">
        <v>12.03547134</v>
      </c>
      <c r="F56" s="20" t="n">
        <v>1.61046725</v>
      </c>
      <c r="G56" s="18" t="n">
        <v>84.55814586</v>
      </c>
      <c r="H56" s="20" t="n">
        <v>1.73157087</v>
      </c>
      <c r="I56" s="18" t="s">
        <v>431</v>
      </c>
      <c r="J56" s="20" t="s">
        <v>431</v>
      </c>
      <c r="K56" s="18" t="n">
        <v>0.37020122</v>
      </c>
      <c r="L56" s="20" t="n">
        <v>0.31517841</v>
      </c>
      <c r="M56" s="18" t="n">
        <v>0</v>
      </c>
      <c r="N56" s="20" t="n">
        <v>0</v>
      </c>
      <c r="O56" s="18" t="n">
        <v>0</v>
      </c>
      <c r="P56" s="20" t="n">
        <v>0</v>
      </c>
      <c r="Q56" s="18" t="n">
        <v>3.03618157</v>
      </c>
      <c r="R56" s="20" t="n">
        <v>0.7332879</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(2913.0/B61*100)</f>
        <v/>
      </c>
      <c r="D61" s="19" t="n">
        <v>411</v>
      </c>
      <c r="E61" s="18" t="n">
        <v>25.77883148</v>
      </c>
      <c r="F61" s="20" t="n">
        <v>2.47978883</v>
      </c>
      <c r="G61" s="18" t="n">
        <v>66.1857096</v>
      </c>
      <c r="H61" s="20" t="n">
        <v>2.80901105</v>
      </c>
      <c r="I61" s="18" t="s">
        <v>431</v>
      </c>
      <c r="J61" s="20" t="s">
        <v>431</v>
      </c>
      <c r="K61" s="18" t="n">
        <v>0</v>
      </c>
      <c r="L61" s="20" t="n">
        <v>0</v>
      </c>
      <c r="M61" s="18" t="n">
        <v>0</v>
      </c>
      <c r="N61" s="20" t="n">
        <v>0</v>
      </c>
      <c r="O61" s="18" t="n">
        <v>0</v>
      </c>
      <c r="P61" s="20" t="n">
        <v>0</v>
      </c>
      <c r="Q61" s="18" t="n">
        <v>8.03545892</v>
      </c>
      <c r="R61" s="20" t="n">
        <v>1.69644375</v>
      </c>
    </row>
    <row r="62" spans="1:18">
      <c r="A62" s="15" t="s">
        <v>486</v>
      </c>
      <c r="B62" s="17" t="n">
        <v>2246</v>
      </c>
      <c r="C62" s="18">
        <f>(1955.0/B62*100)</f>
        <v/>
      </c>
      <c r="D62" s="19" t="n">
        <v>291</v>
      </c>
      <c r="E62" s="18" t="n">
        <v>12.01605363</v>
      </c>
      <c r="F62" s="20" t="n">
        <v>2.04782223</v>
      </c>
      <c r="G62" s="18" t="n">
        <v>84.89050895</v>
      </c>
      <c r="H62" s="20" t="n">
        <v>2.18950201</v>
      </c>
      <c r="I62" s="18" t="s">
        <v>431</v>
      </c>
      <c r="J62" s="20" t="s">
        <v>431</v>
      </c>
      <c r="K62" s="18" t="n">
        <v>0</v>
      </c>
      <c r="L62" s="20" t="n">
        <v>0</v>
      </c>
      <c r="M62" s="18" t="n">
        <v>0</v>
      </c>
      <c r="N62" s="20" t="n">
        <v>0</v>
      </c>
      <c r="O62" s="18" t="n">
        <v>0</v>
      </c>
      <c r="P62" s="20" t="n">
        <v>0</v>
      </c>
      <c r="Q62" s="18" t="n">
        <v>3.09343742</v>
      </c>
      <c r="R62" s="20" t="n">
        <v>1.0046456</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(2525.0/B66*100)</f>
        <v/>
      </c>
      <c r="D66" s="19" t="n">
        <v>369</v>
      </c>
      <c r="E66" s="18" t="n">
        <v>21.32166405</v>
      </c>
      <c r="F66" s="20" t="n">
        <v>2.13379451</v>
      </c>
      <c r="G66" s="18" t="n">
        <v>60.21828973</v>
      </c>
      <c r="H66" s="20" t="n">
        <v>2.95591547</v>
      </c>
      <c r="I66" s="18" t="s">
        <v>431</v>
      </c>
      <c r="J66" s="20" t="s">
        <v>431</v>
      </c>
      <c r="K66" s="18" t="n">
        <v>0.87418273</v>
      </c>
      <c r="L66" s="20" t="n">
        <v>0.50790832</v>
      </c>
      <c r="M66" s="18" t="n">
        <v>1.67073173</v>
      </c>
      <c r="N66" s="20" t="n">
        <v>0.69844246</v>
      </c>
      <c r="O66" s="18" t="n">
        <v>0</v>
      </c>
      <c r="P66" s="20" t="n">
        <v>0</v>
      </c>
      <c r="Q66" s="18" t="n">
        <v>15.91513176</v>
      </c>
      <c r="R66" s="20" t="n">
        <v>2.0578355</v>
      </c>
    </row>
    <row r="67" spans="1:18">
      <c r="A67" s="15" t="s">
        <v>491</v>
      </c>
      <c r="B67" s="17" t="n">
        <v>3511</v>
      </c>
      <c r="C67" s="18">
        <f>(3068.0/B67*100)</f>
        <v/>
      </c>
      <c r="D67" s="19" t="n">
        <v>443</v>
      </c>
      <c r="E67" s="18" t="n">
        <v>33.02029215</v>
      </c>
      <c r="F67" s="20" t="n">
        <v>2.67348069</v>
      </c>
      <c r="G67" s="18" t="n">
        <v>60.17558717</v>
      </c>
      <c r="H67" s="20" t="n">
        <v>2.3750892</v>
      </c>
      <c r="I67" s="18" t="s">
        <v>431</v>
      </c>
      <c r="J67" s="20" t="s">
        <v>431</v>
      </c>
      <c r="K67" s="18" t="n">
        <v>0</v>
      </c>
      <c r="L67" s="20" t="n">
        <v>0</v>
      </c>
      <c r="M67" s="18" t="n">
        <v>0.24705654</v>
      </c>
      <c r="N67" s="20" t="n">
        <v>0.24871113</v>
      </c>
      <c r="O67" s="18" t="n">
        <v>0</v>
      </c>
      <c r="P67" s="20" t="n">
        <v>0</v>
      </c>
      <c r="Q67" s="18" t="n">
        <v>6.55706414</v>
      </c>
      <c r="R67" s="20" t="n">
        <v>1.2378623</v>
      </c>
    </row>
    <row r="68" spans="1:18">
      <c r="A68" s="15" t="s">
        <v>492</v>
      </c>
      <c r="B68" s="17" t="n">
        <v>6049</v>
      </c>
      <c r="C68" s="18">
        <f>(5042.0/B68*100)</f>
        <v/>
      </c>
      <c r="D68" s="19" t="n">
        <v>1007</v>
      </c>
      <c r="E68" s="18" t="n">
        <v>25.25167631</v>
      </c>
      <c r="F68" s="20" t="n">
        <v>1.31730989</v>
      </c>
      <c r="G68" s="18" t="n">
        <v>63.37959081</v>
      </c>
      <c r="H68" s="20" t="n">
        <v>1.54425516</v>
      </c>
      <c r="I68" s="18" t="s">
        <v>431</v>
      </c>
      <c r="J68" s="20" t="s">
        <v>431</v>
      </c>
      <c r="K68" s="18" t="n">
        <v>1.28730787</v>
      </c>
      <c r="L68" s="20" t="n">
        <v>0.37381052</v>
      </c>
      <c r="M68" s="18" t="n">
        <v>0</v>
      </c>
      <c r="N68" s="20" t="n">
        <v>0</v>
      </c>
      <c r="O68" s="18" t="n">
        <v>0</v>
      </c>
      <c r="P68" s="20" t="n">
        <v>0</v>
      </c>
      <c r="Q68" s="18" t="n">
        <v>10.08142501</v>
      </c>
      <c r="R68" s="20" t="n">
        <v>1.05624699</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(2588.0/B70*100)</f>
        <v/>
      </c>
      <c r="D70" s="19" t="n">
        <v>341</v>
      </c>
      <c r="E70" s="18" t="n">
        <v>20.7522372</v>
      </c>
      <c r="F70" s="20" t="n">
        <v>1.86803561</v>
      </c>
      <c r="G70" s="18" t="n">
        <v>76.89303191</v>
      </c>
      <c r="H70" s="20" t="n">
        <v>1.98866744</v>
      </c>
      <c r="I70" s="18" t="s">
        <v>431</v>
      </c>
      <c r="J70" s="20" t="s">
        <v>431</v>
      </c>
      <c r="K70" s="18" t="n">
        <v>0.21599258</v>
      </c>
      <c r="L70" s="20" t="n">
        <v>0.21702468</v>
      </c>
      <c r="M70" s="18" t="n">
        <v>0.18542384</v>
      </c>
      <c r="N70" s="20" t="n">
        <v>0.15366146</v>
      </c>
      <c r="O70" s="18" t="n">
        <v>0</v>
      </c>
      <c r="P70" s="20" t="n">
        <v>0</v>
      </c>
      <c r="Q70" s="18" t="n">
        <v>1.95331447</v>
      </c>
      <c r="R70" s="20" t="n">
        <v>0.54083515</v>
      </c>
    </row>
    <row r="71" spans="1:18">
      <c r="A71" s="15" t="s">
        <v>495</v>
      </c>
      <c r="B71" s="17" t="n">
        <v>3142</v>
      </c>
      <c r="C71" s="18">
        <f>(2755.0/B71*100)</f>
        <v/>
      </c>
      <c r="D71" s="19" t="n">
        <v>387</v>
      </c>
      <c r="E71" s="18" t="n">
        <v>6.39966748</v>
      </c>
      <c r="F71" s="20" t="n">
        <v>1.11747258</v>
      </c>
      <c r="G71" s="18" t="n">
        <v>91.74762210999999</v>
      </c>
      <c r="H71" s="20" t="n">
        <v>1.25946226</v>
      </c>
      <c r="I71" s="18" t="s">
        <v>431</v>
      </c>
      <c r="J71" s="20" t="s">
        <v>431</v>
      </c>
      <c r="K71" s="18" t="n">
        <v>0.50366945</v>
      </c>
      <c r="L71" s="20" t="n">
        <v>0.35699877</v>
      </c>
      <c r="M71" s="18" t="n">
        <v>0</v>
      </c>
      <c r="N71" s="20" t="n">
        <v>0</v>
      </c>
      <c r="O71" s="18" t="n">
        <v>0</v>
      </c>
      <c r="P71" s="20" t="n">
        <v>0</v>
      </c>
      <c r="Q71" s="18" t="n">
        <v>1.34904096</v>
      </c>
      <c r="R71" s="20" t="n">
        <v>0.56213164</v>
      </c>
    </row>
    <row r="72" spans="1:18">
      <c r="A72" s="15" t="s">
        <v>496</v>
      </c>
      <c r="B72" s="17" t="n">
        <v>3889</v>
      </c>
      <c r="C72" s="18">
        <f>(3402.0/B72*100)</f>
        <v/>
      </c>
      <c r="D72" s="19" t="n">
        <v>487</v>
      </c>
      <c r="E72" s="18" t="n">
        <v>10.38426839</v>
      </c>
      <c r="F72" s="20" t="n">
        <v>1.52483336</v>
      </c>
      <c r="G72" s="18" t="n">
        <v>86.47826692</v>
      </c>
      <c r="H72" s="20" t="n">
        <v>1.56380919</v>
      </c>
      <c r="I72" s="18" t="s">
        <v>431</v>
      </c>
      <c r="J72" s="20" t="s">
        <v>431</v>
      </c>
      <c r="K72" s="18" t="n">
        <v>0</v>
      </c>
      <c r="L72" s="20" t="n">
        <v>0</v>
      </c>
      <c r="M72" s="18" t="n">
        <v>0</v>
      </c>
      <c r="N72" s="20" t="n">
        <v>0</v>
      </c>
      <c r="O72" s="18" t="n">
        <v>0</v>
      </c>
      <c r="P72" s="20" t="n">
        <v>0</v>
      </c>
      <c r="Q72" s="18" t="n">
        <v>3.13746469</v>
      </c>
      <c r="R72" s="20" t="n">
        <v>0.6920068</v>
      </c>
    </row>
    <row r="73" spans="1:18">
      <c r="A73" s="15" t="s">
        <v>497</v>
      </c>
      <c r="B73" s="17" t="n">
        <v>3597</v>
      </c>
      <c r="C73" s="18">
        <f>(3176.0/B73*100)</f>
        <v/>
      </c>
      <c r="D73" s="19" t="n">
        <v>421</v>
      </c>
      <c r="E73" s="18" t="n">
        <v>40.54113137</v>
      </c>
      <c r="F73" s="20" t="n">
        <v>2.5823418</v>
      </c>
      <c r="G73" s="18" t="n">
        <v>57.26993358</v>
      </c>
      <c r="H73" s="20" t="n">
        <v>2.74591518</v>
      </c>
      <c r="I73" s="18" t="s">
        <v>431</v>
      </c>
      <c r="J73" s="20" t="s">
        <v>431</v>
      </c>
      <c r="K73" s="18" t="n">
        <v>0</v>
      </c>
      <c r="L73" s="20" t="n">
        <v>0</v>
      </c>
      <c r="M73" s="18" t="n">
        <v>0.6332031</v>
      </c>
      <c r="N73" s="20" t="n">
        <v>0.58609174</v>
      </c>
      <c r="O73" s="18" t="n">
        <v>0</v>
      </c>
      <c r="P73" s="20" t="n">
        <v>0</v>
      </c>
      <c r="Q73" s="18" t="n">
        <v>1.55573195</v>
      </c>
      <c r="R73" s="20" t="n">
        <v>0.6545933</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(2125.0/B75*100)</f>
        <v/>
      </c>
      <c r="D75" s="19" t="n">
        <v>281</v>
      </c>
      <c r="E75" s="18" t="n">
        <v>46.87544432</v>
      </c>
      <c r="F75" s="20" t="n">
        <v>3.05026269</v>
      </c>
      <c r="G75" s="18" t="n">
        <v>38.23557952</v>
      </c>
      <c r="H75" s="20" t="n">
        <v>2.96036264</v>
      </c>
      <c r="I75" s="18" t="s">
        <v>431</v>
      </c>
      <c r="J75" s="20" t="s">
        <v>431</v>
      </c>
      <c r="K75" s="18" t="n">
        <v>0.70738305</v>
      </c>
      <c r="L75" s="20" t="n">
        <v>0.41583443</v>
      </c>
      <c r="M75" s="18" t="n">
        <v>0.80108897</v>
      </c>
      <c r="N75" s="20" t="n">
        <v>0.57871384</v>
      </c>
      <c r="O75" s="18" t="n">
        <v>0</v>
      </c>
      <c r="P75" s="20" t="n">
        <v>0</v>
      </c>
      <c r="Q75" s="18" t="n">
        <v>13.38050414</v>
      </c>
      <c r="R75" s="20" t="n">
        <v>2.39811587</v>
      </c>
    </row>
    <row r="76" spans="1:18">
      <c r="A76" s="15" t="s">
        <v>500</v>
      </c>
      <c r="B76" s="17" t="n">
        <v>7052</v>
      </c>
      <c r="C76" s="18">
        <f>(6182.0/B76*100)</f>
        <v/>
      </c>
      <c r="D76" s="19" t="n">
        <v>870</v>
      </c>
      <c r="E76" s="18" t="n">
        <v>26.84239001</v>
      </c>
      <c r="F76" s="20" t="n">
        <v>1.8054962</v>
      </c>
      <c r="G76" s="18" t="n">
        <v>65.73365497</v>
      </c>
      <c r="H76" s="20" t="n">
        <v>1.9352041</v>
      </c>
      <c r="I76" s="18" t="s">
        <v>431</v>
      </c>
      <c r="J76" s="20" t="s">
        <v>431</v>
      </c>
      <c r="K76" s="18" t="n">
        <v>0.51252253</v>
      </c>
      <c r="L76" s="20" t="n">
        <v>0.30147801</v>
      </c>
      <c r="M76" s="18" t="n">
        <v>0.17622914</v>
      </c>
      <c r="N76" s="20" t="n">
        <v>0.17527006</v>
      </c>
      <c r="O76" s="18" t="n">
        <v>0</v>
      </c>
      <c r="P76" s="20" t="n">
        <v>0</v>
      </c>
      <c r="Q76" s="18" t="n">
        <v>6.73520335</v>
      </c>
      <c r="R76" s="20" t="n">
        <v>1.07794536</v>
      </c>
    </row>
    <row r="77" spans="1:18">
      <c r="A77" s="15" t="s">
        <v>501</v>
      </c>
      <c r="B77" s="17" t="n">
        <v>2908</v>
      </c>
      <c r="C77" s="18">
        <f>(2571.0/B77*100)</f>
        <v/>
      </c>
      <c r="D77" s="19" t="n">
        <v>337</v>
      </c>
      <c r="E77" s="18" t="n">
        <v>19.87671866</v>
      </c>
      <c r="F77" s="20" t="n">
        <v>2.02668897</v>
      </c>
      <c r="G77" s="18" t="n">
        <v>70.35749998999999</v>
      </c>
      <c r="H77" s="20" t="n">
        <v>2.44982286</v>
      </c>
      <c r="I77" s="18" t="s">
        <v>431</v>
      </c>
      <c r="J77" s="20" t="s">
        <v>431</v>
      </c>
      <c r="K77" s="18" t="n">
        <v>0.71755547</v>
      </c>
      <c r="L77" s="20" t="n">
        <v>0.5286271</v>
      </c>
      <c r="M77" s="18" t="n">
        <v>0</v>
      </c>
      <c r="N77" s="20" t="n">
        <v>0</v>
      </c>
      <c r="O77" s="18" t="n">
        <v>0</v>
      </c>
      <c r="P77" s="20" t="n">
        <v>0</v>
      </c>
      <c r="Q77" s="18" t="n">
        <v>9.04822588</v>
      </c>
      <c r="R77" s="20" t="n">
        <v>1.48232193</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(3652.0/B81*100)</f>
        <v/>
      </c>
      <c r="D81" s="19" t="n">
        <v>511</v>
      </c>
      <c r="E81" s="18" t="n">
        <v>40.92370906</v>
      </c>
      <c r="F81" s="20" t="n">
        <v>2.56848093</v>
      </c>
      <c r="G81" s="18" t="n">
        <v>57.00117945</v>
      </c>
      <c r="H81" s="20" t="n">
        <v>2.59086818</v>
      </c>
      <c r="I81" s="18" t="s">
        <v>431</v>
      </c>
      <c r="J81" s="20" t="s">
        <v>431</v>
      </c>
      <c r="K81" s="18" t="n">
        <v>0.24456701</v>
      </c>
      <c r="L81" s="20" t="n">
        <v>0.24353233</v>
      </c>
      <c r="M81" s="18" t="n">
        <v>0</v>
      </c>
      <c r="N81" s="20" t="n">
        <v>0</v>
      </c>
      <c r="O81" s="18" t="n">
        <v>0</v>
      </c>
      <c r="P81" s="20" t="n">
        <v>0</v>
      </c>
      <c r="Q81" s="18" t="n">
        <v>1.83054447</v>
      </c>
      <c r="R81" s="20" t="n">
        <v>0.7039462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(6474.0/B7*100)</f>
        <v/>
      </c>
      <c r="D7" s="19" t="n">
        <v>893</v>
      </c>
      <c r="E7" s="18" t="n">
        <v>56.82536863</v>
      </c>
      <c r="F7" s="20" t="n">
        <v>1.97899864</v>
      </c>
      <c r="G7" s="18" t="n">
        <v>34.84665291</v>
      </c>
      <c r="H7" s="20" t="n">
        <v>1.8647537</v>
      </c>
      <c r="I7" s="18" t="s">
        <v>431</v>
      </c>
      <c r="J7" s="20" t="s">
        <v>431</v>
      </c>
      <c r="K7" s="18" t="n">
        <v>0.23936361</v>
      </c>
      <c r="L7" s="20" t="n">
        <v>0.17095717</v>
      </c>
      <c r="M7" s="18" t="n">
        <v>0.06651116</v>
      </c>
      <c r="N7" s="20" t="n">
        <v>0.03729277</v>
      </c>
      <c r="O7" s="18" t="n">
        <v>0</v>
      </c>
      <c r="P7" s="20" t="n">
        <v>0</v>
      </c>
      <c r="Q7" s="18" t="n">
        <v>8.022103700000001</v>
      </c>
      <c r="R7" s="20" t="n">
        <v>0.90744119</v>
      </c>
    </row>
    <row r="8" spans="1:18">
      <c r="A8" s="15" t="s">
        <v>432</v>
      </c>
      <c r="B8" s="17" t="n">
        <v>3564</v>
      </c>
      <c r="C8" s="18">
        <f>(3088.0/B8*100)</f>
        <v/>
      </c>
      <c r="D8" s="19" t="n">
        <v>476</v>
      </c>
      <c r="E8" s="18" t="n">
        <v>49.57346433</v>
      </c>
      <c r="F8" s="20" t="n">
        <v>2.47506831</v>
      </c>
      <c r="G8" s="18" t="n">
        <v>35.34779517</v>
      </c>
      <c r="H8" s="20" t="n">
        <v>2.48729844</v>
      </c>
      <c r="I8" s="18" t="s">
        <v>431</v>
      </c>
      <c r="J8" s="20" t="s">
        <v>431</v>
      </c>
      <c r="K8" s="18" t="n">
        <v>0</v>
      </c>
      <c r="L8" s="20" t="n">
        <v>0</v>
      </c>
      <c r="M8" s="18" t="n">
        <v>0</v>
      </c>
      <c r="N8" s="20" t="n">
        <v>0</v>
      </c>
      <c r="O8" s="18" t="n">
        <v>0</v>
      </c>
      <c r="P8" s="20" t="n">
        <v>0</v>
      </c>
      <c r="Q8" s="18" t="n">
        <v>15.0787405</v>
      </c>
      <c r="R8" s="20" t="n">
        <v>1.72135545</v>
      </c>
    </row>
    <row r="9" spans="1:18">
      <c r="A9" s="15" t="s">
        <v>433</v>
      </c>
      <c r="B9" s="17" t="n">
        <v>4899</v>
      </c>
      <c r="C9" s="18">
        <f>(4298.0/B9*100)</f>
        <v/>
      </c>
      <c r="D9" s="19" t="n">
        <v>601</v>
      </c>
      <c r="E9" s="18" t="n">
        <v>45.22699455</v>
      </c>
      <c r="F9" s="20" t="n">
        <v>2.21653785</v>
      </c>
      <c r="G9" s="18" t="n">
        <v>47.13493508</v>
      </c>
      <c r="H9" s="20" t="n">
        <v>2.3528014</v>
      </c>
      <c r="I9" s="18" t="s">
        <v>431</v>
      </c>
      <c r="J9" s="20" t="s">
        <v>431</v>
      </c>
      <c r="K9" s="18" t="n">
        <v>0</v>
      </c>
      <c r="L9" s="20" t="n">
        <v>0</v>
      </c>
      <c r="M9" s="18" t="n">
        <v>0.16689652</v>
      </c>
      <c r="N9" s="20" t="n">
        <v>0.16611403</v>
      </c>
      <c r="O9" s="18" t="n">
        <v>0</v>
      </c>
      <c r="P9" s="20" t="n">
        <v>0</v>
      </c>
      <c r="Q9" s="18" t="n">
        <v>7.47117385</v>
      </c>
      <c r="R9" s="20" t="n">
        <v>1.38833579</v>
      </c>
    </row>
    <row r="10" spans="1:18">
      <c r="A10" s="15" t="s">
        <v>434</v>
      </c>
      <c r="B10" s="17" t="n">
        <v>10036</v>
      </c>
      <c r="C10" s="18">
        <f>(8771.0/B10*100)</f>
        <v/>
      </c>
      <c r="D10" s="19" t="n">
        <v>1265</v>
      </c>
      <c r="E10" s="18" t="n">
        <v>46.97507466</v>
      </c>
      <c r="F10" s="20" t="n">
        <v>1.93834293</v>
      </c>
      <c r="G10" s="18" t="n">
        <v>46.55903021</v>
      </c>
      <c r="H10" s="20" t="n">
        <v>2.02349087</v>
      </c>
      <c r="I10" s="18" t="s">
        <v>431</v>
      </c>
      <c r="J10" s="20" t="s">
        <v>431</v>
      </c>
      <c r="K10" s="18" t="n">
        <v>0.48248642</v>
      </c>
      <c r="L10" s="20" t="n">
        <v>0.3060941</v>
      </c>
      <c r="M10" s="18" t="n">
        <v>0</v>
      </c>
      <c r="N10" s="20" t="n">
        <v>0</v>
      </c>
      <c r="O10" s="18" t="n">
        <v>0</v>
      </c>
      <c r="P10" s="20" t="n">
        <v>0</v>
      </c>
      <c r="Q10" s="18" t="n">
        <v>5.98340871</v>
      </c>
      <c r="R10" s="20" t="n">
        <v>0.87285343</v>
      </c>
    </row>
    <row r="11" spans="1:18">
      <c r="A11" s="15" t="s">
        <v>435</v>
      </c>
      <c r="B11" s="17" t="n">
        <v>3553</v>
      </c>
      <c r="C11" s="18">
        <f>(3106.0/B11*100)</f>
        <v/>
      </c>
      <c r="D11" s="19" t="n">
        <v>447</v>
      </c>
      <c r="E11" s="18" t="n">
        <v>47.91186297</v>
      </c>
      <c r="F11" s="20" t="n">
        <v>2.63641526</v>
      </c>
      <c r="G11" s="18" t="n">
        <v>25.95149797</v>
      </c>
      <c r="H11" s="20" t="n">
        <v>2.38089092</v>
      </c>
      <c r="I11" s="18" t="s">
        <v>431</v>
      </c>
      <c r="J11" s="20" t="s">
        <v>431</v>
      </c>
      <c r="K11" s="18" t="n">
        <v>0.19560357</v>
      </c>
      <c r="L11" s="20" t="n">
        <v>0.18103373</v>
      </c>
      <c r="M11" s="18" t="n">
        <v>0</v>
      </c>
      <c r="N11" s="20" t="n">
        <v>0</v>
      </c>
      <c r="O11" s="18" t="n">
        <v>0</v>
      </c>
      <c r="P11" s="20" t="n">
        <v>0</v>
      </c>
      <c r="Q11" s="18" t="n">
        <v>25.94103548</v>
      </c>
      <c r="R11" s="20" t="n">
        <v>2.61263177</v>
      </c>
    </row>
    <row r="12" spans="1:18">
      <c r="A12" s="15" t="s">
        <v>436</v>
      </c>
      <c r="B12" s="17" t="n">
        <v>3472</v>
      </c>
      <c r="C12" s="18">
        <f>(3057.0/B12*100)</f>
        <v/>
      </c>
      <c r="D12" s="19" t="n">
        <v>415</v>
      </c>
      <c r="E12" s="18" t="n">
        <v>60.8761455</v>
      </c>
      <c r="F12" s="20" t="n">
        <v>2.78564883</v>
      </c>
      <c r="G12" s="18" t="n">
        <v>29.22337377</v>
      </c>
      <c r="H12" s="20" t="n">
        <v>2.82476055</v>
      </c>
      <c r="I12" s="18" t="s">
        <v>431</v>
      </c>
      <c r="J12" s="20" t="s">
        <v>431</v>
      </c>
      <c r="K12" s="18" t="n">
        <v>0</v>
      </c>
      <c r="L12" s="20" t="n">
        <v>0</v>
      </c>
      <c r="M12" s="18" t="n">
        <v>0</v>
      </c>
      <c r="N12" s="20" t="n">
        <v>0</v>
      </c>
      <c r="O12" s="18" t="n">
        <v>0</v>
      </c>
      <c r="P12" s="20" t="n">
        <v>0</v>
      </c>
      <c r="Q12" s="18" t="n">
        <v>9.90048073</v>
      </c>
      <c r="R12" s="20" t="n">
        <v>1.59640372</v>
      </c>
    </row>
    <row r="13" spans="1:18">
      <c r="A13" s="15" t="s">
        <v>437</v>
      </c>
      <c r="B13" s="17" t="n">
        <v>3559</v>
      </c>
      <c r="C13" s="18">
        <f>(3146.0/B13*100)</f>
        <v/>
      </c>
      <c r="D13" s="19" t="n">
        <v>413</v>
      </c>
      <c r="E13" s="18" t="n">
        <v>46.54738549</v>
      </c>
      <c r="F13" s="20" t="n">
        <v>2.70853408</v>
      </c>
      <c r="G13" s="18" t="n">
        <v>46.12630659</v>
      </c>
      <c r="H13" s="20" t="n">
        <v>2.55554338</v>
      </c>
      <c r="I13" s="18" t="s">
        <v>431</v>
      </c>
      <c r="J13" s="20" t="s">
        <v>431</v>
      </c>
      <c r="K13" s="18" t="n">
        <v>0.33882027</v>
      </c>
      <c r="L13" s="20" t="n">
        <v>0.315152</v>
      </c>
      <c r="M13" s="18" t="n">
        <v>0</v>
      </c>
      <c r="N13" s="20" t="n">
        <v>0</v>
      </c>
      <c r="O13" s="18" t="n">
        <v>0</v>
      </c>
      <c r="P13" s="20" t="n">
        <v>0</v>
      </c>
      <c r="Q13" s="18" t="n">
        <v>6.98748765</v>
      </c>
      <c r="R13" s="20" t="n">
        <v>1.43597259</v>
      </c>
    </row>
    <row r="14" spans="1:18">
      <c r="A14" s="15" t="s">
        <v>438</v>
      </c>
      <c r="B14" s="17" t="n">
        <v>2799</v>
      </c>
      <c r="C14" s="18">
        <f>(2457.0/B14*100)</f>
        <v/>
      </c>
      <c r="D14" s="19" t="n">
        <v>342</v>
      </c>
      <c r="E14" s="18" t="n">
        <v>46.47719453</v>
      </c>
      <c r="F14" s="20" t="n">
        <v>2.67302058</v>
      </c>
      <c r="G14" s="18" t="n">
        <v>48.15533448</v>
      </c>
      <c r="H14" s="20" t="n">
        <v>2.76636799</v>
      </c>
      <c r="I14" s="18" t="s">
        <v>431</v>
      </c>
      <c r="J14" s="20" t="s">
        <v>431</v>
      </c>
      <c r="K14" s="18" t="n">
        <v>0</v>
      </c>
      <c r="L14" s="20" t="n">
        <v>0</v>
      </c>
      <c r="M14" s="18" t="n">
        <v>0</v>
      </c>
      <c r="N14" s="20" t="n">
        <v>0</v>
      </c>
      <c r="O14" s="18" t="n">
        <v>0</v>
      </c>
      <c r="P14" s="20" t="n">
        <v>0</v>
      </c>
      <c r="Q14" s="18" t="n">
        <v>5.36747099</v>
      </c>
      <c r="R14" s="20" t="n">
        <v>1.33867607</v>
      </c>
    </row>
    <row r="15" spans="1:18">
      <c r="A15" s="15" t="s">
        <v>439</v>
      </c>
      <c r="B15" s="17" t="n">
        <v>3019</v>
      </c>
      <c r="C15" s="18">
        <f>(2648.0/B15*100)</f>
        <v/>
      </c>
      <c r="D15" s="19" t="n">
        <v>371</v>
      </c>
      <c r="E15" s="18" t="n">
        <v>39.06287826</v>
      </c>
      <c r="F15" s="20" t="n">
        <v>2.67743958</v>
      </c>
      <c r="G15" s="18" t="n">
        <v>50.21331449</v>
      </c>
      <c r="H15" s="20" t="n">
        <v>2.67917741</v>
      </c>
      <c r="I15" s="18" t="s">
        <v>431</v>
      </c>
      <c r="J15" s="20" t="s">
        <v>431</v>
      </c>
      <c r="K15" s="18" t="n">
        <v>0.2505041</v>
      </c>
      <c r="L15" s="20" t="n">
        <v>0.25144761</v>
      </c>
      <c r="M15" s="18" t="n">
        <v>0</v>
      </c>
      <c r="N15" s="20" t="n">
        <v>0</v>
      </c>
      <c r="O15" s="18" t="n">
        <v>0</v>
      </c>
      <c r="P15" s="20" t="n">
        <v>0</v>
      </c>
      <c r="Q15" s="18" t="n">
        <v>10.47330314</v>
      </c>
      <c r="R15" s="20" t="n">
        <v>1.84999914</v>
      </c>
    </row>
    <row r="16" spans="1:18">
      <c r="A16" s="15" t="s">
        <v>440</v>
      </c>
      <c r="B16" s="17" t="n">
        <v>2997</v>
      </c>
      <c r="C16" s="18">
        <f>(2637.0/B16*100)</f>
        <v/>
      </c>
      <c r="D16" s="19" t="n">
        <v>360</v>
      </c>
      <c r="E16" s="18" t="n">
        <v>45.5147379</v>
      </c>
      <c r="F16" s="20" t="n">
        <v>2.40154186</v>
      </c>
      <c r="G16" s="18" t="n">
        <v>42.5322311</v>
      </c>
      <c r="H16" s="20" t="n">
        <v>2.36179866</v>
      </c>
      <c r="I16" s="18" t="s">
        <v>431</v>
      </c>
      <c r="J16" s="20" t="s">
        <v>431</v>
      </c>
      <c r="K16" s="18" t="n">
        <v>1.01380115</v>
      </c>
      <c r="L16" s="20" t="n">
        <v>0.60482103</v>
      </c>
      <c r="M16" s="18" t="n">
        <v>0</v>
      </c>
      <c r="N16" s="20" t="n">
        <v>0</v>
      </c>
      <c r="O16" s="18" t="n">
        <v>0</v>
      </c>
      <c r="P16" s="20" t="n">
        <v>0</v>
      </c>
      <c r="Q16" s="18" t="n">
        <v>10.93922985</v>
      </c>
      <c r="R16" s="20" t="n">
        <v>1.7010149</v>
      </c>
    </row>
    <row r="17" spans="1:18">
      <c r="A17" s="15" t="s">
        <v>441</v>
      </c>
      <c r="B17" s="17" t="n">
        <v>3307</v>
      </c>
      <c r="C17" s="18">
        <f>(2907.0/B17*100)</f>
        <v/>
      </c>
      <c r="D17" s="19" t="n">
        <v>400</v>
      </c>
      <c r="E17" s="18" t="n">
        <v>32.4757566</v>
      </c>
      <c r="F17" s="20" t="n">
        <v>2.4027762</v>
      </c>
      <c r="G17" s="18" t="n">
        <v>56.22417433</v>
      </c>
      <c r="H17" s="20" t="n">
        <v>2.67188411</v>
      </c>
      <c r="I17" s="18" t="s">
        <v>431</v>
      </c>
      <c r="J17" s="20" t="s">
        <v>431</v>
      </c>
      <c r="K17" s="18" t="n">
        <v>0.29528592</v>
      </c>
      <c r="L17" s="20" t="n">
        <v>0.29317019</v>
      </c>
      <c r="M17" s="18" t="n">
        <v>0</v>
      </c>
      <c r="N17" s="20" t="n">
        <v>0</v>
      </c>
      <c r="O17" s="18" t="n">
        <v>0</v>
      </c>
      <c r="P17" s="20" t="n">
        <v>0</v>
      </c>
      <c r="Q17" s="18" t="n">
        <v>11.00478315</v>
      </c>
      <c r="R17" s="20" t="n">
        <v>1.53510796</v>
      </c>
    </row>
    <row r="18" spans="1:18">
      <c r="A18" s="15" t="s">
        <v>442</v>
      </c>
      <c r="B18" s="17" t="n">
        <v>2826</v>
      </c>
      <c r="C18" s="18">
        <f>(2483.0/B18*100)</f>
        <v/>
      </c>
      <c r="D18" s="19" t="n">
        <v>343</v>
      </c>
      <c r="E18" s="18" t="n">
        <v>65.82876241</v>
      </c>
      <c r="F18" s="20" t="n">
        <v>2.93763373</v>
      </c>
      <c r="G18" s="18" t="n">
        <v>15.20995326</v>
      </c>
      <c r="H18" s="20" t="n">
        <v>2.19656767</v>
      </c>
      <c r="I18" s="18" t="s">
        <v>431</v>
      </c>
      <c r="J18" s="20" t="s">
        <v>431</v>
      </c>
      <c r="K18" s="18" t="n">
        <v>0.14726075</v>
      </c>
      <c r="L18" s="20" t="n">
        <v>0.14803269</v>
      </c>
      <c r="M18" s="18" t="n">
        <v>0.49367786</v>
      </c>
      <c r="N18" s="20" t="n">
        <v>0.49000851</v>
      </c>
      <c r="O18" s="18" t="n">
        <v>0</v>
      </c>
      <c r="P18" s="20" t="n">
        <v>0</v>
      </c>
      <c r="Q18" s="18" t="n">
        <v>18.32034571</v>
      </c>
      <c r="R18" s="20" t="n">
        <v>2.15299599</v>
      </c>
    </row>
    <row r="19" spans="1:18">
      <c r="A19" s="15" t="s">
        <v>443</v>
      </c>
      <c r="B19" s="17" t="n">
        <v>2808</v>
      </c>
      <c r="C19" s="18">
        <f>(2460.0/B19*100)</f>
        <v/>
      </c>
      <c r="D19" s="19" t="n">
        <v>348</v>
      </c>
      <c r="E19" s="18" t="n">
        <v>61.43991952</v>
      </c>
      <c r="F19" s="20" t="n">
        <v>3.08521943</v>
      </c>
      <c r="G19" s="18" t="n">
        <v>25.40379388</v>
      </c>
      <c r="H19" s="20" t="n">
        <v>2.62553957</v>
      </c>
      <c r="I19" s="18" t="s">
        <v>431</v>
      </c>
      <c r="J19" s="20" t="s">
        <v>431</v>
      </c>
      <c r="K19" s="18" t="n">
        <v>0</v>
      </c>
      <c r="L19" s="20" t="n">
        <v>0</v>
      </c>
      <c r="M19" s="18" t="n">
        <v>0</v>
      </c>
      <c r="N19" s="20" t="n">
        <v>0</v>
      </c>
      <c r="O19" s="18" t="n">
        <v>0</v>
      </c>
      <c r="P19" s="20" t="n">
        <v>0</v>
      </c>
      <c r="Q19" s="18" t="n">
        <v>13.1562866</v>
      </c>
      <c r="R19" s="20" t="n">
        <v>2.22611753</v>
      </c>
    </row>
    <row r="20" spans="1:18">
      <c r="A20" s="15" t="s">
        <v>444</v>
      </c>
      <c r="B20" s="17" t="n">
        <v>1630</v>
      </c>
      <c r="C20" s="18">
        <f>(1434.0/B20*100)</f>
        <v/>
      </c>
      <c r="D20" s="19" t="n">
        <v>196</v>
      </c>
      <c r="E20" s="18" t="n">
        <v>55.45364062</v>
      </c>
      <c r="F20" s="20" t="n">
        <v>3.28656885</v>
      </c>
      <c r="G20" s="18" t="n">
        <v>32.723318</v>
      </c>
      <c r="H20" s="20" t="n">
        <v>3.22470876</v>
      </c>
      <c r="I20" s="18" t="s">
        <v>431</v>
      </c>
      <c r="J20" s="20" t="s">
        <v>431</v>
      </c>
      <c r="K20" s="18" t="n">
        <v>0.58157203</v>
      </c>
      <c r="L20" s="20" t="n">
        <v>0.58935858</v>
      </c>
      <c r="M20" s="18" t="n">
        <v>0.78920248</v>
      </c>
      <c r="N20" s="20" t="n">
        <v>0.5602563699999999</v>
      </c>
      <c r="O20" s="18" t="n">
        <v>0</v>
      </c>
      <c r="P20" s="20" t="n">
        <v>0</v>
      </c>
      <c r="Q20" s="18" t="n">
        <v>10.45226687</v>
      </c>
      <c r="R20" s="20" t="n">
        <v>2.11672357</v>
      </c>
    </row>
    <row r="21" spans="1:18">
      <c r="A21" s="15" t="s">
        <v>445</v>
      </c>
      <c r="B21" s="17" t="n">
        <v>2908</v>
      </c>
      <c r="C21" s="18">
        <f>(2418.0/B21*100)</f>
        <v/>
      </c>
      <c r="D21" s="19" t="n">
        <v>490</v>
      </c>
      <c r="E21" s="18" t="n">
        <v>60.04967088</v>
      </c>
      <c r="F21" s="20" t="n">
        <v>2.73001373</v>
      </c>
      <c r="G21" s="18" t="n">
        <v>34.17975318</v>
      </c>
      <c r="H21" s="20" t="n">
        <v>2.39580758</v>
      </c>
      <c r="I21" s="18" t="s">
        <v>431</v>
      </c>
      <c r="J21" s="20" t="s">
        <v>431</v>
      </c>
      <c r="K21" s="18" t="n">
        <v>0</v>
      </c>
      <c r="L21" s="20" t="n">
        <v>0</v>
      </c>
      <c r="M21" s="18" t="n">
        <v>0</v>
      </c>
      <c r="N21" s="20" t="n">
        <v>0</v>
      </c>
      <c r="O21" s="18" t="n">
        <v>0</v>
      </c>
      <c r="P21" s="20" t="n">
        <v>0</v>
      </c>
      <c r="Q21" s="18" t="n">
        <v>5.77057594</v>
      </c>
      <c r="R21" s="20" t="n">
        <v>1.1487033</v>
      </c>
    </row>
    <row r="22" spans="1:18">
      <c r="A22" s="15" t="s">
        <v>446</v>
      </c>
      <c r="B22" s="17" t="n">
        <v>2931</v>
      </c>
      <c r="C22" s="18">
        <f>(2563.0/B22*100)</f>
        <v/>
      </c>
      <c r="D22" s="19" t="n">
        <v>368</v>
      </c>
      <c r="E22" s="18" t="n">
        <v>38.05067891</v>
      </c>
      <c r="F22" s="20" t="n">
        <v>2.85205665</v>
      </c>
      <c r="G22" s="18" t="n">
        <v>46.13781269</v>
      </c>
      <c r="H22" s="20" t="n">
        <v>3.11433182</v>
      </c>
      <c r="I22" s="18" t="s">
        <v>431</v>
      </c>
      <c r="J22" s="20" t="s">
        <v>431</v>
      </c>
      <c r="K22" s="18" t="n">
        <v>0.65622914</v>
      </c>
      <c r="L22" s="20" t="n">
        <v>0.48076468</v>
      </c>
      <c r="M22" s="18" t="n">
        <v>0</v>
      </c>
      <c r="N22" s="20" t="n">
        <v>0</v>
      </c>
      <c r="O22" s="18" t="n">
        <v>0</v>
      </c>
      <c r="P22" s="20" t="n">
        <v>0</v>
      </c>
      <c r="Q22" s="18" t="n">
        <v>15.15527926</v>
      </c>
      <c r="R22" s="20" t="n">
        <v>1.77087764</v>
      </c>
    </row>
    <row r="23" spans="1:18">
      <c r="A23" s="15" t="s">
        <v>447</v>
      </c>
      <c r="B23" s="17" t="n">
        <v>5791</v>
      </c>
      <c r="C23" s="18">
        <f>(5035.0/B23*100)</f>
        <v/>
      </c>
      <c r="D23" s="19" t="n">
        <v>756</v>
      </c>
      <c r="E23" s="18" t="n">
        <v>45.05857709</v>
      </c>
      <c r="F23" s="20" t="n">
        <v>2.34489462</v>
      </c>
      <c r="G23" s="18" t="n">
        <v>43.69492612</v>
      </c>
      <c r="H23" s="20" t="n">
        <v>2.27593998</v>
      </c>
      <c r="I23" s="18" t="s">
        <v>431</v>
      </c>
      <c r="J23" s="20" t="s">
        <v>431</v>
      </c>
      <c r="K23" s="18" t="n">
        <v>0</v>
      </c>
      <c r="L23" s="20" t="n">
        <v>0</v>
      </c>
      <c r="M23" s="18" t="n">
        <v>0.63402361</v>
      </c>
      <c r="N23" s="20" t="n">
        <v>0.37379927</v>
      </c>
      <c r="O23" s="18" t="n">
        <v>0</v>
      </c>
      <c r="P23" s="20" t="n">
        <v>0</v>
      </c>
      <c r="Q23" s="18" t="n">
        <v>10.61247319</v>
      </c>
      <c r="R23" s="20" t="n">
        <v>1.71240807</v>
      </c>
    </row>
    <row r="24" spans="1:18">
      <c r="A24" s="15" t="s">
        <v>448</v>
      </c>
      <c r="B24" s="17" t="n">
        <v>3338</v>
      </c>
      <c r="C24" s="18">
        <f>(2942.0/B24*100)</f>
        <v/>
      </c>
      <c r="D24" s="19" t="n">
        <v>396</v>
      </c>
      <c r="E24" s="18" t="n">
        <v>33.26495947</v>
      </c>
      <c r="F24" s="20" t="n">
        <v>2.27105148</v>
      </c>
      <c r="G24" s="18" t="n">
        <v>63.02998333</v>
      </c>
      <c r="H24" s="20" t="n">
        <v>2.3164541</v>
      </c>
      <c r="I24" s="18" t="s">
        <v>431</v>
      </c>
      <c r="J24" s="20" t="s">
        <v>431</v>
      </c>
      <c r="K24" s="18" t="n">
        <v>0</v>
      </c>
      <c r="L24" s="20" t="n">
        <v>0</v>
      </c>
      <c r="M24" s="18" t="n">
        <v>0</v>
      </c>
      <c r="N24" s="20" t="n">
        <v>0</v>
      </c>
      <c r="O24" s="18" t="n">
        <v>0</v>
      </c>
      <c r="P24" s="20" t="n">
        <v>0</v>
      </c>
      <c r="Q24" s="18" t="n">
        <v>3.7050572</v>
      </c>
      <c r="R24" s="20" t="n">
        <v>0.9123016</v>
      </c>
    </row>
    <row r="25" spans="1:18">
      <c r="A25" s="15" t="s">
        <v>449</v>
      </c>
      <c r="B25" s="17" t="n">
        <v>2912</v>
      </c>
      <c r="C25" s="18">
        <f>(2561.0/B25*100)</f>
        <v/>
      </c>
      <c r="D25" s="19" t="n">
        <v>351</v>
      </c>
      <c r="E25" s="18" t="n">
        <v>54.96776554</v>
      </c>
      <c r="F25" s="20" t="n">
        <v>2.41116299</v>
      </c>
      <c r="G25" s="18" t="n">
        <v>40.70590672</v>
      </c>
      <c r="H25" s="20" t="n">
        <v>2.5829319</v>
      </c>
      <c r="I25" s="18" t="s">
        <v>431</v>
      </c>
      <c r="J25" s="20" t="s">
        <v>431</v>
      </c>
      <c r="K25" s="18" t="n">
        <v>0.86251441</v>
      </c>
      <c r="L25" s="20" t="n">
        <v>0.50074527</v>
      </c>
      <c r="M25" s="18" t="n">
        <v>0</v>
      </c>
      <c r="N25" s="20" t="n">
        <v>0</v>
      </c>
      <c r="O25" s="18" t="n">
        <v>0</v>
      </c>
      <c r="P25" s="20" t="n">
        <v>0</v>
      </c>
      <c r="Q25" s="18" t="n">
        <v>3.46381333</v>
      </c>
      <c r="R25" s="20" t="n">
        <v>0.94349805</v>
      </c>
    </row>
    <row r="26" spans="1:18">
      <c r="A26" s="15" t="s">
        <v>450</v>
      </c>
      <c r="B26" s="17" t="n">
        <v>2450</v>
      </c>
      <c r="C26" s="18">
        <f>(2147.0/B26*100)</f>
        <v/>
      </c>
      <c r="D26" s="19" t="n">
        <v>303</v>
      </c>
      <c r="E26" s="18" t="n">
        <v>44.61539557</v>
      </c>
      <c r="F26" s="20" t="n">
        <v>3.17445523</v>
      </c>
      <c r="G26" s="18" t="n">
        <v>49.96438202</v>
      </c>
      <c r="H26" s="20" t="n">
        <v>2.9201312</v>
      </c>
      <c r="I26" s="18" t="s">
        <v>431</v>
      </c>
      <c r="J26" s="20" t="s">
        <v>431</v>
      </c>
      <c r="K26" s="18" t="n">
        <v>0</v>
      </c>
      <c r="L26" s="20" t="n">
        <v>0</v>
      </c>
      <c r="M26" s="18" t="n">
        <v>0.23074417</v>
      </c>
      <c r="N26" s="20" t="n">
        <v>0.23158608</v>
      </c>
      <c r="O26" s="18" t="n">
        <v>0</v>
      </c>
      <c r="P26" s="20" t="n">
        <v>0</v>
      </c>
      <c r="Q26" s="18" t="n">
        <v>5.18947825</v>
      </c>
      <c r="R26" s="20" t="n">
        <v>1.30479852</v>
      </c>
    </row>
    <row r="27" spans="1:18">
      <c r="A27" s="15" t="s">
        <v>451</v>
      </c>
      <c r="B27" s="17" t="n">
        <v>2616</v>
      </c>
      <c r="C27" s="18">
        <f>(2302.0/B27*100)</f>
        <v/>
      </c>
      <c r="D27" s="19" t="n">
        <v>314</v>
      </c>
      <c r="E27" s="18" t="n">
        <v>46.60540976</v>
      </c>
      <c r="F27" s="20" t="n">
        <v>3.09141102</v>
      </c>
      <c r="G27" s="18" t="n">
        <v>37.0600688</v>
      </c>
      <c r="H27" s="20" t="n">
        <v>2.83481852</v>
      </c>
      <c r="I27" s="18" t="s">
        <v>431</v>
      </c>
      <c r="J27" s="20" t="s">
        <v>431</v>
      </c>
      <c r="K27" s="18" t="n">
        <v>0</v>
      </c>
      <c r="L27" s="20" t="n">
        <v>0</v>
      </c>
      <c r="M27" s="18" t="n">
        <v>0</v>
      </c>
      <c r="N27" s="20" t="n">
        <v>0</v>
      </c>
      <c r="O27" s="18" t="n">
        <v>0</v>
      </c>
      <c r="P27" s="20" t="n">
        <v>0</v>
      </c>
      <c r="Q27" s="18" t="n">
        <v>16.33452145</v>
      </c>
      <c r="R27" s="20" t="n">
        <v>2.09548835</v>
      </c>
    </row>
    <row r="28" spans="1:18">
      <c r="A28" s="15" t="s">
        <v>452</v>
      </c>
      <c r="B28" s="17" t="n">
        <v>3765</v>
      </c>
      <c r="C28" s="18">
        <f>(3330.0/B28*100)</f>
        <v/>
      </c>
      <c r="D28" s="19" t="n">
        <v>435</v>
      </c>
      <c r="E28" s="18" t="n">
        <v>72.67084272</v>
      </c>
      <c r="F28" s="20" t="n">
        <v>2.18536192</v>
      </c>
      <c r="G28" s="18" t="n">
        <v>16.70446598</v>
      </c>
      <c r="H28" s="20" t="n">
        <v>1.72646678</v>
      </c>
      <c r="I28" s="18" t="s">
        <v>431</v>
      </c>
      <c r="J28" s="20" t="s">
        <v>431</v>
      </c>
      <c r="K28" s="18" t="n">
        <v>0.24298961</v>
      </c>
      <c r="L28" s="20" t="n">
        <v>0.24697874</v>
      </c>
      <c r="M28" s="18" t="n">
        <v>0</v>
      </c>
      <c r="N28" s="20" t="n">
        <v>0</v>
      </c>
      <c r="O28" s="18" t="n">
        <v>0</v>
      </c>
      <c r="P28" s="20" t="n">
        <v>0</v>
      </c>
      <c r="Q28" s="18" t="n">
        <v>10.38170169</v>
      </c>
      <c r="R28" s="20" t="n">
        <v>1.86885026</v>
      </c>
    </row>
    <row r="29" spans="1:18">
      <c r="A29" s="15" t="s">
        <v>453</v>
      </c>
      <c r="B29" s="17" t="n">
        <v>2685</v>
      </c>
      <c r="C29" s="18">
        <f>(2363.0/B29*100)</f>
        <v/>
      </c>
      <c r="D29" s="19" t="n">
        <v>322</v>
      </c>
      <c r="E29" s="18" t="n">
        <v>47.75606644</v>
      </c>
      <c r="F29" s="20" t="n">
        <v>2.78805294</v>
      </c>
      <c r="G29" s="18" t="n">
        <v>50.07558762</v>
      </c>
      <c r="H29" s="20" t="n">
        <v>2.86789489</v>
      </c>
      <c r="I29" s="18" t="s">
        <v>431</v>
      </c>
      <c r="J29" s="20" t="s">
        <v>431</v>
      </c>
      <c r="K29" s="18" t="n">
        <v>0.39799614</v>
      </c>
      <c r="L29" s="20" t="n">
        <v>0.39391798</v>
      </c>
      <c r="M29" s="18" t="n">
        <v>0</v>
      </c>
      <c r="N29" s="20" t="n">
        <v>0</v>
      </c>
      <c r="O29" s="18" t="n">
        <v>0</v>
      </c>
      <c r="P29" s="20" t="n">
        <v>0</v>
      </c>
      <c r="Q29" s="18" t="n">
        <v>1.77034981</v>
      </c>
      <c r="R29" s="20" t="n">
        <v>0.66870403</v>
      </c>
    </row>
    <row r="30" spans="1:18">
      <c r="A30" s="15" t="s">
        <v>454</v>
      </c>
      <c r="B30" s="17" t="n">
        <v>2263</v>
      </c>
      <c r="C30" s="18">
        <f>(1995.0/B30*100)</f>
        <v/>
      </c>
      <c r="D30" s="19" t="n">
        <v>268</v>
      </c>
      <c r="E30" s="18" t="n">
        <v>56.08054179</v>
      </c>
      <c r="F30" s="20" t="n">
        <v>3.36576956</v>
      </c>
      <c r="G30" s="18" t="n">
        <v>32.20913762</v>
      </c>
      <c r="H30" s="20" t="n">
        <v>2.64438987</v>
      </c>
      <c r="I30" s="18" t="s">
        <v>431</v>
      </c>
      <c r="J30" s="20" t="s">
        <v>431</v>
      </c>
      <c r="K30" s="18" t="n">
        <v>0</v>
      </c>
      <c r="L30" s="20" t="n">
        <v>0</v>
      </c>
      <c r="M30" s="18" t="n">
        <v>0</v>
      </c>
      <c r="N30" s="20" t="n">
        <v>0</v>
      </c>
      <c r="O30" s="18" t="n">
        <v>0</v>
      </c>
      <c r="P30" s="20" t="n">
        <v>0</v>
      </c>
      <c r="Q30" s="18" t="n">
        <v>11.71032059</v>
      </c>
      <c r="R30" s="20" t="n">
        <v>2.06539576</v>
      </c>
    </row>
    <row r="31" spans="1:18">
      <c r="A31" s="15" t="s">
        <v>455</v>
      </c>
      <c r="B31" s="17" t="n">
        <v>2750</v>
      </c>
      <c r="C31" s="18">
        <f>(2429.0/B31*100)</f>
        <v/>
      </c>
      <c r="D31" s="19" t="n">
        <v>321</v>
      </c>
      <c r="E31" s="18" t="n">
        <v>50.57596558</v>
      </c>
      <c r="F31" s="20" t="n">
        <v>2.61306275</v>
      </c>
      <c r="G31" s="18" t="n">
        <v>41.62985723</v>
      </c>
      <c r="H31" s="20" t="n">
        <v>2.5825317</v>
      </c>
      <c r="I31" s="18" t="s">
        <v>431</v>
      </c>
      <c r="J31" s="20" t="s">
        <v>431</v>
      </c>
      <c r="K31" s="18" t="n">
        <v>0</v>
      </c>
      <c r="L31" s="20" t="n">
        <v>0</v>
      </c>
      <c r="M31" s="18" t="n">
        <v>0</v>
      </c>
      <c r="N31" s="20" t="n">
        <v>0</v>
      </c>
      <c r="O31" s="18" t="n">
        <v>0</v>
      </c>
      <c r="P31" s="20" t="n">
        <v>0</v>
      </c>
      <c r="Q31" s="18" t="n">
        <v>7.79417719</v>
      </c>
      <c r="R31" s="20" t="n">
        <v>1.51646715</v>
      </c>
    </row>
    <row r="32" spans="1:18">
      <c r="A32" s="15" t="s">
        <v>456</v>
      </c>
      <c r="B32" s="17" t="n">
        <v>2269</v>
      </c>
      <c r="C32" s="18">
        <f>(1895.0/B32*100)</f>
        <v/>
      </c>
      <c r="D32" s="19" t="n">
        <v>374</v>
      </c>
      <c r="E32" s="18" t="n">
        <v>47.18413935</v>
      </c>
      <c r="F32" s="20" t="n">
        <v>2.62306956</v>
      </c>
      <c r="G32" s="18" t="n">
        <v>48.40823996</v>
      </c>
      <c r="H32" s="20" t="n">
        <v>2.65346144</v>
      </c>
      <c r="I32" s="18" t="s">
        <v>431</v>
      </c>
      <c r="J32" s="20" t="s">
        <v>431</v>
      </c>
      <c r="K32" s="18" t="n">
        <v>0.25671725</v>
      </c>
      <c r="L32" s="20" t="n">
        <v>0.24219836</v>
      </c>
      <c r="M32" s="18" t="n">
        <v>0.25011242</v>
      </c>
      <c r="N32" s="20" t="n">
        <v>0.24979579</v>
      </c>
      <c r="O32" s="18" t="n">
        <v>0</v>
      </c>
      <c r="P32" s="20" t="n">
        <v>0</v>
      </c>
      <c r="Q32" s="18" t="n">
        <v>3.90079102</v>
      </c>
      <c r="R32" s="20" t="n">
        <v>1.15047322</v>
      </c>
    </row>
    <row r="33" spans="1:18">
      <c r="A33" s="15" t="s">
        <v>457</v>
      </c>
      <c r="B33" s="17" t="n">
        <v>3674</v>
      </c>
      <c r="C33" s="18">
        <f>(3226.0/B33*100)</f>
        <v/>
      </c>
      <c r="D33" s="19" t="n">
        <v>448</v>
      </c>
      <c r="E33" s="18" t="n">
        <v>49.06615341</v>
      </c>
      <c r="F33" s="20" t="n">
        <v>2.55289543</v>
      </c>
      <c r="G33" s="18" t="n">
        <v>42.43732109</v>
      </c>
      <c r="H33" s="20" t="n">
        <v>2.17647443</v>
      </c>
      <c r="I33" s="18" t="s">
        <v>431</v>
      </c>
      <c r="J33" s="20" t="s">
        <v>431</v>
      </c>
      <c r="K33" s="18" t="n">
        <v>0</v>
      </c>
      <c r="L33" s="20" t="n">
        <v>0</v>
      </c>
      <c r="M33" s="18" t="n">
        <v>0</v>
      </c>
      <c r="N33" s="20" t="n">
        <v>0</v>
      </c>
      <c r="O33" s="18" t="n">
        <v>0</v>
      </c>
      <c r="P33" s="20" t="n">
        <v>0</v>
      </c>
      <c r="Q33" s="18" t="n">
        <v>8.496525500000001</v>
      </c>
      <c r="R33" s="20" t="n">
        <v>1.58542367</v>
      </c>
    </row>
    <row r="34" spans="1:18">
      <c r="A34" s="15" t="s">
        <v>458</v>
      </c>
      <c r="B34" s="17" t="n">
        <v>3315</v>
      </c>
      <c r="C34" s="18">
        <f>(2919.0/B34*100)</f>
        <v/>
      </c>
      <c r="D34" s="19" t="n">
        <v>396</v>
      </c>
      <c r="E34" s="18" t="n">
        <v>55.3804242</v>
      </c>
      <c r="F34" s="20" t="n">
        <v>3.05580271</v>
      </c>
      <c r="G34" s="18" t="n">
        <v>33.24526554</v>
      </c>
      <c r="H34" s="20" t="n">
        <v>2.70569786</v>
      </c>
      <c r="I34" s="18" t="s">
        <v>431</v>
      </c>
      <c r="J34" s="20" t="s">
        <v>431</v>
      </c>
      <c r="K34" s="18" t="n">
        <v>0</v>
      </c>
      <c r="L34" s="20" t="n">
        <v>0</v>
      </c>
      <c r="M34" s="18" t="n">
        <v>0.22767955</v>
      </c>
      <c r="N34" s="20" t="n">
        <v>0.22894972</v>
      </c>
      <c r="O34" s="18" t="n">
        <v>0</v>
      </c>
      <c r="P34" s="20" t="n">
        <v>0</v>
      </c>
      <c r="Q34" s="18" t="n">
        <v>11.14663072</v>
      </c>
      <c r="R34" s="20" t="n">
        <v>1.54189588</v>
      </c>
    </row>
    <row r="35" spans="1:18">
      <c r="A35" s="15" t="s">
        <v>459</v>
      </c>
      <c r="B35" s="17" t="n">
        <v>3505</v>
      </c>
      <c r="C35" s="18">
        <f>(3082.0/B35*100)</f>
        <v/>
      </c>
      <c r="D35" s="19" t="n">
        <v>423</v>
      </c>
      <c r="E35" s="18" t="n">
        <v>54.63748428</v>
      </c>
      <c r="F35" s="20" t="n">
        <v>2.64984497</v>
      </c>
      <c r="G35" s="18" t="n">
        <v>39.55800525</v>
      </c>
      <c r="H35" s="20" t="n">
        <v>2.68505054</v>
      </c>
      <c r="I35" s="18" t="s">
        <v>431</v>
      </c>
      <c r="J35" s="20" t="s">
        <v>431</v>
      </c>
      <c r="K35" s="18" t="n">
        <v>0</v>
      </c>
      <c r="L35" s="20" t="n">
        <v>0</v>
      </c>
      <c r="M35" s="18" t="n">
        <v>0.44501133</v>
      </c>
      <c r="N35" s="20" t="n">
        <v>0.4466762</v>
      </c>
      <c r="O35" s="18" t="n">
        <v>0</v>
      </c>
      <c r="P35" s="20" t="n">
        <v>0</v>
      </c>
      <c r="Q35" s="18" t="n">
        <v>5.35949913</v>
      </c>
      <c r="R35" s="20" t="n">
        <v>1.0824117</v>
      </c>
    </row>
    <row r="36" spans="1:18">
      <c r="A36" s="15" t="s">
        <v>460</v>
      </c>
      <c r="B36" s="17" t="n">
        <v>3332</v>
      </c>
      <c r="C36" s="18">
        <f>(2928.0/B36*100)</f>
        <v/>
      </c>
      <c r="D36" s="19" t="n">
        <v>404</v>
      </c>
      <c r="E36" s="18" t="n">
        <v>42.10300674</v>
      </c>
      <c r="F36" s="20" t="n">
        <v>2.81310309</v>
      </c>
      <c r="G36" s="18" t="n">
        <v>49.54255981</v>
      </c>
      <c r="H36" s="20" t="n">
        <v>2.89242938</v>
      </c>
      <c r="I36" s="18" t="s">
        <v>431</v>
      </c>
      <c r="J36" s="20" t="s">
        <v>431</v>
      </c>
      <c r="K36" s="18" t="n">
        <v>0</v>
      </c>
      <c r="L36" s="20" t="n">
        <v>0</v>
      </c>
      <c r="M36" s="18" t="n">
        <v>0</v>
      </c>
      <c r="N36" s="20" t="n">
        <v>0</v>
      </c>
      <c r="O36" s="18" t="n">
        <v>0</v>
      </c>
      <c r="P36" s="20" t="n">
        <v>0</v>
      </c>
      <c r="Q36" s="18" t="n">
        <v>8.35443345</v>
      </c>
      <c r="R36" s="20" t="n">
        <v>1.70744858</v>
      </c>
    </row>
    <row r="37" spans="1:18">
      <c r="A37" s="15" t="s">
        <v>461</v>
      </c>
      <c r="B37" s="17" t="n">
        <v>2727</v>
      </c>
      <c r="C37" s="18">
        <f>(2394.0/B37*100)</f>
        <v/>
      </c>
      <c r="D37" s="19" t="n">
        <v>333</v>
      </c>
      <c r="E37" s="18" t="n">
        <v>39.87509123</v>
      </c>
      <c r="F37" s="20" t="n">
        <v>2.51012965</v>
      </c>
      <c r="G37" s="18" t="n">
        <v>42.49560911</v>
      </c>
      <c r="H37" s="20" t="n">
        <v>2.71564119</v>
      </c>
      <c r="I37" s="18" t="s">
        <v>431</v>
      </c>
      <c r="J37" s="20" t="s">
        <v>431</v>
      </c>
      <c r="K37" s="18" t="n">
        <v>0.26325062</v>
      </c>
      <c r="L37" s="20" t="n">
        <v>0.37345982</v>
      </c>
      <c r="M37" s="18" t="n">
        <v>0</v>
      </c>
      <c r="N37" s="20" t="n">
        <v>0</v>
      </c>
      <c r="O37" s="18" t="n">
        <v>0</v>
      </c>
      <c r="P37" s="20" t="n">
        <v>0</v>
      </c>
      <c r="Q37" s="18" t="n">
        <v>17.36604904</v>
      </c>
      <c r="R37" s="20" t="n">
        <v>2.22136646</v>
      </c>
    </row>
    <row r="38" spans="1:18">
      <c r="A38" s="15" t="s">
        <v>462</v>
      </c>
      <c r="B38" s="17" t="n">
        <v>3053</v>
      </c>
      <c r="C38" s="18">
        <f>(2547.0/B38*100)</f>
        <v/>
      </c>
      <c r="D38" s="19" t="n">
        <v>506</v>
      </c>
      <c r="E38" s="18" t="n">
        <v>46.37106129</v>
      </c>
      <c r="F38" s="20" t="n">
        <v>2.70011429</v>
      </c>
      <c r="G38" s="18" t="n">
        <v>37.97344581</v>
      </c>
      <c r="H38" s="20" t="n">
        <v>2.46733549</v>
      </c>
      <c r="I38" s="18" t="s">
        <v>431</v>
      </c>
      <c r="J38" s="20" t="s">
        <v>431</v>
      </c>
      <c r="K38" s="18" t="n">
        <v>0</v>
      </c>
      <c r="L38" s="20" t="n">
        <v>0</v>
      </c>
      <c r="M38" s="18" t="n">
        <v>0</v>
      </c>
      <c r="N38" s="20" t="n">
        <v>0</v>
      </c>
      <c r="O38" s="18" t="n">
        <v>0</v>
      </c>
      <c r="P38" s="20" t="n">
        <v>0</v>
      </c>
      <c r="Q38" s="18" t="n">
        <v>15.65549289</v>
      </c>
      <c r="R38" s="20" t="n">
        <v>1.88536692</v>
      </c>
    </row>
    <row r="39" spans="1:18">
      <c r="A39" s="15" t="s">
        <v>463</v>
      </c>
      <c r="B39" s="17" t="n">
        <v>2957</v>
      </c>
      <c r="C39" s="18">
        <f>(2592.0/B39*100)</f>
        <v/>
      </c>
      <c r="D39" s="19" t="n">
        <v>365</v>
      </c>
      <c r="E39" s="18" t="n">
        <v>58.7793485</v>
      </c>
      <c r="F39" s="20" t="n">
        <v>3.43690791</v>
      </c>
      <c r="G39" s="18" t="n">
        <v>26.3262104</v>
      </c>
      <c r="H39" s="20" t="n">
        <v>3.30530719</v>
      </c>
      <c r="I39" s="18" t="s">
        <v>431</v>
      </c>
      <c r="J39" s="20" t="s">
        <v>431</v>
      </c>
      <c r="K39" s="18" t="n">
        <v>0.39935416</v>
      </c>
      <c r="L39" s="20" t="n">
        <v>0.4044374</v>
      </c>
      <c r="M39" s="18" t="n">
        <v>0.12208733</v>
      </c>
      <c r="N39" s="20" t="n">
        <v>0.08730375999999999</v>
      </c>
      <c r="O39" s="18" t="n">
        <v>0</v>
      </c>
      <c r="P39" s="20" t="n">
        <v>0</v>
      </c>
      <c r="Q39" s="18" t="n">
        <v>14.37299961</v>
      </c>
      <c r="R39" s="20" t="n">
        <v>2.28186015</v>
      </c>
    </row>
    <row r="40" spans="1:18">
      <c r="A40" s="15" t="s">
        <v>464</v>
      </c>
      <c r="B40" s="17" t="n">
        <v>7235</v>
      </c>
      <c r="C40" s="18">
        <f>(6339.0/B40*100)</f>
        <v/>
      </c>
      <c r="D40" s="19" t="n">
        <v>896</v>
      </c>
      <c r="E40" s="18" t="n">
        <v>57.57797614</v>
      </c>
      <c r="F40" s="20" t="n">
        <v>2.95462643</v>
      </c>
      <c r="G40" s="18" t="n">
        <v>31.9314457</v>
      </c>
      <c r="H40" s="20" t="n">
        <v>2.93266492</v>
      </c>
      <c r="I40" s="18" t="s">
        <v>431</v>
      </c>
      <c r="J40" s="20" t="s">
        <v>431</v>
      </c>
      <c r="K40" s="18" t="n">
        <v>0.26014828</v>
      </c>
      <c r="L40" s="20" t="n">
        <v>0.15934774</v>
      </c>
      <c r="M40" s="18" t="n">
        <v>0.55544891</v>
      </c>
      <c r="N40" s="20" t="n">
        <v>0.43638487</v>
      </c>
      <c r="O40" s="18" t="n">
        <v>0</v>
      </c>
      <c r="P40" s="20" t="n">
        <v>0</v>
      </c>
      <c r="Q40" s="18" t="n">
        <v>9.674980959999999</v>
      </c>
      <c r="R40" s="20" t="n">
        <v>1.24590737</v>
      </c>
    </row>
    <row r="41" spans="1:18">
      <c r="A41" s="15" t="s">
        <v>465</v>
      </c>
      <c r="B41" s="17" t="n">
        <v>2858</v>
      </c>
      <c r="C41" s="18">
        <f>(2493.0/B41*100)</f>
        <v/>
      </c>
      <c r="D41" s="19" t="n">
        <v>365</v>
      </c>
      <c r="E41" s="18" t="n">
        <v>66.84766033</v>
      </c>
      <c r="F41" s="20" t="n">
        <v>2.35531987</v>
      </c>
      <c r="G41" s="18" t="n">
        <v>29.49800647</v>
      </c>
      <c r="H41" s="20" t="n">
        <v>2.23772291</v>
      </c>
      <c r="I41" s="18" t="s">
        <v>431</v>
      </c>
      <c r="J41" s="20" t="s">
        <v>431</v>
      </c>
      <c r="K41" s="18" t="n">
        <v>0</v>
      </c>
      <c r="L41" s="20" t="n">
        <v>0</v>
      </c>
      <c r="M41" s="18" t="n">
        <v>0</v>
      </c>
      <c r="N41" s="20" t="n">
        <v>0</v>
      </c>
      <c r="O41" s="18" t="n">
        <v>0</v>
      </c>
      <c r="P41" s="20" t="n">
        <v>0</v>
      </c>
      <c r="Q41" s="18" t="n">
        <v>3.6543332</v>
      </c>
      <c r="R41" s="20" t="n">
        <v>0.9968424299999999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(9881.0/B46*100)</f>
        <v/>
      </c>
      <c r="D46" s="19" t="n">
        <v>1187</v>
      </c>
      <c r="E46" s="18" t="n">
        <v>53.70487817</v>
      </c>
      <c r="F46" s="20" t="n">
        <v>1.98794313</v>
      </c>
      <c r="G46" s="18" t="n">
        <v>21.95158271</v>
      </c>
      <c r="H46" s="20" t="n">
        <v>1.87540138</v>
      </c>
      <c r="I46" s="18" t="s">
        <v>431</v>
      </c>
      <c r="J46" s="20" t="s">
        <v>431</v>
      </c>
      <c r="K46" s="18" t="n">
        <v>0.56503313</v>
      </c>
      <c r="L46" s="20" t="n">
        <v>0.09916023</v>
      </c>
      <c r="M46" s="18" t="n">
        <v>0.3338709</v>
      </c>
      <c r="N46" s="20" t="n">
        <v>0.18151874</v>
      </c>
      <c r="O46" s="18" t="n">
        <v>0</v>
      </c>
      <c r="P46" s="20" t="n">
        <v>0</v>
      </c>
      <c r="Q46" s="18" t="n">
        <v>23.44463509</v>
      </c>
      <c r="R46" s="20" t="n">
        <v>1.61644111</v>
      </c>
    </row>
    <row r="47" spans="1:18">
      <c r="A47" s="15" t="s">
        <v>471</v>
      </c>
      <c r="B47" s="17" t="n">
        <v>3105</v>
      </c>
      <c r="C47" s="18">
        <f>(2718.0/B47*100)</f>
        <v/>
      </c>
      <c r="D47" s="19" t="n">
        <v>387</v>
      </c>
      <c r="E47" s="18" t="n">
        <v>44.86427469</v>
      </c>
      <c r="F47" s="20" t="n">
        <v>2.18617781</v>
      </c>
      <c r="G47" s="18" t="n">
        <v>34.86097547</v>
      </c>
      <c r="H47" s="20" t="n">
        <v>2.115286</v>
      </c>
      <c r="I47" s="18" t="s">
        <v>431</v>
      </c>
      <c r="J47" s="20" t="s">
        <v>431</v>
      </c>
      <c r="K47" s="18" t="n">
        <v>0</v>
      </c>
      <c r="L47" s="20" t="n">
        <v>0</v>
      </c>
      <c r="M47" s="18" t="n">
        <v>0</v>
      </c>
      <c r="N47" s="20" t="n">
        <v>0</v>
      </c>
      <c r="O47" s="18" t="n">
        <v>0</v>
      </c>
      <c r="P47" s="20" t="n">
        <v>0</v>
      </c>
      <c r="Q47" s="18" t="n">
        <v>20.27474984</v>
      </c>
      <c r="R47" s="20" t="n">
        <v>2.03966524</v>
      </c>
    </row>
    <row r="48" spans="1:18">
      <c r="A48" s="15" t="s">
        <v>472</v>
      </c>
      <c r="B48" s="17" t="n">
        <v>5159</v>
      </c>
      <c r="C48" s="18">
        <f>(4549.0/B48*100)</f>
        <v/>
      </c>
      <c r="D48" s="19" t="n">
        <v>610</v>
      </c>
      <c r="E48" s="18" t="n">
        <v>50.37756254</v>
      </c>
      <c r="F48" s="20" t="n">
        <v>3.27911523</v>
      </c>
      <c r="G48" s="18" t="n">
        <v>36.03043431</v>
      </c>
      <c r="H48" s="20" t="n">
        <v>3.16671725</v>
      </c>
      <c r="I48" s="18" t="s">
        <v>431</v>
      </c>
      <c r="J48" s="20" t="s">
        <v>431</v>
      </c>
      <c r="K48" s="18" t="n">
        <v>1.25052999</v>
      </c>
      <c r="L48" s="20" t="n">
        <v>0.63393902</v>
      </c>
      <c r="M48" s="18" t="n">
        <v>0</v>
      </c>
      <c r="N48" s="20" t="n">
        <v>0</v>
      </c>
      <c r="O48" s="18" t="n">
        <v>0</v>
      </c>
      <c r="P48" s="20" t="n">
        <v>0</v>
      </c>
      <c r="Q48" s="18" t="n">
        <v>12.34147316</v>
      </c>
      <c r="R48" s="20" t="n">
        <v>1.70162915</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(4961.0/B50*100)</f>
        <v/>
      </c>
      <c r="D50" s="19" t="n">
        <v>676</v>
      </c>
      <c r="E50" s="18" t="n">
        <v>59.14363002</v>
      </c>
      <c r="F50" s="20" t="n">
        <v>2.46427931</v>
      </c>
      <c r="G50" s="18" t="n">
        <v>28.41555687</v>
      </c>
      <c r="H50" s="20" t="n">
        <v>2.31841827</v>
      </c>
      <c r="I50" s="18" t="s">
        <v>431</v>
      </c>
      <c r="J50" s="20" t="s">
        <v>431</v>
      </c>
      <c r="K50" s="18" t="n">
        <v>1.74797083</v>
      </c>
      <c r="L50" s="20" t="n">
        <v>0.66440576</v>
      </c>
      <c r="M50" s="18" t="n">
        <v>0.00832217</v>
      </c>
      <c r="N50" s="20" t="n">
        <v>0.00838707</v>
      </c>
      <c r="O50" s="18" t="n">
        <v>0</v>
      </c>
      <c r="P50" s="20" t="n">
        <v>0</v>
      </c>
      <c r="Q50" s="18" t="n">
        <v>10.68452012</v>
      </c>
      <c r="R50" s="20" t="n">
        <v>1.85086025</v>
      </c>
    </row>
    <row r="51" spans="1:18">
      <c r="A51" s="15" t="s">
        <v>475</v>
      </c>
      <c r="B51" s="17" t="n">
        <v>3372</v>
      </c>
      <c r="C51" s="18">
        <f>(2995.0/B51*100)</f>
        <v/>
      </c>
      <c r="D51" s="19" t="n">
        <v>377</v>
      </c>
      <c r="E51" s="18" t="n">
        <v>50.44775808</v>
      </c>
      <c r="F51" s="20" t="n">
        <v>2.59386366</v>
      </c>
      <c r="G51" s="18" t="n">
        <v>32.67863642</v>
      </c>
      <c r="H51" s="20" t="n">
        <v>2.31655672</v>
      </c>
      <c r="I51" s="18" t="s">
        <v>431</v>
      </c>
      <c r="J51" s="20" t="s">
        <v>431</v>
      </c>
      <c r="K51" s="18" t="n">
        <v>0.61088774</v>
      </c>
      <c r="L51" s="20" t="n">
        <v>0.44018376</v>
      </c>
      <c r="M51" s="18" t="n">
        <v>0</v>
      </c>
      <c r="N51" s="20" t="n">
        <v>0</v>
      </c>
      <c r="O51" s="18" t="n">
        <v>0</v>
      </c>
      <c r="P51" s="20" t="n">
        <v>0</v>
      </c>
      <c r="Q51" s="18" t="n">
        <v>16.26271776</v>
      </c>
      <c r="R51" s="20" t="n">
        <v>2.06094584</v>
      </c>
    </row>
    <row r="52" spans="1:18">
      <c r="A52" s="15" t="s">
        <v>476</v>
      </c>
      <c r="B52" s="17" t="n">
        <v>2796</v>
      </c>
      <c r="C52" s="18">
        <f>(2444.0/B52*100)</f>
        <v/>
      </c>
      <c r="D52" s="19" t="n">
        <v>352</v>
      </c>
      <c r="E52" s="18" t="n">
        <v>45.91561295</v>
      </c>
      <c r="F52" s="20" t="n">
        <v>2.51676043</v>
      </c>
      <c r="G52" s="18" t="n">
        <v>47.21026386</v>
      </c>
      <c r="H52" s="20" t="n">
        <v>2.33437891</v>
      </c>
      <c r="I52" s="18" t="s">
        <v>431</v>
      </c>
      <c r="J52" s="20" t="s">
        <v>431</v>
      </c>
      <c r="K52" s="18" t="n">
        <v>0.35627225</v>
      </c>
      <c r="L52" s="20" t="n">
        <v>0.36152979</v>
      </c>
      <c r="M52" s="18" t="n">
        <v>0</v>
      </c>
      <c r="N52" s="20" t="n">
        <v>0</v>
      </c>
      <c r="O52" s="18" t="n">
        <v>0</v>
      </c>
      <c r="P52" s="20" t="n">
        <v>0</v>
      </c>
      <c r="Q52" s="18" t="n">
        <v>6.51785093</v>
      </c>
      <c r="R52" s="20" t="n">
        <v>1.20095668</v>
      </c>
    </row>
    <row r="53" spans="1:18">
      <c r="A53" s="15" t="s">
        <v>477</v>
      </c>
      <c r="B53" s="17" t="n">
        <v>2811</v>
      </c>
      <c r="C53" s="18">
        <f>(2474.0/B53*100)</f>
        <v/>
      </c>
      <c r="D53" s="19" t="n">
        <v>337</v>
      </c>
      <c r="E53" s="18" t="n">
        <v>55.69393371</v>
      </c>
      <c r="F53" s="20" t="n">
        <v>2.71352034</v>
      </c>
      <c r="G53" s="18" t="n">
        <v>16.55326707</v>
      </c>
      <c r="H53" s="20" t="n">
        <v>2.02295523</v>
      </c>
      <c r="I53" s="18" t="s">
        <v>431</v>
      </c>
      <c r="J53" s="20" t="s">
        <v>431</v>
      </c>
      <c r="K53" s="18" t="n">
        <v>0</v>
      </c>
      <c r="L53" s="20" t="n">
        <v>0</v>
      </c>
      <c r="M53" s="18" t="n">
        <v>0</v>
      </c>
      <c r="N53" s="20" t="n">
        <v>0</v>
      </c>
      <c r="O53" s="18" t="n">
        <v>0</v>
      </c>
      <c r="P53" s="20" t="n">
        <v>0</v>
      </c>
      <c r="Q53" s="18" t="n">
        <v>27.75279922</v>
      </c>
      <c r="R53" s="20" t="n">
        <v>2.49554561</v>
      </c>
    </row>
    <row r="54" spans="1:18">
      <c r="A54" s="15" t="s">
        <v>478</v>
      </c>
      <c r="B54" s="17" t="n">
        <v>2266</v>
      </c>
      <c r="C54" s="18">
        <f>(1906.0/B54*100)</f>
        <v/>
      </c>
      <c r="D54" s="19" t="n">
        <v>360</v>
      </c>
      <c r="E54" s="18" t="n">
        <v>47.04832109</v>
      </c>
      <c r="F54" s="20" t="n">
        <v>2.85069208</v>
      </c>
      <c r="G54" s="18" t="n">
        <v>15.82880618</v>
      </c>
      <c r="H54" s="20" t="n">
        <v>1.96886233</v>
      </c>
      <c r="I54" s="18" t="s">
        <v>431</v>
      </c>
      <c r="J54" s="20" t="s">
        <v>431</v>
      </c>
      <c r="K54" s="18" t="n">
        <v>7.37878009</v>
      </c>
      <c r="L54" s="20" t="n">
        <v>1.59167532</v>
      </c>
      <c r="M54" s="18" t="n">
        <v>0.54535607</v>
      </c>
      <c r="N54" s="20" t="n">
        <v>0.37989976</v>
      </c>
      <c r="O54" s="18" t="n">
        <v>0</v>
      </c>
      <c r="P54" s="20" t="n">
        <v>0</v>
      </c>
      <c r="Q54" s="18" t="n">
        <v>29.19873657</v>
      </c>
      <c r="R54" s="20" t="n">
        <v>2.91907771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(2338.0/B56*100)</f>
        <v/>
      </c>
      <c r="D56" s="19" t="n">
        <v>346</v>
      </c>
      <c r="E56" s="18" t="n">
        <v>42.83947204</v>
      </c>
      <c r="F56" s="20" t="n">
        <v>2.26781853</v>
      </c>
      <c r="G56" s="18" t="n">
        <v>49.87956189</v>
      </c>
      <c r="H56" s="20" t="n">
        <v>2.24334902</v>
      </c>
      <c r="I56" s="18" t="s">
        <v>431</v>
      </c>
      <c r="J56" s="20" t="s">
        <v>431</v>
      </c>
      <c r="K56" s="18" t="n">
        <v>0.37151725</v>
      </c>
      <c r="L56" s="20" t="n">
        <v>0.31630863</v>
      </c>
      <c r="M56" s="18" t="n">
        <v>0</v>
      </c>
      <c r="N56" s="20" t="n">
        <v>0</v>
      </c>
      <c r="O56" s="18" t="n">
        <v>0</v>
      </c>
      <c r="P56" s="20" t="n">
        <v>0</v>
      </c>
      <c r="Q56" s="18" t="n">
        <v>6.90944882</v>
      </c>
      <c r="R56" s="20" t="n">
        <v>1.1650336</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(2915.0/B61*100)</f>
        <v/>
      </c>
      <c r="D61" s="19" t="n">
        <v>409</v>
      </c>
      <c r="E61" s="18" t="n">
        <v>57.52799947</v>
      </c>
      <c r="F61" s="20" t="n">
        <v>2.90980871</v>
      </c>
      <c r="G61" s="18" t="n">
        <v>28.26955134</v>
      </c>
      <c r="H61" s="20" t="n">
        <v>2.65049908</v>
      </c>
      <c r="I61" s="18" t="s">
        <v>431</v>
      </c>
      <c r="J61" s="20" t="s">
        <v>431</v>
      </c>
      <c r="K61" s="18" t="n">
        <v>0</v>
      </c>
      <c r="L61" s="20" t="n">
        <v>0</v>
      </c>
      <c r="M61" s="18" t="n">
        <v>0</v>
      </c>
      <c r="N61" s="20" t="n">
        <v>0</v>
      </c>
      <c r="O61" s="18" t="n">
        <v>0</v>
      </c>
      <c r="P61" s="20" t="n">
        <v>0</v>
      </c>
      <c r="Q61" s="18" t="n">
        <v>14.20244919</v>
      </c>
      <c r="R61" s="20" t="n">
        <v>2.00904478</v>
      </c>
    </row>
    <row r="62" spans="1:18">
      <c r="A62" s="15" t="s">
        <v>486</v>
      </c>
      <c r="B62" s="17" t="n">
        <v>2246</v>
      </c>
      <c r="C62" s="18">
        <f>(1955.0/B62*100)</f>
        <v/>
      </c>
      <c r="D62" s="19" t="n">
        <v>291</v>
      </c>
      <c r="E62" s="18" t="n">
        <v>62.78811077</v>
      </c>
      <c r="F62" s="20" t="n">
        <v>2.50475681</v>
      </c>
      <c r="G62" s="18" t="n">
        <v>32.02442529</v>
      </c>
      <c r="H62" s="20" t="n">
        <v>2.38245562</v>
      </c>
      <c r="I62" s="18" t="s">
        <v>431</v>
      </c>
      <c r="J62" s="20" t="s">
        <v>431</v>
      </c>
      <c r="K62" s="18" t="n">
        <v>0</v>
      </c>
      <c r="L62" s="20" t="n">
        <v>0</v>
      </c>
      <c r="M62" s="18" t="n">
        <v>0</v>
      </c>
      <c r="N62" s="20" t="n">
        <v>0</v>
      </c>
      <c r="O62" s="18" t="n">
        <v>0</v>
      </c>
      <c r="P62" s="20" t="n">
        <v>0</v>
      </c>
      <c r="Q62" s="18" t="n">
        <v>5.18746394</v>
      </c>
      <c r="R62" s="20" t="n">
        <v>1.31374235</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(2527.0/B66*100)</f>
        <v/>
      </c>
      <c r="D66" s="19" t="n">
        <v>367</v>
      </c>
      <c r="E66" s="18" t="n">
        <v>43.79199407</v>
      </c>
      <c r="F66" s="20" t="n">
        <v>2.64830091</v>
      </c>
      <c r="G66" s="18" t="n">
        <v>24.87566179</v>
      </c>
      <c r="H66" s="20" t="n">
        <v>2.33629561</v>
      </c>
      <c r="I66" s="18" t="s">
        <v>431</v>
      </c>
      <c r="J66" s="20" t="s">
        <v>431</v>
      </c>
      <c r="K66" s="18" t="n">
        <v>1.11920891</v>
      </c>
      <c r="L66" s="20" t="n">
        <v>0.5631107400000001</v>
      </c>
      <c r="M66" s="18" t="n">
        <v>0.68796869</v>
      </c>
      <c r="N66" s="20" t="n">
        <v>0.51142721</v>
      </c>
      <c r="O66" s="18" t="n">
        <v>0</v>
      </c>
      <c r="P66" s="20" t="n">
        <v>0</v>
      </c>
      <c r="Q66" s="18" t="n">
        <v>29.52516653</v>
      </c>
      <c r="R66" s="20" t="n">
        <v>1.88693858</v>
      </c>
    </row>
    <row r="67" spans="1:18">
      <c r="A67" s="15" t="s">
        <v>491</v>
      </c>
      <c r="B67" s="17" t="n">
        <v>3511</v>
      </c>
      <c r="C67" s="18">
        <f>(3085.0/B67*100)</f>
        <v/>
      </c>
      <c r="D67" s="19" t="n">
        <v>426</v>
      </c>
      <c r="E67" s="18" t="n">
        <v>68.64775179999999</v>
      </c>
      <c r="F67" s="20" t="n">
        <v>2.46670583</v>
      </c>
      <c r="G67" s="18" t="n">
        <v>12.97372415</v>
      </c>
      <c r="H67" s="20" t="n">
        <v>1.7904472</v>
      </c>
      <c r="I67" s="18" t="s">
        <v>431</v>
      </c>
      <c r="J67" s="20" t="s">
        <v>431</v>
      </c>
      <c r="K67" s="18" t="n">
        <v>0</v>
      </c>
      <c r="L67" s="20" t="n">
        <v>0</v>
      </c>
      <c r="M67" s="18" t="n">
        <v>0.25762553</v>
      </c>
      <c r="N67" s="20" t="n">
        <v>0.25939126</v>
      </c>
      <c r="O67" s="18" t="n">
        <v>0</v>
      </c>
      <c r="P67" s="20" t="n">
        <v>0</v>
      </c>
      <c r="Q67" s="18" t="n">
        <v>18.12089852</v>
      </c>
      <c r="R67" s="20" t="n">
        <v>2.09294353</v>
      </c>
    </row>
    <row r="68" spans="1:18">
      <c r="A68" s="15" t="s">
        <v>492</v>
      </c>
      <c r="B68" s="17" t="n">
        <v>6049</v>
      </c>
      <c r="C68" s="18">
        <f>(5048.0/B68*100)</f>
        <v/>
      </c>
      <c r="D68" s="19" t="n">
        <v>1001</v>
      </c>
      <c r="E68" s="18" t="n">
        <v>57.79160668</v>
      </c>
      <c r="F68" s="20" t="n">
        <v>1.5998396</v>
      </c>
      <c r="G68" s="18" t="n">
        <v>19.98184898</v>
      </c>
      <c r="H68" s="20" t="n">
        <v>1.31553441</v>
      </c>
      <c r="I68" s="18" t="s">
        <v>431</v>
      </c>
      <c r="J68" s="20" t="s">
        <v>431</v>
      </c>
      <c r="K68" s="18" t="n">
        <v>1.61243638</v>
      </c>
      <c r="L68" s="20" t="n">
        <v>0.4102318</v>
      </c>
      <c r="M68" s="18" t="n">
        <v>0</v>
      </c>
      <c r="N68" s="20" t="n">
        <v>0</v>
      </c>
      <c r="O68" s="18" t="n">
        <v>0</v>
      </c>
      <c r="P68" s="20" t="n">
        <v>0</v>
      </c>
      <c r="Q68" s="18" t="n">
        <v>20.61410796</v>
      </c>
      <c r="R68" s="20" t="n">
        <v>1.19256847</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(2591.0/B70*100)</f>
        <v/>
      </c>
      <c r="D70" s="19" t="n">
        <v>338</v>
      </c>
      <c r="E70" s="18" t="n">
        <v>55.15970351</v>
      </c>
      <c r="F70" s="20" t="n">
        <v>2.30586774</v>
      </c>
      <c r="G70" s="18" t="n">
        <v>40.62696727</v>
      </c>
      <c r="H70" s="20" t="n">
        <v>2.37554277</v>
      </c>
      <c r="I70" s="18" t="s">
        <v>431</v>
      </c>
      <c r="J70" s="20" t="s">
        <v>431</v>
      </c>
      <c r="K70" s="18" t="n">
        <v>0.21768055</v>
      </c>
      <c r="L70" s="20" t="n">
        <v>0.21874906</v>
      </c>
      <c r="M70" s="18" t="n">
        <v>0</v>
      </c>
      <c r="N70" s="20" t="n">
        <v>0</v>
      </c>
      <c r="O70" s="18" t="n">
        <v>0</v>
      </c>
      <c r="P70" s="20" t="n">
        <v>0</v>
      </c>
      <c r="Q70" s="18" t="n">
        <v>3.99564867</v>
      </c>
      <c r="R70" s="20" t="n">
        <v>1.10379479</v>
      </c>
    </row>
    <row r="71" spans="1:18">
      <c r="A71" s="15" t="s">
        <v>495</v>
      </c>
      <c r="B71" s="17" t="n">
        <v>3142</v>
      </c>
      <c r="C71" s="18">
        <f>(2756.0/B71*100)</f>
        <v/>
      </c>
      <c r="D71" s="19" t="n">
        <v>386</v>
      </c>
      <c r="E71" s="18" t="n">
        <v>40.75804881</v>
      </c>
      <c r="F71" s="20" t="n">
        <v>2.65422459</v>
      </c>
      <c r="G71" s="18" t="n">
        <v>56.04212595</v>
      </c>
      <c r="H71" s="20" t="n">
        <v>2.73260654</v>
      </c>
      <c r="I71" s="18" t="s">
        <v>431</v>
      </c>
      <c r="J71" s="20" t="s">
        <v>431</v>
      </c>
      <c r="K71" s="18" t="n">
        <v>0.50472472</v>
      </c>
      <c r="L71" s="20" t="n">
        <v>0.35696221</v>
      </c>
      <c r="M71" s="18" t="n">
        <v>0</v>
      </c>
      <c r="N71" s="20" t="n">
        <v>0</v>
      </c>
      <c r="O71" s="18" t="n">
        <v>0</v>
      </c>
      <c r="P71" s="20" t="n">
        <v>0</v>
      </c>
      <c r="Q71" s="18" t="n">
        <v>2.69510052</v>
      </c>
      <c r="R71" s="20" t="n">
        <v>0.82750525</v>
      </c>
    </row>
    <row r="72" spans="1:18">
      <c r="A72" s="15" t="s">
        <v>496</v>
      </c>
      <c r="B72" s="17" t="n">
        <v>3889</v>
      </c>
      <c r="C72" s="18">
        <f>(3402.0/B72*100)</f>
        <v/>
      </c>
      <c r="D72" s="19" t="n">
        <v>487</v>
      </c>
      <c r="E72" s="18" t="n">
        <v>46.81085514</v>
      </c>
      <c r="F72" s="20" t="n">
        <v>2.25754621</v>
      </c>
      <c r="G72" s="18" t="n">
        <v>45.61014161</v>
      </c>
      <c r="H72" s="20" t="n">
        <v>2.31956025</v>
      </c>
      <c r="I72" s="18" t="s">
        <v>431</v>
      </c>
      <c r="J72" s="20" t="s">
        <v>431</v>
      </c>
      <c r="K72" s="18" t="n">
        <v>0.16166453</v>
      </c>
      <c r="L72" s="20" t="n">
        <v>0.16163413</v>
      </c>
      <c r="M72" s="18" t="n">
        <v>0</v>
      </c>
      <c r="N72" s="20" t="n">
        <v>0</v>
      </c>
      <c r="O72" s="18" t="n">
        <v>0</v>
      </c>
      <c r="P72" s="20" t="n">
        <v>0</v>
      </c>
      <c r="Q72" s="18" t="n">
        <v>7.41733872</v>
      </c>
      <c r="R72" s="20" t="n">
        <v>1.07626748</v>
      </c>
    </row>
    <row r="73" spans="1:18">
      <c r="A73" s="15" t="s">
        <v>497</v>
      </c>
      <c r="B73" s="17" t="n">
        <v>3597</v>
      </c>
      <c r="C73" s="18">
        <f>(3180.0/B73*100)</f>
        <v/>
      </c>
      <c r="D73" s="19" t="n">
        <v>417</v>
      </c>
      <c r="E73" s="18" t="n">
        <v>71.99510435000001</v>
      </c>
      <c r="F73" s="20" t="n">
        <v>2.40227124</v>
      </c>
      <c r="G73" s="18" t="n">
        <v>23.21650336</v>
      </c>
      <c r="H73" s="20" t="n">
        <v>2.57806069</v>
      </c>
      <c r="I73" s="18" t="s">
        <v>431</v>
      </c>
      <c r="J73" s="20" t="s">
        <v>431</v>
      </c>
      <c r="K73" s="18" t="n">
        <v>0</v>
      </c>
      <c r="L73" s="20" t="n">
        <v>0</v>
      </c>
      <c r="M73" s="18" t="n">
        <v>0.6430452</v>
      </c>
      <c r="N73" s="20" t="n">
        <v>0.5952082400000001</v>
      </c>
      <c r="O73" s="18" t="n">
        <v>0</v>
      </c>
      <c r="P73" s="20" t="n">
        <v>0</v>
      </c>
      <c r="Q73" s="18" t="n">
        <v>4.1453471</v>
      </c>
      <c r="R73" s="20" t="n">
        <v>1.02043523</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(2129.0/B75*100)</f>
        <v/>
      </c>
      <c r="D75" s="19" t="n">
        <v>277</v>
      </c>
      <c r="E75" s="18" t="n">
        <v>53.84609489</v>
      </c>
      <c r="F75" s="20" t="n">
        <v>3.24209463</v>
      </c>
      <c r="G75" s="18" t="n">
        <v>22.57346606</v>
      </c>
      <c r="H75" s="20" t="n">
        <v>2.55943823</v>
      </c>
      <c r="I75" s="18" t="s">
        <v>431</v>
      </c>
      <c r="J75" s="20" t="s">
        <v>431</v>
      </c>
      <c r="K75" s="18" t="n">
        <v>0.71813977</v>
      </c>
      <c r="L75" s="20" t="n">
        <v>0.42261032</v>
      </c>
      <c r="M75" s="18" t="n">
        <v>0.8132706200000001</v>
      </c>
      <c r="N75" s="20" t="n">
        <v>0.58733207</v>
      </c>
      <c r="O75" s="18" t="n">
        <v>0</v>
      </c>
      <c r="P75" s="20" t="n">
        <v>0</v>
      </c>
      <c r="Q75" s="18" t="n">
        <v>22.04902866</v>
      </c>
      <c r="R75" s="20" t="n">
        <v>3.06241974</v>
      </c>
    </row>
    <row r="76" spans="1:18">
      <c r="A76" s="15" t="s">
        <v>500</v>
      </c>
      <c r="B76" s="17" t="n">
        <v>7052</v>
      </c>
      <c r="C76" s="18">
        <f>(6183.0/B76*100)</f>
        <v/>
      </c>
      <c r="D76" s="19" t="n">
        <v>869</v>
      </c>
      <c r="E76" s="18" t="n">
        <v>60.53959496</v>
      </c>
      <c r="F76" s="20" t="n">
        <v>2.00872988</v>
      </c>
      <c r="G76" s="18" t="n">
        <v>27.8156336</v>
      </c>
      <c r="H76" s="20" t="n">
        <v>1.91519099</v>
      </c>
      <c r="I76" s="18" t="s">
        <v>431</v>
      </c>
      <c r="J76" s="20" t="s">
        <v>431</v>
      </c>
      <c r="K76" s="18" t="n">
        <v>0.6639462900000001</v>
      </c>
      <c r="L76" s="20" t="n">
        <v>0.3365937</v>
      </c>
      <c r="M76" s="18" t="n">
        <v>0.17666081</v>
      </c>
      <c r="N76" s="20" t="n">
        <v>0.17569239</v>
      </c>
      <c r="O76" s="18" t="n">
        <v>0</v>
      </c>
      <c r="P76" s="20" t="n">
        <v>0</v>
      </c>
      <c r="Q76" s="18" t="n">
        <v>10.80416434</v>
      </c>
      <c r="R76" s="20" t="n">
        <v>1.16888577</v>
      </c>
    </row>
    <row r="77" spans="1:18">
      <c r="A77" s="15" t="s">
        <v>501</v>
      </c>
      <c r="B77" s="17" t="n">
        <v>2908</v>
      </c>
      <c r="C77" s="18">
        <f>(2572.0/B77*100)</f>
        <v/>
      </c>
      <c r="D77" s="19" t="n">
        <v>336</v>
      </c>
      <c r="E77" s="18" t="n">
        <v>40.65763602</v>
      </c>
      <c r="F77" s="20" t="n">
        <v>2.70600739</v>
      </c>
      <c r="G77" s="18" t="n">
        <v>23.45623798</v>
      </c>
      <c r="H77" s="20" t="n">
        <v>2.48147848</v>
      </c>
      <c r="I77" s="18" t="s">
        <v>431</v>
      </c>
      <c r="J77" s="20" t="s">
        <v>431</v>
      </c>
      <c r="K77" s="18" t="n">
        <v>0.96977361</v>
      </c>
      <c r="L77" s="20" t="n">
        <v>0.5841442</v>
      </c>
      <c r="M77" s="18" t="n">
        <v>0</v>
      </c>
      <c r="N77" s="20" t="n">
        <v>0</v>
      </c>
      <c r="O77" s="18" t="n">
        <v>0</v>
      </c>
      <c r="P77" s="20" t="n">
        <v>0</v>
      </c>
      <c r="Q77" s="18" t="n">
        <v>34.91635239</v>
      </c>
      <c r="R77" s="20" t="n">
        <v>2.93343343</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(3654.0/B81*100)</f>
        <v/>
      </c>
      <c r="D81" s="19" t="n">
        <v>509</v>
      </c>
      <c r="E81" s="18" t="n">
        <v>55.33309414</v>
      </c>
      <c r="F81" s="20" t="n">
        <v>2.62070419</v>
      </c>
      <c r="G81" s="18" t="n">
        <v>39.26156988</v>
      </c>
      <c r="H81" s="20" t="n">
        <v>2.85237908</v>
      </c>
      <c r="I81" s="18" t="s">
        <v>431</v>
      </c>
      <c r="J81" s="20" t="s">
        <v>431</v>
      </c>
      <c r="K81" s="18" t="n">
        <v>0.24533475</v>
      </c>
      <c r="L81" s="20" t="n">
        <v>0.24431003</v>
      </c>
      <c r="M81" s="18" t="n">
        <v>0</v>
      </c>
      <c r="N81" s="20" t="n">
        <v>0</v>
      </c>
      <c r="O81" s="18" t="n">
        <v>0</v>
      </c>
      <c r="P81" s="20" t="n">
        <v>0</v>
      </c>
      <c r="Q81" s="18" t="n">
        <v>5.16000122</v>
      </c>
      <c r="R81" s="20" t="n">
        <v>1.17100359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(6471.0/B7*100)</f>
        <v/>
      </c>
      <c r="D7" s="19" t="n">
        <v>896</v>
      </c>
      <c r="E7" s="18" t="n">
        <v>91.11886812</v>
      </c>
      <c r="F7" s="20" t="n">
        <v>1.15604724</v>
      </c>
      <c r="G7" s="18" t="n">
        <v>7.70414796</v>
      </c>
      <c r="H7" s="20" t="n">
        <v>1.09333796</v>
      </c>
      <c r="I7" s="18" t="s">
        <v>431</v>
      </c>
      <c r="J7" s="20" t="s">
        <v>431</v>
      </c>
      <c r="K7" s="18" t="n">
        <v>0.24997552</v>
      </c>
      <c r="L7" s="20" t="n">
        <v>0.17111363</v>
      </c>
      <c r="M7" s="18" t="n">
        <v>0</v>
      </c>
      <c r="N7" s="20" t="n">
        <v>0</v>
      </c>
      <c r="O7" s="18" t="n">
        <v>0</v>
      </c>
      <c r="P7" s="20" t="n">
        <v>0</v>
      </c>
      <c r="Q7" s="18" t="n">
        <v>0.9270084</v>
      </c>
      <c r="R7" s="20" t="n">
        <v>0.33370245</v>
      </c>
    </row>
    <row r="8" spans="1:18">
      <c r="A8" s="15" t="s">
        <v>432</v>
      </c>
      <c r="B8" s="17" t="n">
        <v>3564</v>
      </c>
      <c r="C8" s="18">
        <f>(3088.0/B8*100)</f>
        <v/>
      </c>
      <c r="D8" s="19" t="n">
        <v>476</v>
      </c>
      <c r="E8" s="18" t="n">
        <v>84.11864829</v>
      </c>
      <c r="F8" s="20" t="n">
        <v>1.72734707</v>
      </c>
      <c r="G8" s="18" t="n">
        <v>15.16365037</v>
      </c>
      <c r="H8" s="20" t="n">
        <v>1.67493436</v>
      </c>
      <c r="I8" s="18" t="s">
        <v>431</v>
      </c>
      <c r="J8" s="20" t="s">
        <v>431</v>
      </c>
      <c r="K8" s="18" t="n">
        <v>0</v>
      </c>
      <c r="L8" s="20" t="n">
        <v>0</v>
      </c>
      <c r="M8" s="18" t="n">
        <v>0</v>
      </c>
      <c r="N8" s="20" t="n">
        <v>0</v>
      </c>
      <c r="O8" s="18" t="n">
        <v>0</v>
      </c>
      <c r="P8" s="20" t="n">
        <v>0</v>
      </c>
      <c r="Q8" s="18" t="n">
        <v>0.71770133</v>
      </c>
      <c r="R8" s="20" t="n">
        <v>0.3851345</v>
      </c>
    </row>
    <row r="9" spans="1:18">
      <c r="A9" s="15" t="s">
        <v>433</v>
      </c>
      <c r="B9" s="17" t="n">
        <v>4899</v>
      </c>
      <c r="C9" s="18">
        <f>(4298.0/B9*100)</f>
        <v/>
      </c>
      <c r="D9" s="19" t="n">
        <v>601</v>
      </c>
      <c r="E9" s="18" t="n">
        <v>76.96083099000001</v>
      </c>
      <c r="F9" s="20" t="n">
        <v>1.90097872</v>
      </c>
      <c r="G9" s="18" t="n">
        <v>21.46940507</v>
      </c>
      <c r="H9" s="20" t="n">
        <v>1.905019</v>
      </c>
      <c r="I9" s="18" t="s">
        <v>431</v>
      </c>
      <c r="J9" s="20" t="s">
        <v>431</v>
      </c>
      <c r="K9" s="18" t="n">
        <v>0</v>
      </c>
      <c r="L9" s="20" t="n">
        <v>0</v>
      </c>
      <c r="M9" s="18" t="n">
        <v>0</v>
      </c>
      <c r="N9" s="20" t="n">
        <v>0</v>
      </c>
      <c r="O9" s="18" t="n">
        <v>0</v>
      </c>
      <c r="P9" s="20" t="n">
        <v>0</v>
      </c>
      <c r="Q9" s="18" t="n">
        <v>1.56976394</v>
      </c>
      <c r="R9" s="20" t="n">
        <v>0.4907335</v>
      </c>
    </row>
    <row r="10" spans="1:18">
      <c r="A10" s="15" t="s">
        <v>434</v>
      </c>
      <c r="B10" s="17" t="n">
        <v>10036</v>
      </c>
      <c r="C10" s="18">
        <f>(8771.0/B10*100)</f>
        <v/>
      </c>
      <c r="D10" s="19" t="n">
        <v>1265</v>
      </c>
      <c r="E10" s="18" t="n">
        <v>89.14483737</v>
      </c>
      <c r="F10" s="20" t="n">
        <v>1.38765558</v>
      </c>
      <c r="G10" s="18" t="n">
        <v>9.501877840000001</v>
      </c>
      <c r="H10" s="20" t="n">
        <v>1.33727635</v>
      </c>
      <c r="I10" s="18" t="s">
        <v>431</v>
      </c>
      <c r="J10" s="20" t="s">
        <v>431</v>
      </c>
      <c r="K10" s="18" t="n">
        <v>0.50076371</v>
      </c>
      <c r="L10" s="20" t="n">
        <v>0.306824</v>
      </c>
      <c r="M10" s="18" t="n">
        <v>0</v>
      </c>
      <c r="N10" s="20" t="n">
        <v>0</v>
      </c>
      <c r="O10" s="18" t="n">
        <v>0</v>
      </c>
      <c r="P10" s="20" t="n">
        <v>0</v>
      </c>
      <c r="Q10" s="18" t="n">
        <v>0.85252108</v>
      </c>
      <c r="R10" s="20" t="n">
        <v>0.35543477</v>
      </c>
    </row>
    <row r="11" spans="1:18">
      <c r="A11" s="15" t="s">
        <v>435</v>
      </c>
      <c r="B11" s="17" t="n">
        <v>3553</v>
      </c>
      <c r="C11" s="18">
        <f>(3105.0/B11*100)</f>
        <v/>
      </c>
      <c r="D11" s="19" t="n">
        <v>448</v>
      </c>
      <c r="E11" s="18" t="n">
        <v>93.17651309</v>
      </c>
      <c r="F11" s="20" t="n">
        <v>1.32132156</v>
      </c>
      <c r="G11" s="18" t="n">
        <v>5.80431341</v>
      </c>
      <c r="H11" s="20" t="n">
        <v>1.26051099</v>
      </c>
      <c r="I11" s="18" t="s">
        <v>431</v>
      </c>
      <c r="J11" s="20" t="s">
        <v>431</v>
      </c>
      <c r="K11" s="18" t="n">
        <v>0.19496422</v>
      </c>
      <c r="L11" s="20" t="n">
        <v>0.18046201</v>
      </c>
      <c r="M11" s="18" t="n">
        <v>0</v>
      </c>
      <c r="N11" s="20" t="n">
        <v>0</v>
      </c>
      <c r="O11" s="18" t="n">
        <v>0</v>
      </c>
      <c r="P11" s="20" t="n">
        <v>0</v>
      </c>
      <c r="Q11" s="18" t="n">
        <v>0.82420929</v>
      </c>
      <c r="R11" s="20" t="n">
        <v>0.45949339</v>
      </c>
    </row>
    <row r="12" spans="1:18">
      <c r="A12" s="15" t="s">
        <v>436</v>
      </c>
      <c r="B12" s="17" t="n">
        <v>3472</v>
      </c>
      <c r="C12" s="18">
        <f>(3056.0/B12*100)</f>
        <v/>
      </c>
      <c r="D12" s="19" t="n">
        <v>416</v>
      </c>
      <c r="E12" s="18" t="n">
        <v>89.84400942000001</v>
      </c>
      <c r="F12" s="20" t="n">
        <v>1.83122457</v>
      </c>
      <c r="G12" s="18" t="n">
        <v>8.5185531</v>
      </c>
      <c r="H12" s="20" t="n">
        <v>1.67509926</v>
      </c>
      <c r="I12" s="18" t="s">
        <v>431</v>
      </c>
      <c r="J12" s="20" t="s">
        <v>431</v>
      </c>
      <c r="K12" s="18" t="n">
        <v>0</v>
      </c>
      <c r="L12" s="20" t="n">
        <v>0</v>
      </c>
      <c r="M12" s="18" t="n">
        <v>0</v>
      </c>
      <c r="N12" s="20" t="n">
        <v>0</v>
      </c>
      <c r="O12" s="18" t="n">
        <v>0</v>
      </c>
      <c r="P12" s="20" t="n">
        <v>0</v>
      </c>
      <c r="Q12" s="18" t="n">
        <v>1.63743748</v>
      </c>
      <c r="R12" s="20" t="n">
        <v>0.82767412</v>
      </c>
    </row>
    <row r="13" spans="1:18">
      <c r="A13" s="15" t="s">
        <v>437</v>
      </c>
      <c r="B13" s="17" t="n">
        <v>3559</v>
      </c>
      <c r="C13" s="18">
        <f>(3145.0/B13*100)</f>
        <v/>
      </c>
      <c r="D13" s="19" t="n">
        <v>414</v>
      </c>
      <c r="E13" s="18" t="n">
        <v>90.90083713</v>
      </c>
      <c r="F13" s="20" t="n">
        <v>1.63915958</v>
      </c>
      <c r="G13" s="18" t="n">
        <v>8.07410739</v>
      </c>
      <c r="H13" s="20" t="n">
        <v>1.61780501</v>
      </c>
      <c r="I13" s="18" t="s">
        <v>431</v>
      </c>
      <c r="J13" s="20" t="s">
        <v>431</v>
      </c>
      <c r="K13" s="18" t="n">
        <v>0.5045564</v>
      </c>
      <c r="L13" s="20" t="n">
        <v>0.35926485</v>
      </c>
      <c r="M13" s="18" t="n">
        <v>0</v>
      </c>
      <c r="N13" s="20" t="n">
        <v>0</v>
      </c>
      <c r="O13" s="18" t="n">
        <v>0</v>
      </c>
      <c r="P13" s="20" t="n">
        <v>0</v>
      </c>
      <c r="Q13" s="18" t="n">
        <v>0.52049908</v>
      </c>
      <c r="R13" s="20" t="n">
        <v>0.35070185</v>
      </c>
    </row>
    <row r="14" spans="1:18">
      <c r="A14" s="15" t="s">
        <v>438</v>
      </c>
      <c r="B14" s="17" t="n">
        <v>2799</v>
      </c>
      <c r="C14" s="18">
        <f>(2456.0/B14*100)</f>
        <v/>
      </c>
      <c r="D14" s="19" t="n">
        <v>343</v>
      </c>
      <c r="E14" s="18" t="n">
        <v>76.40121976</v>
      </c>
      <c r="F14" s="20" t="n">
        <v>2.31459466</v>
      </c>
      <c r="G14" s="18" t="n">
        <v>23.59878024</v>
      </c>
      <c r="H14" s="20" t="n">
        <v>2.31459466</v>
      </c>
      <c r="I14" s="18" t="s">
        <v>431</v>
      </c>
      <c r="J14" s="20" t="s">
        <v>431</v>
      </c>
      <c r="K14" s="18" t="n">
        <v>0</v>
      </c>
      <c r="L14" s="20" t="n">
        <v>0</v>
      </c>
      <c r="M14" s="18" t="n">
        <v>0</v>
      </c>
      <c r="N14" s="20" t="n">
        <v>0</v>
      </c>
      <c r="O14" s="18" t="n">
        <v>0</v>
      </c>
      <c r="P14" s="20" t="n">
        <v>0</v>
      </c>
      <c r="Q14" s="18" t="n">
        <v>0</v>
      </c>
      <c r="R14" s="20" t="n">
        <v>0</v>
      </c>
    </row>
    <row r="15" spans="1:18">
      <c r="A15" s="15" t="s">
        <v>439</v>
      </c>
      <c r="B15" s="17" t="n">
        <v>3019</v>
      </c>
      <c r="C15" s="18">
        <f>(2648.0/B15*100)</f>
        <v/>
      </c>
      <c r="D15" s="19" t="n">
        <v>371</v>
      </c>
      <c r="E15" s="18" t="n">
        <v>86.63946424</v>
      </c>
      <c r="F15" s="20" t="n">
        <v>2.08273718</v>
      </c>
      <c r="G15" s="18" t="n">
        <v>12.5856286</v>
      </c>
      <c r="H15" s="20" t="n">
        <v>2.03564547</v>
      </c>
      <c r="I15" s="18" t="s">
        <v>431</v>
      </c>
      <c r="J15" s="20" t="s">
        <v>431</v>
      </c>
      <c r="K15" s="18" t="n">
        <v>0.2505041</v>
      </c>
      <c r="L15" s="20" t="n">
        <v>0.25144761</v>
      </c>
      <c r="M15" s="18" t="n">
        <v>0</v>
      </c>
      <c r="N15" s="20" t="n">
        <v>0</v>
      </c>
      <c r="O15" s="18" t="n">
        <v>0</v>
      </c>
      <c r="P15" s="20" t="n">
        <v>0</v>
      </c>
      <c r="Q15" s="18" t="n">
        <v>0.52440307</v>
      </c>
      <c r="R15" s="20" t="n">
        <v>0.3851368</v>
      </c>
    </row>
    <row r="16" spans="1:18">
      <c r="A16" s="15" t="s">
        <v>440</v>
      </c>
      <c r="B16" s="17" t="n">
        <v>2997</v>
      </c>
      <c r="C16" s="18">
        <f>(2637.0/B16*100)</f>
        <v/>
      </c>
      <c r="D16" s="19" t="n">
        <v>360</v>
      </c>
      <c r="E16" s="18" t="n">
        <v>81.14959481</v>
      </c>
      <c r="F16" s="20" t="n">
        <v>1.87184545</v>
      </c>
      <c r="G16" s="18" t="n">
        <v>15.56988211</v>
      </c>
      <c r="H16" s="20" t="n">
        <v>1.89696474</v>
      </c>
      <c r="I16" s="18" t="s">
        <v>431</v>
      </c>
      <c r="J16" s="20" t="s">
        <v>431</v>
      </c>
      <c r="K16" s="18" t="n">
        <v>1.01380115</v>
      </c>
      <c r="L16" s="20" t="n">
        <v>0.60482103</v>
      </c>
      <c r="M16" s="18" t="n">
        <v>0</v>
      </c>
      <c r="N16" s="20" t="n">
        <v>0</v>
      </c>
      <c r="O16" s="18" t="n">
        <v>0</v>
      </c>
      <c r="P16" s="20" t="n">
        <v>0</v>
      </c>
      <c r="Q16" s="18" t="n">
        <v>2.26672193</v>
      </c>
      <c r="R16" s="20" t="n">
        <v>0.80571775</v>
      </c>
    </row>
    <row r="17" spans="1:18">
      <c r="A17" s="15" t="s">
        <v>441</v>
      </c>
      <c r="B17" s="17" t="n">
        <v>3307</v>
      </c>
      <c r="C17" s="18">
        <f>(2906.0/B17*100)</f>
        <v/>
      </c>
      <c r="D17" s="19" t="n">
        <v>401</v>
      </c>
      <c r="E17" s="18" t="n">
        <v>80.63523764999999</v>
      </c>
      <c r="F17" s="20" t="n">
        <v>1.96839529</v>
      </c>
      <c r="G17" s="18" t="n">
        <v>17.09993294</v>
      </c>
      <c r="H17" s="20" t="n">
        <v>1.9453093</v>
      </c>
      <c r="I17" s="18" t="s">
        <v>431</v>
      </c>
      <c r="J17" s="20" t="s">
        <v>431</v>
      </c>
      <c r="K17" s="18" t="n">
        <v>0.29449246</v>
      </c>
      <c r="L17" s="20" t="n">
        <v>0.29240014</v>
      </c>
      <c r="M17" s="18" t="n">
        <v>0</v>
      </c>
      <c r="N17" s="20" t="n">
        <v>0</v>
      </c>
      <c r="O17" s="18" t="n">
        <v>0</v>
      </c>
      <c r="P17" s="20" t="n">
        <v>0</v>
      </c>
      <c r="Q17" s="18" t="n">
        <v>1.97033695</v>
      </c>
      <c r="R17" s="20" t="n">
        <v>0.73272205</v>
      </c>
    </row>
    <row r="18" spans="1:18">
      <c r="A18" s="15" t="s">
        <v>442</v>
      </c>
      <c r="B18" s="17" t="n">
        <v>2826</v>
      </c>
      <c r="C18" s="18">
        <f>(2482.0/B18*100)</f>
        <v/>
      </c>
      <c r="D18" s="19" t="n">
        <v>344</v>
      </c>
      <c r="E18" s="18" t="n">
        <v>83.81888436</v>
      </c>
      <c r="F18" s="20" t="n">
        <v>2.17666738</v>
      </c>
      <c r="G18" s="18" t="n">
        <v>12.56678491</v>
      </c>
      <c r="H18" s="20" t="n">
        <v>1.87236091</v>
      </c>
      <c r="I18" s="18" t="s">
        <v>431</v>
      </c>
      <c r="J18" s="20" t="s">
        <v>431</v>
      </c>
      <c r="K18" s="18" t="n">
        <v>0.14693927</v>
      </c>
      <c r="L18" s="20" t="n">
        <v>0.14770791</v>
      </c>
      <c r="M18" s="18" t="n">
        <v>0</v>
      </c>
      <c r="N18" s="20" t="n">
        <v>0</v>
      </c>
      <c r="O18" s="18" t="n">
        <v>0</v>
      </c>
      <c r="P18" s="20" t="n">
        <v>0</v>
      </c>
      <c r="Q18" s="18" t="n">
        <v>3.46739146</v>
      </c>
      <c r="R18" s="20" t="n">
        <v>1.14281091</v>
      </c>
    </row>
    <row r="19" spans="1:18">
      <c r="A19" s="15" t="s">
        <v>443</v>
      </c>
      <c r="B19" s="17" t="n">
        <v>2808</v>
      </c>
      <c r="C19" s="18">
        <f>(2459.0/B19*100)</f>
        <v/>
      </c>
      <c r="D19" s="19" t="n">
        <v>349</v>
      </c>
      <c r="E19" s="18" t="n">
        <v>88.70711803</v>
      </c>
      <c r="F19" s="20" t="n">
        <v>1.79705628</v>
      </c>
      <c r="G19" s="18" t="n">
        <v>10.04853572</v>
      </c>
      <c r="H19" s="20" t="n">
        <v>1.64787416</v>
      </c>
      <c r="I19" s="18" t="s">
        <v>431</v>
      </c>
      <c r="J19" s="20" t="s">
        <v>431</v>
      </c>
      <c r="K19" s="18" t="n">
        <v>0</v>
      </c>
      <c r="L19" s="20" t="n">
        <v>0</v>
      </c>
      <c r="M19" s="18" t="n">
        <v>0</v>
      </c>
      <c r="N19" s="20" t="n">
        <v>0</v>
      </c>
      <c r="O19" s="18" t="n">
        <v>0</v>
      </c>
      <c r="P19" s="20" t="n">
        <v>0</v>
      </c>
      <c r="Q19" s="18" t="n">
        <v>1.24434625</v>
      </c>
      <c r="R19" s="20" t="n">
        <v>0.87471232</v>
      </c>
    </row>
    <row r="20" spans="1:18">
      <c r="A20" s="15" t="s">
        <v>444</v>
      </c>
      <c r="B20" s="17" t="n">
        <v>1630</v>
      </c>
      <c r="C20" s="18">
        <f>(1434.0/B20*100)</f>
        <v/>
      </c>
      <c r="D20" s="19" t="n">
        <v>196</v>
      </c>
      <c r="E20" s="18" t="n">
        <v>89.82452431</v>
      </c>
      <c r="F20" s="20" t="n">
        <v>2.08688355</v>
      </c>
      <c r="G20" s="18" t="n">
        <v>7.22701591</v>
      </c>
      <c r="H20" s="20" t="n">
        <v>1.7889</v>
      </c>
      <c r="I20" s="18" t="s">
        <v>431</v>
      </c>
      <c r="J20" s="20" t="s">
        <v>431</v>
      </c>
      <c r="K20" s="18" t="n">
        <v>0.58157203</v>
      </c>
      <c r="L20" s="20" t="n">
        <v>0.58935858</v>
      </c>
      <c r="M20" s="18" t="n">
        <v>0</v>
      </c>
      <c r="N20" s="20" t="n">
        <v>0</v>
      </c>
      <c r="O20" s="18" t="n">
        <v>0</v>
      </c>
      <c r="P20" s="20" t="n">
        <v>0</v>
      </c>
      <c r="Q20" s="18" t="n">
        <v>2.36688775</v>
      </c>
      <c r="R20" s="20" t="n">
        <v>1.0538759</v>
      </c>
    </row>
    <row r="21" spans="1:18">
      <c r="A21" s="15" t="s">
        <v>445</v>
      </c>
      <c r="B21" s="17" t="n">
        <v>2908</v>
      </c>
      <c r="C21" s="18">
        <f>(2417.0/B21*100)</f>
        <v/>
      </c>
      <c r="D21" s="19" t="n">
        <v>491</v>
      </c>
      <c r="E21" s="18" t="n">
        <v>92.67764505</v>
      </c>
      <c r="F21" s="20" t="n">
        <v>1.19462372</v>
      </c>
      <c r="G21" s="18" t="n">
        <v>7.32235495</v>
      </c>
      <c r="H21" s="20" t="n">
        <v>1.19462372</v>
      </c>
      <c r="I21" s="18" t="s">
        <v>431</v>
      </c>
      <c r="J21" s="20" t="s">
        <v>431</v>
      </c>
      <c r="K21" s="18" t="n">
        <v>0</v>
      </c>
      <c r="L21" s="20" t="n">
        <v>0</v>
      </c>
      <c r="M21" s="18" t="n">
        <v>0</v>
      </c>
      <c r="N21" s="20" t="n">
        <v>0</v>
      </c>
      <c r="O21" s="18" t="n">
        <v>0</v>
      </c>
      <c r="P21" s="20" t="n">
        <v>0</v>
      </c>
      <c r="Q21" s="18" t="n">
        <v>0</v>
      </c>
      <c r="R21" s="20" t="n">
        <v>0</v>
      </c>
    </row>
    <row r="22" spans="1:18">
      <c r="A22" s="15" t="s">
        <v>446</v>
      </c>
      <c r="B22" s="17" t="n">
        <v>2931</v>
      </c>
      <c r="C22" s="18">
        <f>(2563.0/B22*100)</f>
        <v/>
      </c>
      <c r="D22" s="19" t="n">
        <v>368</v>
      </c>
      <c r="E22" s="18" t="n">
        <v>80.21710331</v>
      </c>
      <c r="F22" s="20" t="n">
        <v>2.27244405</v>
      </c>
      <c r="G22" s="18" t="n">
        <v>16.79278704</v>
      </c>
      <c r="H22" s="20" t="n">
        <v>1.94692006</v>
      </c>
      <c r="I22" s="18" t="s">
        <v>431</v>
      </c>
      <c r="J22" s="20" t="s">
        <v>431</v>
      </c>
      <c r="K22" s="18" t="n">
        <v>0.65622914</v>
      </c>
      <c r="L22" s="20" t="n">
        <v>0.48076468</v>
      </c>
      <c r="M22" s="18" t="n">
        <v>0</v>
      </c>
      <c r="N22" s="20" t="n">
        <v>0</v>
      </c>
      <c r="O22" s="18" t="n">
        <v>0</v>
      </c>
      <c r="P22" s="20" t="n">
        <v>0</v>
      </c>
      <c r="Q22" s="18" t="n">
        <v>2.33388052</v>
      </c>
      <c r="R22" s="20" t="n">
        <v>0.81596566</v>
      </c>
    </row>
    <row r="23" spans="1:18">
      <c r="A23" s="15" t="s">
        <v>447</v>
      </c>
      <c r="B23" s="17" t="n">
        <v>5791</v>
      </c>
      <c r="C23" s="18">
        <f>(5034.0/B23*100)</f>
        <v/>
      </c>
      <c r="D23" s="19" t="n">
        <v>757</v>
      </c>
      <c r="E23" s="18" t="n">
        <v>84.37503988</v>
      </c>
      <c r="F23" s="20" t="n">
        <v>1.97827236</v>
      </c>
      <c r="G23" s="18" t="n">
        <v>13.14586606</v>
      </c>
      <c r="H23" s="20" t="n">
        <v>1.74301934</v>
      </c>
      <c r="I23" s="18" t="s">
        <v>431</v>
      </c>
      <c r="J23" s="20" t="s">
        <v>431</v>
      </c>
      <c r="K23" s="18" t="n">
        <v>0</v>
      </c>
      <c r="L23" s="20" t="n">
        <v>0</v>
      </c>
      <c r="M23" s="18" t="n">
        <v>0</v>
      </c>
      <c r="N23" s="20" t="n">
        <v>0</v>
      </c>
      <c r="O23" s="18" t="n">
        <v>0</v>
      </c>
      <c r="P23" s="20" t="n">
        <v>0</v>
      </c>
      <c r="Q23" s="18" t="n">
        <v>2.47909406</v>
      </c>
      <c r="R23" s="20" t="n">
        <v>1.15400554</v>
      </c>
    </row>
    <row r="24" spans="1:18">
      <c r="A24" s="15" t="s">
        <v>448</v>
      </c>
      <c r="B24" s="17" t="n">
        <v>3338</v>
      </c>
      <c r="C24" s="18">
        <f>(2941.0/B24*100)</f>
        <v/>
      </c>
      <c r="D24" s="19" t="n">
        <v>397</v>
      </c>
      <c r="E24" s="18" t="n">
        <v>77.22142169999999</v>
      </c>
      <c r="F24" s="20" t="n">
        <v>1.94743234</v>
      </c>
      <c r="G24" s="18" t="n">
        <v>22.31992267</v>
      </c>
      <c r="H24" s="20" t="n">
        <v>1.94898462</v>
      </c>
      <c r="I24" s="18" t="s">
        <v>431</v>
      </c>
      <c r="J24" s="20" t="s">
        <v>431</v>
      </c>
      <c r="K24" s="18" t="n">
        <v>0</v>
      </c>
      <c r="L24" s="20" t="n">
        <v>0</v>
      </c>
      <c r="M24" s="18" t="n">
        <v>0</v>
      </c>
      <c r="N24" s="20" t="n">
        <v>0</v>
      </c>
      <c r="O24" s="18" t="n">
        <v>0</v>
      </c>
      <c r="P24" s="20" t="n">
        <v>0</v>
      </c>
      <c r="Q24" s="18" t="n">
        <v>0.45865563</v>
      </c>
      <c r="R24" s="20" t="n">
        <v>0.32632902</v>
      </c>
    </row>
    <row r="25" spans="1:18">
      <c r="A25" s="15" t="s">
        <v>449</v>
      </c>
      <c r="B25" s="17" t="n">
        <v>2912</v>
      </c>
      <c r="C25" s="18">
        <f>(2561.0/B25*100)</f>
        <v/>
      </c>
      <c r="D25" s="19" t="n">
        <v>351</v>
      </c>
      <c r="E25" s="18" t="n">
        <v>83.00476399999999</v>
      </c>
      <c r="F25" s="20" t="n">
        <v>1.89874862</v>
      </c>
      <c r="G25" s="18" t="n">
        <v>15.86260535</v>
      </c>
      <c r="H25" s="20" t="n">
        <v>1.78638504</v>
      </c>
      <c r="I25" s="18" t="s">
        <v>431</v>
      </c>
      <c r="J25" s="20" t="s">
        <v>431</v>
      </c>
      <c r="K25" s="18" t="n">
        <v>0.86251441</v>
      </c>
      <c r="L25" s="20" t="n">
        <v>0.50074527</v>
      </c>
      <c r="M25" s="18" t="n">
        <v>0</v>
      </c>
      <c r="N25" s="20" t="n">
        <v>0</v>
      </c>
      <c r="O25" s="18" t="n">
        <v>0</v>
      </c>
      <c r="P25" s="20" t="n">
        <v>0</v>
      </c>
      <c r="Q25" s="18" t="n">
        <v>0.27011624</v>
      </c>
      <c r="R25" s="20" t="n">
        <v>0.27004318</v>
      </c>
    </row>
    <row r="26" spans="1:18">
      <c r="A26" s="15" t="s">
        <v>450</v>
      </c>
      <c r="B26" s="17" t="n">
        <v>2450</v>
      </c>
      <c r="C26" s="18">
        <f>(2147.0/B26*100)</f>
        <v/>
      </c>
      <c r="D26" s="19" t="n">
        <v>303</v>
      </c>
      <c r="E26" s="18" t="n">
        <v>87.05080837</v>
      </c>
      <c r="F26" s="20" t="n">
        <v>2.04273802</v>
      </c>
      <c r="G26" s="18" t="n">
        <v>11.81736947</v>
      </c>
      <c r="H26" s="20" t="n">
        <v>1.9876421</v>
      </c>
      <c r="I26" s="18" t="s">
        <v>431</v>
      </c>
      <c r="J26" s="20" t="s">
        <v>431</v>
      </c>
      <c r="K26" s="18" t="n">
        <v>0</v>
      </c>
      <c r="L26" s="20" t="n">
        <v>0</v>
      </c>
      <c r="M26" s="18" t="n">
        <v>0</v>
      </c>
      <c r="N26" s="20" t="n">
        <v>0</v>
      </c>
      <c r="O26" s="18" t="n">
        <v>0</v>
      </c>
      <c r="P26" s="20" t="n">
        <v>0</v>
      </c>
      <c r="Q26" s="18" t="n">
        <v>1.13182216</v>
      </c>
      <c r="R26" s="20" t="n">
        <v>0.71009765</v>
      </c>
    </row>
    <row r="27" spans="1:18">
      <c r="A27" s="15" t="s">
        <v>451</v>
      </c>
      <c r="B27" s="17" t="n">
        <v>2616</v>
      </c>
      <c r="C27" s="18">
        <f>(2301.0/B27*100)</f>
        <v/>
      </c>
      <c r="D27" s="19" t="n">
        <v>315</v>
      </c>
      <c r="E27" s="18" t="n">
        <v>79.60125475</v>
      </c>
      <c r="F27" s="20" t="n">
        <v>2.37221813</v>
      </c>
      <c r="G27" s="18" t="n">
        <v>18.15527209</v>
      </c>
      <c r="H27" s="20" t="n">
        <v>2.17475882</v>
      </c>
      <c r="I27" s="18" t="s">
        <v>431</v>
      </c>
      <c r="J27" s="20" t="s">
        <v>431</v>
      </c>
      <c r="K27" s="18" t="n">
        <v>0.32661281</v>
      </c>
      <c r="L27" s="20" t="n">
        <v>0.32766159</v>
      </c>
      <c r="M27" s="18" t="n">
        <v>0</v>
      </c>
      <c r="N27" s="20" t="n">
        <v>0</v>
      </c>
      <c r="O27" s="18" t="n">
        <v>0</v>
      </c>
      <c r="P27" s="20" t="n">
        <v>0</v>
      </c>
      <c r="Q27" s="18" t="n">
        <v>1.91686035</v>
      </c>
      <c r="R27" s="20" t="n">
        <v>0.74731644</v>
      </c>
    </row>
    <row r="28" spans="1:18">
      <c r="A28" s="15" t="s">
        <v>452</v>
      </c>
      <c r="B28" s="17" t="n">
        <v>3765</v>
      </c>
      <c r="C28" s="18">
        <f>(3329.0/B28*100)</f>
        <v/>
      </c>
      <c r="D28" s="19" t="n">
        <v>436</v>
      </c>
      <c r="E28" s="18" t="n">
        <v>90.48424085000001</v>
      </c>
      <c r="F28" s="20" t="n">
        <v>1.53548746</v>
      </c>
      <c r="G28" s="18" t="n">
        <v>7.79553758</v>
      </c>
      <c r="H28" s="20" t="n">
        <v>1.42252571</v>
      </c>
      <c r="I28" s="18" t="s">
        <v>431</v>
      </c>
      <c r="J28" s="20" t="s">
        <v>431</v>
      </c>
      <c r="K28" s="18" t="n">
        <v>0.24252293</v>
      </c>
      <c r="L28" s="20" t="n">
        <v>0.24648353</v>
      </c>
      <c r="M28" s="18" t="n">
        <v>0</v>
      </c>
      <c r="N28" s="20" t="n">
        <v>0</v>
      </c>
      <c r="O28" s="18" t="n">
        <v>0</v>
      </c>
      <c r="P28" s="20" t="n">
        <v>0</v>
      </c>
      <c r="Q28" s="18" t="n">
        <v>1.47769864</v>
      </c>
      <c r="R28" s="20" t="n">
        <v>0.78273761</v>
      </c>
    </row>
    <row r="29" spans="1:18">
      <c r="A29" s="15" t="s">
        <v>453</v>
      </c>
      <c r="B29" s="17" t="n">
        <v>2685</v>
      </c>
      <c r="C29" s="18">
        <f>(2363.0/B29*100)</f>
        <v/>
      </c>
      <c r="D29" s="19" t="n">
        <v>322</v>
      </c>
      <c r="E29" s="18" t="n">
        <v>78.52450927</v>
      </c>
      <c r="F29" s="20" t="n">
        <v>2.39467296</v>
      </c>
      <c r="G29" s="18" t="n">
        <v>20.7557627</v>
      </c>
      <c r="H29" s="20" t="n">
        <v>2.3899731</v>
      </c>
      <c r="I29" s="18" t="s">
        <v>431</v>
      </c>
      <c r="J29" s="20" t="s">
        <v>431</v>
      </c>
      <c r="K29" s="18" t="n">
        <v>0.39799614</v>
      </c>
      <c r="L29" s="20" t="n">
        <v>0.39391798</v>
      </c>
      <c r="M29" s="18" t="n">
        <v>0</v>
      </c>
      <c r="N29" s="20" t="n">
        <v>0</v>
      </c>
      <c r="O29" s="18" t="n">
        <v>0</v>
      </c>
      <c r="P29" s="20" t="n">
        <v>0</v>
      </c>
      <c r="Q29" s="18" t="n">
        <v>0.3217319</v>
      </c>
      <c r="R29" s="20" t="n">
        <v>0.33900445</v>
      </c>
    </row>
    <row r="30" spans="1:18">
      <c r="A30" s="15" t="s">
        <v>454</v>
      </c>
      <c r="B30" s="17" t="n">
        <v>2263</v>
      </c>
      <c r="C30" s="18">
        <f>(1994.0/B30*100)</f>
        <v/>
      </c>
      <c r="D30" s="19" t="n">
        <v>269</v>
      </c>
      <c r="E30" s="18" t="n">
        <v>92.56074867</v>
      </c>
      <c r="F30" s="20" t="n">
        <v>1.5789903</v>
      </c>
      <c r="G30" s="18" t="n">
        <v>6.05792232</v>
      </c>
      <c r="H30" s="20" t="n">
        <v>1.49795616</v>
      </c>
      <c r="I30" s="18" t="s">
        <v>431</v>
      </c>
      <c r="J30" s="20" t="s">
        <v>431</v>
      </c>
      <c r="K30" s="18" t="n">
        <v>0</v>
      </c>
      <c r="L30" s="20" t="n">
        <v>0</v>
      </c>
      <c r="M30" s="18" t="n">
        <v>0</v>
      </c>
      <c r="N30" s="20" t="n">
        <v>0</v>
      </c>
      <c r="O30" s="18" t="n">
        <v>0</v>
      </c>
      <c r="P30" s="20" t="n">
        <v>0</v>
      </c>
      <c r="Q30" s="18" t="n">
        <v>1.38132901</v>
      </c>
      <c r="R30" s="20" t="n">
        <v>0.73655495</v>
      </c>
    </row>
    <row r="31" spans="1:18">
      <c r="A31" s="15" t="s">
        <v>455</v>
      </c>
      <c r="B31" s="17" t="n">
        <v>2750</v>
      </c>
      <c r="C31" s="18">
        <f>(2429.0/B31*100)</f>
        <v/>
      </c>
      <c r="D31" s="19" t="n">
        <v>321</v>
      </c>
      <c r="E31" s="18" t="n">
        <v>78.18953183000001</v>
      </c>
      <c r="F31" s="20" t="n">
        <v>2.06250379</v>
      </c>
      <c r="G31" s="18" t="n">
        <v>20.34691044</v>
      </c>
      <c r="H31" s="20" t="n">
        <v>1.99524688</v>
      </c>
      <c r="I31" s="18" t="s">
        <v>431</v>
      </c>
      <c r="J31" s="20" t="s">
        <v>431</v>
      </c>
      <c r="K31" s="18" t="n">
        <v>0</v>
      </c>
      <c r="L31" s="20" t="n">
        <v>0</v>
      </c>
      <c r="M31" s="18" t="n">
        <v>0</v>
      </c>
      <c r="N31" s="20" t="n">
        <v>0</v>
      </c>
      <c r="O31" s="18" t="n">
        <v>0</v>
      </c>
      <c r="P31" s="20" t="n">
        <v>0</v>
      </c>
      <c r="Q31" s="18" t="n">
        <v>1.46355773</v>
      </c>
      <c r="R31" s="20" t="n">
        <v>0.66093709</v>
      </c>
    </row>
    <row r="32" spans="1:18">
      <c r="A32" s="15" t="s">
        <v>456</v>
      </c>
      <c r="B32" s="17" t="n">
        <v>2269</v>
      </c>
      <c r="C32" s="18">
        <f>(1895.0/B32*100)</f>
        <v/>
      </c>
      <c r="D32" s="19" t="n">
        <v>374</v>
      </c>
      <c r="E32" s="18" t="n">
        <v>91.25845725000001</v>
      </c>
      <c r="F32" s="20" t="n">
        <v>1.5089062</v>
      </c>
      <c r="G32" s="18" t="n">
        <v>8.254563279999999</v>
      </c>
      <c r="H32" s="20" t="n">
        <v>1.56906925</v>
      </c>
      <c r="I32" s="18" t="s">
        <v>431</v>
      </c>
      <c r="J32" s="20" t="s">
        <v>431</v>
      </c>
      <c r="K32" s="18" t="n">
        <v>0.25671725</v>
      </c>
      <c r="L32" s="20" t="n">
        <v>0.24219836</v>
      </c>
      <c r="M32" s="18" t="n">
        <v>0</v>
      </c>
      <c r="N32" s="20" t="n">
        <v>0</v>
      </c>
      <c r="O32" s="18" t="n">
        <v>0</v>
      </c>
      <c r="P32" s="20" t="n">
        <v>0</v>
      </c>
      <c r="Q32" s="18" t="n">
        <v>0.23026222</v>
      </c>
      <c r="R32" s="20" t="n">
        <v>0.23059174</v>
      </c>
    </row>
    <row r="33" spans="1:18">
      <c r="A33" s="15" t="s">
        <v>457</v>
      </c>
      <c r="B33" s="17" t="n">
        <v>3674</v>
      </c>
      <c r="C33" s="18">
        <f>(3228.0/B33*100)</f>
        <v/>
      </c>
      <c r="D33" s="19" t="n">
        <v>446</v>
      </c>
      <c r="E33" s="18" t="n">
        <v>84.76575714000001</v>
      </c>
      <c r="F33" s="20" t="n">
        <v>2.09043069</v>
      </c>
      <c r="G33" s="18" t="n">
        <v>14.50906654</v>
      </c>
      <c r="H33" s="20" t="n">
        <v>2.0962444</v>
      </c>
      <c r="I33" s="18" t="s">
        <v>431</v>
      </c>
      <c r="J33" s="20" t="s">
        <v>431</v>
      </c>
      <c r="K33" s="18" t="n">
        <v>0</v>
      </c>
      <c r="L33" s="20" t="n">
        <v>0</v>
      </c>
      <c r="M33" s="18" t="n">
        <v>0</v>
      </c>
      <c r="N33" s="20" t="n">
        <v>0</v>
      </c>
      <c r="O33" s="18" t="n">
        <v>0</v>
      </c>
      <c r="P33" s="20" t="n">
        <v>0</v>
      </c>
      <c r="Q33" s="18" t="n">
        <v>0.72517631</v>
      </c>
      <c r="R33" s="20" t="n">
        <v>0.48322405</v>
      </c>
    </row>
    <row r="34" spans="1:18">
      <c r="A34" s="15" t="s">
        <v>458</v>
      </c>
      <c r="B34" s="17" t="n">
        <v>3315</v>
      </c>
      <c r="C34" s="18">
        <f>(2919.0/B34*100)</f>
        <v/>
      </c>
      <c r="D34" s="19" t="n">
        <v>396</v>
      </c>
      <c r="E34" s="18" t="n">
        <v>87.0751211</v>
      </c>
      <c r="F34" s="20" t="n">
        <v>1.71059486</v>
      </c>
      <c r="G34" s="18" t="n">
        <v>12.04725901</v>
      </c>
      <c r="H34" s="20" t="n">
        <v>1.61331387</v>
      </c>
      <c r="I34" s="18" t="s">
        <v>431</v>
      </c>
      <c r="J34" s="20" t="s">
        <v>431</v>
      </c>
      <c r="K34" s="18" t="n">
        <v>0</v>
      </c>
      <c r="L34" s="20" t="n">
        <v>0</v>
      </c>
      <c r="M34" s="18" t="n">
        <v>0</v>
      </c>
      <c r="N34" s="20" t="n">
        <v>0</v>
      </c>
      <c r="O34" s="18" t="n">
        <v>0</v>
      </c>
      <c r="P34" s="20" t="n">
        <v>0</v>
      </c>
      <c r="Q34" s="18" t="n">
        <v>0.87761989</v>
      </c>
      <c r="R34" s="20" t="n">
        <v>0.55828897</v>
      </c>
    </row>
    <row r="35" spans="1:18">
      <c r="A35" s="15" t="s">
        <v>459</v>
      </c>
      <c r="B35" s="17" t="n">
        <v>3505</v>
      </c>
      <c r="C35" s="18">
        <f>(3082.0/B35*100)</f>
        <v/>
      </c>
      <c r="D35" s="19" t="n">
        <v>423</v>
      </c>
      <c r="E35" s="18" t="n">
        <v>91.62077773999999</v>
      </c>
      <c r="F35" s="20" t="n">
        <v>1.67280706</v>
      </c>
      <c r="G35" s="18" t="n">
        <v>7.76167482</v>
      </c>
      <c r="H35" s="20" t="n">
        <v>1.63010728</v>
      </c>
      <c r="I35" s="18" t="s">
        <v>431</v>
      </c>
      <c r="J35" s="20" t="s">
        <v>431</v>
      </c>
      <c r="K35" s="18" t="n">
        <v>0</v>
      </c>
      <c r="L35" s="20" t="n">
        <v>0</v>
      </c>
      <c r="M35" s="18" t="n">
        <v>0</v>
      </c>
      <c r="N35" s="20" t="n">
        <v>0</v>
      </c>
      <c r="O35" s="18" t="n">
        <v>0</v>
      </c>
      <c r="P35" s="20" t="n">
        <v>0</v>
      </c>
      <c r="Q35" s="18" t="n">
        <v>0.6175474399999999</v>
      </c>
      <c r="R35" s="20" t="n">
        <v>0.37244952</v>
      </c>
    </row>
    <row r="36" spans="1:18">
      <c r="A36" s="15" t="s">
        <v>460</v>
      </c>
      <c r="B36" s="17" t="n">
        <v>3332</v>
      </c>
      <c r="C36" s="18">
        <f>(2927.0/B36*100)</f>
        <v/>
      </c>
      <c r="D36" s="19" t="n">
        <v>405</v>
      </c>
      <c r="E36" s="18" t="n">
        <v>84.78220967</v>
      </c>
      <c r="F36" s="20" t="n">
        <v>2.00847318</v>
      </c>
      <c r="G36" s="18" t="n">
        <v>15.01666129</v>
      </c>
      <c r="H36" s="20" t="n">
        <v>2.00514066</v>
      </c>
      <c r="I36" s="18" t="s">
        <v>431</v>
      </c>
      <c r="J36" s="20" t="s">
        <v>431</v>
      </c>
      <c r="K36" s="18" t="n">
        <v>0</v>
      </c>
      <c r="L36" s="20" t="n">
        <v>0</v>
      </c>
      <c r="M36" s="18" t="n">
        <v>0</v>
      </c>
      <c r="N36" s="20" t="n">
        <v>0</v>
      </c>
      <c r="O36" s="18" t="n">
        <v>0</v>
      </c>
      <c r="P36" s="20" t="n">
        <v>0</v>
      </c>
      <c r="Q36" s="18" t="n">
        <v>0.20112904</v>
      </c>
      <c r="R36" s="20" t="n">
        <v>0.20026952</v>
      </c>
    </row>
    <row r="37" spans="1:18">
      <c r="A37" s="15" t="s">
        <v>461</v>
      </c>
      <c r="B37" s="17" t="n">
        <v>2727</v>
      </c>
      <c r="C37" s="18">
        <f>(2394.0/B37*100)</f>
        <v/>
      </c>
      <c r="D37" s="19" t="n">
        <v>333</v>
      </c>
      <c r="E37" s="18" t="n">
        <v>85.56545221</v>
      </c>
      <c r="F37" s="20" t="n">
        <v>1.73326458</v>
      </c>
      <c r="G37" s="18" t="n">
        <v>10.15133141</v>
      </c>
      <c r="H37" s="20" t="n">
        <v>1.47153761</v>
      </c>
      <c r="I37" s="18" t="s">
        <v>431</v>
      </c>
      <c r="J37" s="20" t="s">
        <v>431</v>
      </c>
      <c r="K37" s="18" t="n">
        <v>0.26325062</v>
      </c>
      <c r="L37" s="20" t="n">
        <v>0.37345982</v>
      </c>
      <c r="M37" s="18" t="n">
        <v>0</v>
      </c>
      <c r="N37" s="20" t="n">
        <v>0</v>
      </c>
      <c r="O37" s="18" t="n">
        <v>0</v>
      </c>
      <c r="P37" s="20" t="n">
        <v>0</v>
      </c>
      <c r="Q37" s="18" t="n">
        <v>4.01996577</v>
      </c>
      <c r="R37" s="20" t="n">
        <v>1.0961098</v>
      </c>
    </row>
    <row r="38" spans="1:18">
      <c r="A38" s="15" t="s">
        <v>462</v>
      </c>
      <c r="B38" s="17" t="n">
        <v>3053</v>
      </c>
      <c r="C38" s="18">
        <f>(2546.0/B38*100)</f>
        <v/>
      </c>
      <c r="D38" s="19" t="n">
        <v>507</v>
      </c>
      <c r="E38" s="18" t="n">
        <v>80.81955665</v>
      </c>
      <c r="F38" s="20" t="n">
        <v>1.70163231</v>
      </c>
      <c r="G38" s="18" t="n">
        <v>18.35657545</v>
      </c>
      <c r="H38" s="20" t="n">
        <v>1.69818973</v>
      </c>
      <c r="I38" s="18" t="s">
        <v>431</v>
      </c>
      <c r="J38" s="20" t="s">
        <v>431</v>
      </c>
      <c r="K38" s="18" t="n">
        <v>0</v>
      </c>
      <c r="L38" s="20" t="n">
        <v>0</v>
      </c>
      <c r="M38" s="18" t="n">
        <v>0</v>
      </c>
      <c r="N38" s="20" t="n">
        <v>0</v>
      </c>
      <c r="O38" s="18" t="n">
        <v>0</v>
      </c>
      <c r="P38" s="20" t="n">
        <v>0</v>
      </c>
      <c r="Q38" s="18" t="n">
        <v>0.8238679</v>
      </c>
      <c r="R38" s="20" t="n">
        <v>0.38623761</v>
      </c>
    </row>
    <row r="39" spans="1:18">
      <c r="A39" s="15" t="s">
        <v>463</v>
      </c>
      <c r="B39" s="17" t="n">
        <v>2957</v>
      </c>
      <c r="C39" s="18">
        <f>(2592.0/B39*100)</f>
        <v/>
      </c>
      <c r="D39" s="19" t="n">
        <v>365</v>
      </c>
      <c r="E39" s="18" t="n">
        <v>91.56836933</v>
      </c>
      <c r="F39" s="20" t="n">
        <v>1.58139159</v>
      </c>
      <c r="G39" s="18" t="n">
        <v>6.79466504</v>
      </c>
      <c r="H39" s="20" t="n">
        <v>1.50550948</v>
      </c>
      <c r="I39" s="18" t="s">
        <v>431</v>
      </c>
      <c r="J39" s="20" t="s">
        <v>431</v>
      </c>
      <c r="K39" s="18" t="n">
        <v>0.39935416</v>
      </c>
      <c r="L39" s="20" t="n">
        <v>0.4044374</v>
      </c>
      <c r="M39" s="18" t="n">
        <v>0</v>
      </c>
      <c r="N39" s="20" t="n">
        <v>0</v>
      </c>
      <c r="O39" s="18" t="n">
        <v>0</v>
      </c>
      <c r="P39" s="20" t="n">
        <v>0</v>
      </c>
      <c r="Q39" s="18" t="n">
        <v>1.23761147</v>
      </c>
      <c r="R39" s="20" t="n">
        <v>0.53159143</v>
      </c>
    </row>
    <row r="40" spans="1:18">
      <c r="A40" s="15" t="s">
        <v>464</v>
      </c>
      <c r="B40" s="17" t="n">
        <v>7235</v>
      </c>
      <c r="C40" s="18">
        <f>(6337.0/B40*100)</f>
        <v/>
      </c>
      <c r="D40" s="19" t="n">
        <v>898</v>
      </c>
      <c r="E40" s="18" t="n">
        <v>90.13290840000001</v>
      </c>
      <c r="F40" s="20" t="n">
        <v>1.51195646</v>
      </c>
      <c r="G40" s="18" t="n">
        <v>7.60616492</v>
      </c>
      <c r="H40" s="20" t="n">
        <v>1.34947905</v>
      </c>
      <c r="I40" s="18" t="s">
        <v>431</v>
      </c>
      <c r="J40" s="20" t="s">
        <v>431</v>
      </c>
      <c r="K40" s="18" t="n">
        <v>0.25984377</v>
      </c>
      <c r="L40" s="20" t="n">
        <v>0.15914453</v>
      </c>
      <c r="M40" s="18" t="n">
        <v>0</v>
      </c>
      <c r="N40" s="20" t="n">
        <v>0</v>
      </c>
      <c r="O40" s="18" t="n">
        <v>0</v>
      </c>
      <c r="P40" s="20" t="n">
        <v>0</v>
      </c>
      <c r="Q40" s="18" t="n">
        <v>2.0010829</v>
      </c>
      <c r="R40" s="20" t="n">
        <v>0.79802177</v>
      </c>
    </row>
    <row r="41" spans="1:18">
      <c r="A41" s="15" t="s">
        <v>465</v>
      </c>
      <c r="B41" s="17" t="n">
        <v>2858</v>
      </c>
      <c r="C41" s="18">
        <f>(2493.0/B41*100)</f>
        <v/>
      </c>
      <c r="D41" s="19" t="n">
        <v>365</v>
      </c>
      <c r="E41" s="18" t="n">
        <v>93.34058945</v>
      </c>
      <c r="F41" s="20" t="n">
        <v>1.36529265</v>
      </c>
      <c r="G41" s="18" t="n">
        <v>5.90777388</v>
      </c>
      <c r="H41" s="20" t="n">
        <v>1.22134726</v>
      </c>
      <c r="I41" s="18" t="s">
        <v>431</v>
      </c>
      <c r="J41" s="20" t="s">
        <v>431</v>
      </c>
      <c r="K41" s="18" t="n">
        <v>0</v>
      </c>
      <c r="L41" s="20" t="n">
        <v>0</v>
      </c>
      <c r="M41" s="18" t="n">
        <v>0</v>
      </c>
      <c r="N41" s="20" t="n">
        <v>0</v>
      </c>
      <c r="O41" s="18" t="n">
        <v>0</v>
      </c>
      <c r="P41" s="20" t="n">
        <v>0</v>
      </c>
      <c r="Q41" s="18" t="n">
        <v>0.75163667</v>
      </c>
      <c r="R41" s="20" t="n">
        <v>0.43097728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(9869.0/B46*100)</f>
        <v/>
      </c>
      <c r="D46" s="19" t="n">
        <v>1199</v>
      </c>
      <c r="E46" s="18" t="n">
        <v>90.67923659</v>
      </c>
      <c r="F46" s="20" t="n">
        <v>1.08038301</v>
      </c>
      <c r="G46" s="18" t="n">
        <v>5.76288416</v>
      </c>
      <c r="H46" s="20" t="n">
        <v>0.96744554</v>
      </c>
      <c r="I46" s="18" t="s">
        <v>431</v>
      </c>
      <c r="J46" s="20" t="s">
        <v>431</v>
      </c>
      <c r="K46" s="18" t="n">
        <v>0.74706096</v>
      </c>
      <c r="L46" s="20" t="n">
        <v>0.21540862</v>
      </c>
      <c r="M46" s="18" t="n">
        <v>0</v>
      </c>
      <c r="N46" s="20" t="n">
        <v>0</v>
      </c>
      <c r="O46" s="18" t="n">
        <v>0</v>
      </c>
      <c r="P46" s="20" t="n">
        <v>0</v>
      </c>
      <c r="Q46" s="18" t="n">
        <v>2.81081828</v>
      </c>
      <c r="R46" s="20" t="n">
        <v>0.6368381</v>
      </c>
    </row>
    <row r="47" spans="1:18">
      <c r="A47" s="15" t="s">
        <v>471</v>
      </c>
      <c r="B47" s="17" t="n">
        <v>3105</v>
      </c>
      <c r="C47" s="18">
        <f>(2718.0/B47*100)</f>
        <v/>
      </c>
      <c r="D47" s="19" t="n">
        <v>387</v>
      </c>
      <c r="E47" s="18" t="n">
        <v>91.71364067</v>
      </c>
      <c r="F47" s="20" t="n">
        <v>1.44636656</v>
      </c>
      <c r="G47" s="18" t="n">
        <v>7.05355755</v>
      </c>
      <c r="H47" s="20" t="n">
        <v>1.29191911</v>
      </c>
      <c r="I47" s="18" t="s">
        <v>431</v>
      </c>
      <c r="J47" s="20" t="s">
        <v>431</v>
      </c>
      <c r="K47" s="18" t="n">
        <v>0</v>
      </c>
      <c r="L47" s="20" t="n">
        <v>0</v>
      </c>
      <c r="M47" s="18" t="n">
        <v>0</v>
      </c>
      <c r="N47" s="20" t="n">
        <v>0</v>
      </c>
      <c r="O47" s="18" t="n">
        <v>0</v>
      </c>
      <c r="P47" s="20" t="n">
        <v>0</v>
      </c>
      <c r="Q47" s="18" t="n">
        <v>1.23280178</v>
      </c>
      <c r="R47" s="20" t="n">
        <v>0.47477148</v>
      </c>
    </row>
    <row r="48" spans="1:18">
      <c r="A48" s="15" t="s">
        <v>472</v>
      </c>
      <c r="B48" s="17" t="n">
        <v>5159</v>
      </c>
      <c r="C48" s="18">
        <f>(4548.0/B48*100)</f>
        <v/>
      </c>
      <c r="D48" s="19" t="n">
        <v>611</v>
      </c>
      <c r="E48" s="18" t="n">
        <v>82.72990081</v>
      </c>
      <c r="F48" s="20" t="n">
        <v>2.13217039</v>
      </c>
      <c r="G48" s="18" t="n">
        <v>15.66742011</v>
      </c>
      <c r="H48" s="20" t="n">
        <v>2.14458407</v>
      </c>
      <c r="I48" s="18" t="s">
        <v>431</v>
      </c>
      <c r="J48" s="20" t="s">
        <v>431</v>
      </c>
      <c r="K48" s="18" t="n">
        <v>1.24774136</v>
      </c>
      <c r="L48" s="20" t="n">
        <v>0.63260217</v>
      </c>
      <c r="M48" s="18" t="n">
        <v>0</v>
      </c>
      <c r="N48" s="20" t="n">
        <v>0</v>
      </c>
      <c r="O48" s="18" t="n">
        <v>0</v>
      </c>
      <c r="P48" s="20" t="n">
        <v>0</v>
      </c>
      <c r="Q48" s="18" t="n">
        <v>0.35493773</v>
      </c>
      <c r="R48" s="20" t="n">
        <v>0.31521946</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(4961.0/B50*100)</f>
        <v/>
      </c>
      <c r="D50" s="19" t="n">
        <v>676</v>
      </c>
      <c r="E50" s="18" t="n">
        <v>87.22671345000001</v>
      </c>
      <c r="F50" s="20" t="n">
        <v>1.98807348</v>
      </c>
      <c r="G50" s="18" t="n">
        <v>7.48567166</v>
      </c>
      <c r="H50" s="20" t="n">
        <v>1.19349962</v>
      </c>
      <c r="I50" s="18" t="s">
        <v>431</v>
      </c>
      <c r="J50" s="20" t="s">
        <v>431</v>
      </c>
      <c r="K50" s="18" t="n">
        <v>1.74797083</v>
      </c>
      <c r="L50" s="20" t="n">
        <v>0.66440576</v>
      </c>
      <c r="M50" s="18" t="n">
        <v>0</v>
      </c>
      <c r="N50" s="20" t="n">
        <v>0</v>
      </c>
      <c r="O50" s="18" t="n">
        <v>0</v>
      </c>
      <c r="P50" s="20" t="n">
        <v>0</v>
      </c>
      <c r="Q50" s="18" t="n">
        <v>3.53964407</v>
      </c>
      <c r="R50" s="20" t="n">
        <v>1.49982433</v>
      </c>
    </row>
    <row r="51" spans="1:18">
      <c r="A51" s="15" t="s">
        <v>475</v>
      </c>
      <c r="B51" s="17" t="n">
        <v>3372</v>
      </c>
      <c r="C51" s="18">
        <f>(2994.0/B51*100)</f>
        <v/>
      </c>
      <c r="D51" s="19" t="n">
        <v>378</v>
      </c>
      <c r="E51" s="18" t="n">
        <v>91.28256414000001</v>
      </c>
      <c r="F51" s="20" t="n">
        <v>1.43606868</v>
      </c>
      <c r="G51" s="18" t="n">
        <v>5.6426482</v>
      </c>
      <c r="H51" s="20" t="n">
        <v>0.9799678000000001</v>
      </c>
      <c r="I51" s="18" t="s">
        <v>431</v>
      </c>
      <c r="J51" s="20" t="s">
        <v>431</v>
      </c>
      <c r="K51" s="18" t="n">
        <v>0.60871319</v>
      </c>
      <c r="L51" s="20" t="n">
        <v>0.43858755</v>
      </c>
      <c r="M51" s="18" t="n">
        <v>0</v>
      </c>
      <c r="N51" s="20" t="n">
        <v>0</v>
      </c>
      <c r="O51" s="18" t="n">
        <v>0</v>
      </c>
      <c r="P51" s="20" t="n">
        <v>0</v>
      </c>
      <c r="Q51" s="18" t="n">
        <v>2.46607447</v>
      </c>
      <c r="R51" s="20" t="n">
        <v>0.8714194199999999</v>
      </c>
    </row>
    <row r="52" spans="1:18">
      <c r="A52" s="15" t="s">
        <v>476</v>
      </c>
      <c r="B52" s="17" t="n">
        <v>2796</v>
      </c>
      <c r="C52" s="18">
        <f>(2444.0/B52*100)</f>
        <v/>
      </c>
      <c r="D52" s="19" t="n">
        <v>352</v>
      </c>
      <c r="E52" s="18" t="n">
        <v>88.99405819</v>
      </c>
      <c r="F52" s="20" t="n">
        <v>1.63369077</v>
      </c>
      <c r="G52" s="18" t="n">
        <v>10.64966956</v>
      </c>
      <c r="H52" s="20" t="n">
        <v>1.58137307</v>
      </c>
      <c r="I52" s="18" t="s">
        <v>431</v>
      </c>
      <c r="J52" s="20" t="s">
        <v>431</v>
      </c>
      <c r="K52" s="18" t="n">
        <v>0.35627225</v>
      </c>
      <c r="L52" s="20" t="n">
        <v>0.36152979</v>
      </c>
      <c r="M52" s="18" t="n">
        <v>0</v>
      </c>
      <c r="N52" s="20" t="n">
        <v>0</v>
      </c>
      <c r="O52" s="18" t="n">
        <v>0</v>
      </c>
      <c r="P52" s="20" t="n">
        <v>0</v>
      </c>
      <c r="Q52" s="18" t="n">
        <v>0</v>
      </c>
      <c r="R52" s="20" t="n">
        <v>0</v>
      </c>
    </row>
    <row r="53" spans="1:18">
      <c r="A53" s="15" t="s">
        <v>477</v>
      </c>
      <c r="B53" s="17" t="n">
        <v>2811</v>
      </c>
      <c r="C53" s="18">
        <f>(2474.0/B53*100)</f>
        <v/>
      </c>
      <c r="D53" s="19" t="n">
        <v>337</v>
      </c>
      <c r="E53" s="18" t="n">
        <v>89.76704835</v>
      </c>
      <c r="F53" s="20" t="n">
        <v>1.65344475</v>
      </c>
      <c r="G53" s="18" t="n">
        <v>8.06688151</v>
      </c>
      <c r="H53" s="20" t="n">
        <v>1.459094</v>
      </c>
      <c r="I53" s="18" t="s">
        <v>431</v>
      </c>
      <c r="J53" s="20" t="s">
        <v>431</v>
      </c>
      <c r="K53" s="18" t="n">
        <v>0</v>
      </c>
      <c r="L53" s="20" t="n">
        <v>0</v>
      </c>
      <c r="M53" s="18" t="n">
        <v>0</v>
      </c>
      <c r="N53" s="20" t="n">
        <v>0</v>
      </c>
      <c r="O53" s="18" t="n">
        <v>0</v>
      </c>
      <c r="P53" s="20" t="n">
        <v>0</v>
      </c>
      <c r="Q53" s="18" t="n">
        <v>2.16607013</v>
      </c>
      <c r="R53" s="20" t="n">
        <v>0.900623</v>
      </c>
    </row>
    <row r="54" spans="1:18">
      <c r="A54" s="15" t="s">
        <v>478</v>
      </c>
      <c r="B54" s="17" t="n">
        <v>2266</v>
      </c>
      <c r="C54" s="18">
        <f>(1904.0/B54*100)</f>
        <v/>
      </c>
      <c r="D54" s="19" t="n">
        <v>362</v>
      </c>
      <c r="E54" s="18" t="n">
        <v>82.128625</v>
      </c>
      <c r="F54" s="20" t="n">
        <v>2.13135382</v>
      </c>
      <c r="G54" s="18" t="n">
        <v>6.16054248</v>
      </c>
      <c r="H54" s="20" t="n">
        <v>1.22915102</v>
      </c>
      <c r="I54" s="18" t="s">
        <v>431</v>
      </c>
      <c r="J54" s="20" t="s">
        <v>431</v>
      </c>
      <c r="K54" s="18" t="n">
        <v>7.33303934</v>
      </c>
      <c r="L54" s="20" t="n">
        <v>1.58141668</v>
      </c>
      <c r="M54" s="18" t="n">
        <v>0</v>
      </c>
      <c r="N54" s="20" t="n">
        <v>0</v>
      </c>
      <c r="O54" s="18" t="n">
        <v>0</v>
      </c>
      <c r="P54" s="20" t="n">
        <v>0</v>
      </c>
      <c r="Q54" s="18" t="n">
        <v>4.37779318</v>
      </c>
      <c r="R54" s="20" t="n">
        <v>1.4445982</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(2338.0/B56*100)</f>
        <v/>
      </c>
      <c r="D56" s="19" t="n">
        <v>346</v>
      </c>
      <c r="E56" s="18" t="n">
        <v>75.19416323</v>
      </c>
      <c r="F56" s="20" t="n">
        <v>2.30428235</v>
      </c>
      <c r="G56" s="18" t="n">
        <v>23.45512681</v>
      </c>
      <c r="H56" s="20" t="n">
        <v>2.18771586</v>
      </c>
      <c r="I56" s="18" t="s">
        <v>431</v>
      </c>
      <c r="J56" s="20" t="s">
        <v>431</v>
      </c>
      <c r="K56" s="18" t="n">
        <v>0.37151725</v>
      </c>
      <c r="L56" s="20" t="n">
        <v>0.31630863</v>
      </c>
      <c r="M56" s="18" t="n">
        <v>0</v>
      </c>
      <c r="N56" s="20" t="n">
        <v>0</v>
      </c>
      <c r="O56" s="18" t="n">
        <v>0</v>
      </c>
      <c r="P56" s="20" t="n">
        <v>0</v>
      </c>
      <c r="Q56" s="18" t="n">
        <v>0.97919271</v>
      </c>
      <c r="R56" s="20" t="n">
        <v>0.59463095</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(2914.0/B61*100)</f>
        <v/>
      </c>
      <c r="D61" s="19" t="n">
        <v>410</v>
      </c>
      <c r="E61" s="18" t="n">
        <v>88.12674665999999</v>
      </c>
      <c r="F61" s="20" t="n">
        <v>1.76254151</v>
      </c>
      <c r="G61" s="18" t="n">
        <v>9.563465109999999</v>
      </c>
      <c r="H61" s="20" t="n">
        <v>1.6384025</v>
      </c>
      <c r="I61" s="18" t="s">
        <v>431</v>
      </c>
      <c r="J61" s="20" t="s">
        <v>431</v>
      </c>
      <c r="K61" s="18" t="n">
        <v>0</v>
      </c>
      <c r="L61" s="20" t="n">
        <v>0</v>
      </c>
      <c r="M61" s="18" t="n">
        <v>0</v>
      </c>
      <c r="N61" s="20" t="n">
        <v>0</v>
      </c>
      <c r="O61" s="18" t="n">
        <v>0</v>
      </c>
      <c r="P61" s="20" t="n">
        <v>0</v>
      </c>
      <c r="Q61" s="18" t="n">
        <v>2.30978823</v>
      </c>
      <c r="R61" s="20" t="n">
        <v>1.03608616</v>
      </c>
    </row>
    <row r="62" spans="1:18">
      <c r="A62" s="15" t="s">
        <v>486</v>
      </c>
      <c r="B62" s="17" t="n">
        <v>2246</v>
      </c>
      <c r="C62" s="18">
        <f>(1955.0/B62*100)</f>
        <v/>
      </c>
      <c r="D62" s="19" t="n">
        <v>291</v>
      </c>
      <c r="E62" s="18" t="n">
        <v>85.20368434</v>
      </c>
      <c r="F62" s="20" t="n">
        <v>2.24554072</v>
      </c>
      <c r="G62" s="18" t="n">
        <v>14.79631566</v>
      </c>
      <c r="H62" s="20" t="n">
        <v>2.24554072</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(2527.0/B66*100)</f>
        <v/>
      </c>
      <c r="D66" s="19" t="n">
        <v>367</v>
      </c>
      <c r="E66" s="18" t="n">
        <v>87.50370642999999</v>
      </c>
      <c r="F66" s="20" t="n">
        <v>1.55761104</v>
      </c>
      <c r="G66" s="18" t="n">
        <v>7.63690843</v>
      </c>
      <c r="H66" s="20" t="n">
        <v>1.26896622</v>
      </c>
      <c r="I66" s="18" t="s">
        <v>431</v>
      </c>
      <c r="J66" s="20" t="s">
        <v>431</v>
      </c>
      <c r="K66" s="18" t="n">
        <v>1.11920891</v>
      </c>
      <c r="L66" s="20" t="n">
        <v>0.5631107400000001</v>
      </c>
      <c r="M66" s="18" t="n">
        <v>0</v>
      </c>
      <c r="N66" s="20" t="n">
        <v>0</v>
      </c>
      <c r="O66" s="18" t="n">
        <v>0</v>
      </c>
      <c r="P66" s="20" t="n">
        <v>0</v>
      </c>
      <c r="Q66" s="18" t="n">
        <v>3.74017622</v>
      </c>
      <c r="R66" s="20" t="n">
        <v>0.96335371</v>
      </c>
    </row>
    <row r="67" spans="1:18">
      <c r="A67" s="15" t="s">
        <v>491</v>
      </c>
      <c r="B67" s="17" t="n">
        <v>3511</v>
      </c>
      <c r="C67" s="18">
        <f>(3079.0/B67*100)</f>
        <v/>
      </c>
      <c r="D67" s="19" t="n">
        <v>432</v>
      </c>
      <c r="E67" s="18" t="n">
        <v>89.49092139</v>
      </c>
      <c r="F67" s="20" t="n">
        <v>1.68023634</v>
      </c>
      <c r="G67" s="18" t="n">
        <v>9.61219648</v>
      </c>
      <c r="H67" s="20" t="n">
        <v>1.60996583</v>
      </c>
      <c r="I67" s="18" t="s">
        <v>431</v>
      </c>
      <c r="J67" s="20" t="s">
        <v>431</v>
      </c>
      <c r="K67" s="18" t="n">
        <v>0</v>
      </c>
      <c r="L67" s="20" t="n">
        <v>0</v>
      </c>
      <c r="M67" s="18" t="n">
        <v>0</v>
      </c>
      <c r="N67" s="20" t="n">
        <v>0</v>
      </c>
      <c r="O67" s="18" t="n">
        <v>0</v>
      </c>
      <c r="P67" s="20" t="n">
        <v>0</v>
      </c>
      <c r="Q67" s="18" t="n">
        <v>0.8968821300000001</v>
      </c>
      <c r="R67" s="20" t="n">
        <v>0.45045211</v>
      </c>
    </row>
    <row r="68" spans="1:18">
      <c r="A68" s="15" t="s">
        <v>492</v>
      </c>
      <c r="B68" s="17" t="n">
        <v>6049</v>
      </c>
      <c r="C68" s="18">
        <f>(5045.0/B68*100)</f>
        <v/>
      </c>
      <c r="D68" s="19" t="n">
        <v>1004</v>
      </c>
      <c r="E68" s="18" t="n">
        <v>85.40352038</v>
      </c>
      <c r="F68" s="20" t="n">
        <v>1.12941245</v>
      </c>
      <c r="G68" s="18" t="n">
        <v>8.176184360000001</v>
      </c>
      <c r="H68" s="20" t="n">
        <v>0.85517343</v>
      </c>
      <c r="I68" s="18" t="s">
        <v>431</v>
      </c>
      <c r="J68" s="20" t="s">
        <v>431</v>
      </c>
      <c r="K68" s="18" t="n">
        <v>1.79831813</v>
      </c>
      <c r="L68" s="20" t="n">
        <v>0.43195301</v>
      </c>
      <c r="M68" s="18" t="n">
        <v>0</v>
      </c>
      <c r="N68" s="20" t="n">
        <v>0</v>
      </c>
      <c r="O68" s="18" t="n">
        <v>0</v>
      </c>
      <c r="P68" s="20" t="n">
        <v>0</v>
      </c>
      <c r="Q68" s="18" t="n">
        <v>4.62197713</v>
      </c>
      <c r="R68" s="20" t="n">
        <v>0.59986262</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(2590.0/B70*100)</f>
        <v/>
      </c>
      <c r="D70" s="19" t="n">
        <v>339</v>
      </c>
      <c r="E70" s="18" t="n">
        <v>85.52222336</v>
      </c>
      <c r="F70" s="20" t="n">
        <v>1.67633652</v>
      </c>
      <c r="G70" s="18" t="n">
        <v>14.26066057</v>
      </c>
      <c r="H70" s="20" t="n">
        <v>1.68347516</v>
      </c>
      <c r="I70" s="18" t="s">
        <v>431</v>
      </c>
      <c r="J70" s="20" t="s">
        <v>431</v>
      </c>
      <c r="K70" s="18" t="n">
        <v>0.21711607</v>
      </c>
      <c r="L70" s="20" t="n">
        <v>0.21815522</v>
      </c>
      <c r="M70" s="18" t="n">
        <v>0</v>
      </c>
      <c r="N70" s="20" t="n">
        <v>0</v>
      </c>
      <c r="O70" s="18" t="n">
        <v>0</v>
      </c>
      <c r="P70" s="20" t="n">
        <v>0</v>
      </c>
      <c r="Q70" s="18" t="n">
        <v>0</v>
      </c>
      <c r="R70" s="20" t="n">
        <v>0</v>
      </c>
    </row>
    <row r="71" spans="1:18">
      <c r="A71" s="15" t="s">
        <v>495</v>
      </c>
      <c r="B71" s="17" t="n">
        <v>3142</v>
      </c>
      <c r="C71" s="18">
        <f>(2756.0/B71*100)</f>
        <v/>
      </c>
      <c r="D71" s="19" t="n">
        <v>386</v>
      </c>
      <c r="E71" s="18" t="n">
        <v>79.31145918</v>
      </c>
      <c r="F71" s="20" t="n">
        <v>1.89247186</v>
      </c>
      <c r="G71" s="18" t="n">
        <v>19.98415667</v>
      </c>
      <c r="H71" s="20" t="n">
        <v>1.91073213</v>
      </c>
      <c r="I71" s="18" t="s">
        <v>431</v>
      </c>
      <c r="J71" s="20" t="s">
        <v>431</v>
      </c>
      <c r="K71" s="18" t="n">
        <v>0.50472472</v>
      </c>
      <c r="L71" s="20" t="n">
        <v>0.35696221</v>
      </c>
      <c r="M71" s="18" t="n">
        <v>0</v>
      </c>
      <c r="N71" s="20" t="n">
        <v>0</v>
      </c>
      <c r="O71" s="18" t="n">
        <v>0</v>
      </c>
      <c r="P71" s="20" t="n">
        <v>0</v>
      </c>
      <c r="Q71" s="18" t="n">
        <v>0.19965943</v>
      </c>
      <c r="R71" s="20" t="n">
        <v>0.20346767</v>
      </c>
    </row>
    <row r="72" spans="1:18">
      <c r="A72" s="15" t="s">
        <v>496</v>
      </c>
      <c r="B72" s="17" t="n">
        <v>3889</v>
      </c>
      <c r="C72" s="18">
        <f>(3402.0/B72*100)</f>
        <v/>
      </c>
      <c r="D72" s="19" t="n">
        <v>487</v>
      </c>
      <c r="E72" s="18" t="n">
        <v>87.54352516</v>
      </c>
      <c r="F72" s="20" t="n">
        <v>1.49636914</v>
      </c>
      <c r="G72" s="18" t="n">
        <v>11.88230029</v>
      </c>
      <c r="H72" s="20" t="n">
        <v>1.34228623</v>
      </c>
      <c r="I72" s="18" t="s">
        <v>431</v>
      </c>
      <c r="J72" s="20" t="s">
        <v>431</v>
      </c>
      <c r="K72" s="18" t="n">
        <v>0.16166453</v>
      </c>
      <c r="L72" s="20" t="n">
        <v>0.16163413</v>
      </c>
      <c r="M72" s="18" t="n">
        <v>0</v>
      </c>
      <c r="N72" s="20" t="n">
        <v>0</v>
      </c>
      <c r="O72" s="18" t="n">
        <v>0</v>
      </c>
      <c r="P72" s="20" t="n">
        <v>0</v>
      </c>
      <c r="Q72" s="18" t="n">
        <v>0.41251003</v>
      </c>
      <c r="R72" s="20" t="n">
        <v>0.3798809</v>
      </c>
    </row>
    <row r="73" spans="1:18">
      <c r="A73" s="15" t="s">
        <v>497</v>
      </c>
      <c r="B73" s="17" t="n">
        <v>3597</v>
      </c>
      <c r="C73" s="18">
        <f>(3178.0/B73*100)</f>
        <v/>
      </c>
      <c r="D73" s="19" t="n">
        <v>419</v>
      </c>
      <c r="E73" s="18" t="n">
        <v>96.3920603</v>
      </c>
      <c r="F73" s="20" t="n">
        <v>0.99096937</v>
      </c>
      <c r="G73" s="18" t="n">
        <v>3.13315853</v>
      </c>
      <c r="H73" s="20" t="n">
        <v>0.95164759</v>
      </c>
      <c r="I73" s="18" t="s">
        <v>431</v>
      </c>
      <c r="J73" s="20" t="s">
        <v>431</v>
      </c>
      <c r="K73" s="18" t="n">
        <v>0</v>
      </c>
      <c r="L73" s="20" t="n">
        <v>0</v>
      </c>
      <c r="M73" s="18" t="n">
        <v>0</v>
      </c>
      <c r="N73" s="20" t="n">
        <v>0</v>
      </c>
      <c r="O73" s="18" t="n">
        <v>0</v>
      </c>
      <c r="P73" s="20" t="n">
        <v>0</v>
      </c>
      <c r="Q73" s="18" t="n">
        <v>0.47478117</v>
      </c>
      <c r="R73" s="20" t="n">
        <v>0.35069369</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(2129.0/B75*100)</f>
        <v/>
      </c>
      <c r="D75" s="19" t="n">
        <v>277</v>
      </c>
      <c r="E75" s="18" t="n">
        <v>92.64793788</v>
      </c>
      <c r="F75" s="20" t="n">
        <v>1.82922198</v>
      </c>
      <c r="G75" s="18" t="n">
        <v>3.31096774</v>
      </c>
      <c r="H75" s="20" t="n">
        <v>1.19697757</v>
      </c>
      <c r="I75" s="18" t="s">
        <v>431</v>
      </c>
      <c r="J75" s="20" t="s">
        <v>431</v>
      </c>
      <c r="K75" s="18" t="n">
        <v>1.60560757</v>
      </c>
      <c r="L75" s="20" t="n">
        <v>0.97591555</v>
      </c>
      <c r="M75" s="18" t="n">
        <v>0</v>
      </c>
      <c r="N75" s="20" t="n">
        <v>0</v>
      </c>
      <c r="O75" s="18" t="n">
        <v>0</v>
      </c>
      <c r="P75" s="20" t="n">
        <v>0</v>
      </c>
      <c r="Q75" s="18" t="n">
        <v>2.43548682</v>
      </c>
      <c r="R75" s="20" t="n">
        <v>0.96990227</v>
      </c>
    </row>
    <row r="76" spans="1:18">
      <c r="A76" s="15" t="s">
        <v>500</v>
      </c>
      <c r="B76" s="17" t="n">
        <v>7052</v>
      </c>
      <c r="C76" s="18">
        <f>(6184.0/B76*100)</f>
        <v/>
      </c>
      <c r="D76" s="19" t="n">
        <v>868</v>
      </c>
      <c r="E76" s="18" t="n">
        <v>88.53010625</v>
      </c>
      <c r="F76" s="20" t="n">
        <v>1.17449898</v>
      </c>
      <c r="G76" s="18" t="n">
        <v>9.084753360000001</v>
      </c>
      <c r="H76" s="20" t="n">
        <v>1.10086246</v>
      </c>
      <c r="I76" s="18" t="s">
        <v>431</v>
      </c>
      <c r="J76" s="20" t="s">
        <v>431</v>
      </c>
      <c r="K76" s="18" t="n">
        <v>0.6658418</v>
      </c>
      <c r="L76" s="20" t="n">
        <v>0.33745903</v>
      </c>
      <c r="M76" s="18" t="n">
        <v>0</v>
      </c>
      <c r="N76" s="20" t="n">
        <v>0</v>
      </c>
      <c r="O76" s="18" t="n">
        <v>0</v>
      </c>
      <c r="P76" s="20" t="n">
        <v>0</v>
      </c>
      <c r="Q76" s="18" t="n">
        <v>1.71929859</v>
      </c>
      <c r="R76" s="20" t="n">
        <v>0.46242382</v>
      </c>
    </row>
    <row r="77" spans="1:18">
      <c r="A77" s="15" t="s">
        <v>501</v>
      </c>
      <c r="B77" s="17" t="n">
        <v>2908</v>
      </c>
      <c r="C77" s="18">
        <f>(2572.0/B77*100)</f>
        <v/>
      </c>
      <c r="D77" s="19" t="n">
        <v>336</v>
      </c>
      <c r="E77" s="18" t="n">
        <v>82.5701797</v>
      </c>
      <c r="F77" s="20" t="n">
        <v>2.15404083</v>
      </c>
      <c r="G77" s="18" t="n">
        <v>9.558299740000001</v>
      </c>
      <c r="H77" s="20" t="n">
        <v>1.46350134</v>
      </c>
      <c r="I77" s="18" t="s">
        <v>431</v>
      </c>
      <c r="J77" s="20" t="s">
        <v>431</v>
      </c>
      <c r="K77" s="18" t="n">
        <v>0.96977361</v>
      </c>
      <c r="L77" s="20" t="n">
        <v>0.5841442</v>
      </c>
      <c r="M77" s="18" t="n">
        <v>0</v>
      </c>
      <c r="N77" s="20" t="n">
        <v>0</v>
      </c>
      <c r="O77" s="18" t="n">
        <v>0</v>
      </c>
      <c r="P77" s="20" t="n">
        <v>0</v>
      </c>
      <c r="Q77" s="18" t="n">
        <v>6.90174695</v>
      </c>
      <c r="R77" s="20" t="n">
        <v>1.3413317</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(3653.0/B81*100)</f>
        <v/>
      </c>
      <c r="D81" s="19" t="n">
        <v>510</v>
      </c>
      <c r="E81" s="18" t="n">
        <v>92.6314574</v>
      </c>
      <c r="F81" s="20" t="n">
        <v>1.31769882</v>
      </c>
      <c r="G81" s="18" t="n">
        <v>6.55302685</v>
      </c>
      <c r="H81" s="20" t="n">
        <v>1.16619866</v>
      </c>
      <c r="I81" s="18" t="s">
        <v>431</v>
      </c>
      <c r="J81" s="20" t="s">
        <v>431</v>
      </c>
      <c r="K81" s="18" t="n">
        <v>0.2445891</v>
      </c>
      <c r="L81" s="20" t="n">
        <v>0.2435541</v>
      </c>
      <c r="M81" s="18" t="n">
        <v>0</v>
      </c>
      <c r="N81" s="20" t="n">
        <v>0</v>
      </c>
      <c r="O81" s="18" t="n">
        <v>0</v>
      </c>
      <c r="P81" s="20" t="n">
        <v>0</v>
      </c>
      <c r="Q81" s="18" t="n">
        <v>0.57092665</v>
      </c>
      <c r="R81" s="20" t="n">
        <v>0.40289548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(6473.0/B7*100)</f>
        <v/>
      </c>
      <c r="D7" s="19" t="n">
        <v>894</v>
      </c>
      <c r="E7" s="18" t="n">
        <v>15.91084117</v>
      </c>
      <c r="F7" s="20" t="n">
        <v>1.40460425</v>
      </c>
      <c r="G7" s="18" t="n">
        <v>80.42652332</v>
      </c>
      <c r="H7" s="20" t="n">
        <v>1.60586318</v>
      </c>
      <c r="I7" s="18" t="s">
        <v>431</v>
      </c>
      <c r="J7" s="20" t="s">
        <v>431</v>
      </c>
      <c r="K7" s="18" t="n">
        <v>0.39452031</v>
      </c>
      <c r="L7" s="20" t="n">
        <v>0.22528301</v>
      </c>
      <c r="M7" s="18" t="n">
        <v>0</v>
      </c>
      <c r="N7" s="20" t="n">
        <v>0</v>
      </c>
      <c r="O7" s="18" t="n">
        <v>0</v>
      </c>
      <c r="P7" s="20" t="n">
        <v>0</v>
      </c>
      <c r="Q7" s="18" t="n">
        <v>3.2681152</v>
      </c>
      <c r="R7" s="20" t="n">
        <v>0.78355478</v>
      </c>
    </row>
    <row r="8" spans="1:18">
      <c r="A8" s="15" t="s">
        <v>432</v>
      </c>
      <c r="B8" s="17" t="n">
        <v>3564</v>
      </c>
      <c r="C8" s="18">
        <f>(3088.0/B8*100)</f>
        <v/>
      </c>
      <c r="D8" s="19" t="n">
        <v>476</v>
      </c>
      <c r="E8" s="18" t="n">
        <v>20.87627479</v>
      </c>
      <c r="F8" s="20" t="n">
        <v>2.13350605</v>
      </c>
      <c r="G8" s="18" t="n">
        <v>76.66364476</v>
      </c>
      <c r="H8" s="20" t="n">
        <v>2.37365289</v>
      </c>
      <c r="I8" s="18" t="s">
        <v>431</v>
      </c>
      <c r="J8" s="20" t="s">
        <v>431</v>
      </c>
      <c r="K8" s="18" t="n">
        <v>0</v>
      </c>
      <c r="L8" s="20" t="n">
        <v>0</v>
      </c>
      <c r="M8" s="18" t="n">
        <v>0</v>
      </c>
      <c r="N8" s="20" t="n">
        <v>0</v>
      </c>
      <c r="O8" s="18" t="n">
        <v>0</v>
      </c>
      <c r="P8" s="20" t="n">
        <v>0</v>
      </c>
      <c r="Q8" s="18" t="n">
        <v>2.46008045</v>
      </c>
      <c r="R8" s="20" t="n">
        <v>0.69299431</v>
      </c>
    </row>
    <row r="9" spans="1:18">
      <c r="A9" s="15" t="s">
        <v>433</v>
      </c>
      <c r="B9" s="17" t="n">
        <v>4899</v>
      </c>
      <c r="C9" s="18">
        <f>(4298.0/B9*100)</f>
        <v/>
      </c>
      <c r="D9" s="19" t="n">
        <v>601</v>
      </c>
      <c r="E9" s="18" t="n">
        <v>7.83911487</v>
      </c>
      <c r="F9" s="20" t="n">
        <v>1.24032106</v>
      </c>
      <c r="G9" s="18" t="n">
        <v>89.78492564</v>
      </c>
      <c r="H9" s="20" t="n">
        <v>1.43128771</v>
      </c>
      <c r="I9" s="18" t="s">
        <v>431</v>
      </c>
      <c r="J9" s="20" t="s">
        <v>431</v>
      </c>
      <c r="K9" s="18" t="n">
        <v>0</v>
      </c>
      <c r="L9" s="20" t="n">
        <v>0</v>
      </c>
      <c r="M9" s="18" t="n">
        <v>0</v>
      </c>
      <c r="N9" s="20" t="n">
        <v>0</v>
      </c>
      <c r="O9" s="18" t="n">
        <v>0</v>
      </c>
      <c r="P9" s="20" t="n">
        <v>0</v>
      </c>
      <c r="Q9" s="18" t="n">
        <v>2.37595949</v>
      </c>
      <c r="R9" s="20" t="n">
        <v>0.61674629</v>
      </c>
    </row>
    <row r="10" spans="1:18">
      <c r="A10" s="15" t="s">
        <v>434</v>
      </c>
      <c r="B10" s="17" t="n">
        <v>10036</v>
      </c>
      <c r="C10" s="18">
        <f>(8771.0/B10*100)</f>
        <v/>
      </c>
      <c r="D10" s="19" t="n">
        <v>1265</v>
      </c>
      <c r="E10" s="18" t="n">
        <v>11.35212545</v>
      </c>
      <c r="F10" s="20" t="n">
        <v>1.14582424</v>
      </c>
      <c r="G10" s="18" t="n">
        <v>86.70428343</v>
      </c>
      <c r="H10" s="20" t="n">
        <v>1.2966169</v>
      </c>
      <c r="I10" s="18" t="s">
        <v>431</v>
      </c>
      <c r="J10" s="20" t="s">
        <v>431</v>
      </c>
      <c r="K10" s="18" t="n">
        <v>0.50076371</v>
      </c>
      <c r="L10" s="20" t="n">
        <v>0.306824</v>
      </c>
      <c r="M10" s="18" t="n">
        <v>0</v>
      </c>
      <c r="N10" s="20" t="n">
        <v>0</v>
      </c>
      <c r="O10" s="18" t="n">
        <v>0</v>
      </c>
      <c r="P10" s="20" t="n">
        <v>0</v>
      </c>
      <c r="Q10" s="18" t="n">
        <v>1.44282741</v>
      </c>
      <c r="R10" s="20" t="n">
        <v>0.46459371</v>
      </c>
    </row>
    <row r="11" spans="1:18">
      <c r="A11" s="15" t="s">
        <v>435</v>
      </c>
      <c r="B11" s="17" t="n">
        <v>3553</v>
      </c>
      <c r="C11" s="18">
        <f>(3106.0/B11*100)</f>
        <v/>
      </c>
      <c r="D11" s="19" t="n">
        <v>447</v>
      </c>
      <c r="E11" s="18" t="n">
        <v>17.86416073</v>
      </c>
      <c r="F11" s="20" t="n">
        <v>2.31650504</v>
      </c>
      <c r="G11" s="18" t="n">
        <v>73.44586845000001</v>
      </c>
      <c r="H11" s="20" t="n">
        <v>2.67938018</v>
      </c>
      <c r="I11" s="18" t="s">
        <v>431</v>
      </c>
      <c r="J11" s="20" t="s">
        <v>431</v>
      </c>
      <c r="K11" s="18" t="n">
        <v>0.19560357</v>
      </c>
      <c r="L11" s="20" t="n">
        <v>0.18103373</v>
      </c>
      <c r="M11" s="18" t="n">
        <v>0</v>
      </c>
      <c r="N11" s="20" t="n">
        <v>0</v>
      </c>
      <c r="O11" s="18" t="n">
        <v>0</v>
      </c>
      <c r="P11" s="20" t="n">
        <v>0</v>
      </c>
      <c r="Q11" s="18" t="n">
        <v>8.49436725</v>
      </c>
      <c r="R11" s="20" t="n">
        <v>1.3785052</v>
      </c>
    </row>
    <row r="12" spans="1:18">
      <c r="A12" s="15" t="s">
        <v>436</v>
      </c>
      <c r="B12" s="17" t="n">
        <v>3472</v>
      </c>
      <c r="C12" s="18">
        <f>(3057.0/B12*100)</f>
        <v/>
      </c>
      <c r="D12" s="19" t="n">
        <v>415</v>
      </c>
      <c r="E12" s="18" t="n">
        <v>14.86981543</v>
      </c>
      <c r="F12" s="20" t="n">
        <v>1.64419957</v>
      </c>
      <c r="G12" s="18" t="n">
        <v>82.74687054</v>
      </c>
      <c r="H12" s="20" t="n">
        <v>1.81277764</v>
      </c>
      <c r="I12" s="18" t="s">
        <v>431</v>
      </c>
      <c r="J12" s="20" t="s">
        <v>431</v>
      </c>
      <c r="K12" s="18" t="n">
        <v>0</v>
      </c>
      <c r="L12" s="20" t="n">
        <v>0</v>
      </c>
      <c r="M12" s="18" t="n">
        <v>0</v>
      </c>
      <c r="N12" s="20" t="n">
        <v>0</v>
      </c>
      <c r="O12" s="18" t="n">
        <v>0</v>
      </c>
      <c r="P12" s="20" t="n">
        <v>0</v>
      </c>
      <c r="Q12" s="18" t="n">
        <v>2.38331404</v>
      </c>
      <c r="R12" s="20" t="n">
        <v>0.9236176699999999</v>
      </c>
    </row>
    <row r="13" spans="1:18">
      <c r="A13" s="15" t="s">
        <v>437</v>
      </c>
      <c r="B13" s="17" t="n">
        <v>3559</v>
      </c>
      <c r="C13" s="18">
        <f>(3145.0/B13*100)</f>
        <v/>
      </c>
      <c r="D13" s="19" t="n">
        <v>414</v>
      </c>
      <c r="E13" s="18" t="n">
        <v>9.63077359</v>
      </c>
      <c r="F13" s="20" t="n">
        <v>1.63811307</v>
      </c>
      <c r="G13" s="18" t="n">
        <v>88.23203309</v>
      </c>
      <c r="H13" s="20" t="n">
        <v>1.78061317</v>
      </c>
      <c r="I13" s="18" t="s">
        <v>431</v>
      </c>
      <c r="J13" s="20" t="s">
        <v>431</v>
      </c>
      <c r="K13" s="18" t="n">
        <v>0.5045564</v>
      </c>
      <c r="L13" s="20" t="n">
        <v>0.35926485</v>
      </c>
      <c r="M13" s="18" t="n">
        <v>0</v>
      </c>
      <c r="N13" s="20" t="n">
        <v>0</v>
      </c>
      <c r="O13" s="18" t="n">
        <v>0</v>
      </c>
      <c r="P13" s="20" t="n">
        <v>0</v>
      </c>
      <c r="Q13" s="18" t="n">
        <v>1.63263692</v>
      </c>
      <c r="R13" s="20" t="n">
        <v>0.6834585399999999</v>
      </c>
    </row>
    <row r="14" spans="1:18">
      <c r="A14" s="15" t="s">
        <v>438</v>
      </c>
      <c r="B14" s="17" t="n">
        <v>2799</v>
      </c>
      <c r="C14" s="18">
        <f>(2457.0/B14*100)</f>
        <v/>
      </c>
      <c r="D14" s="19" t="n">
        <v>342</v>
      </c>
      <c r="E14" s="18" t="n">
        <v>9.090963990000001</v>
      </c>
      <c r="F14" s="20" t="n">
        <v>1.86201279</v>
      </c>
      <c r="G14" s="18" t="n">
        <v>90.68782462</v>
      </c>
      <c r="H14" s="20" t="n">
        <v>1.86772659</v>
      </c>
      <c r="I14" s="18" t="s">
        <v>431</v>
      </c>
      <c r="J14" s="20" t="s">
        <v>431</v>
      </c>
      <c r="K14" s="18" t="n">
        <v>0</v>
      </c>
      <c r="L14" s="20" t="n">
        <v>0</v>
      </c>
      <c r="M14" s="18" t="n">
        <v>0</v>
      </c>
      <c r="N14" s="20" t="n">
        <v>0</v>
      </c>
      <c r="O14" s="18" t="n">
        <v>0</v>
      </c>
      <c r="P14" s="20" t="n">
        <v>0</v>
      </c>
      <c r="Q14" s="18" t="n">
        <v>0.22121139</v>
      </c>
      <c r="R14" s="20" t="n">
        <v>0.22059816</v>
      </c>
    </row>
    <row r="15" spans="1:18">
      <c r="A15" s="15" t="s">
        <v>439</v>
      </c>
      <c r="B15" s="17" t="n">
        <v>3019</v>
      </c>
      <c r="C15" s="18">
        <f>(2648.0/B15*100)</f>
        <v/>
      </c>
      <c r="D15" s="19" t="n">
        <v>371</v>
      </c>
      <c r="E15" s="18" t="n">
        <v>10.68001105</v>
      </c>
      <c r="F15" s="20" t="n">
        <v>1.56050807</v>
      </c>
      <c r="G15" s="18" t="n">
        <v>86.80411132</v>
      </c>
      <c r="H15" s="20" t="n">
        <v>1.82696395</v>
      </c>
      <c r="I15" s="18" t="s">
        <v>431</v>
      </c>
      <c r="J15" s="20" t="s">
        <v>431</v>
      </c>
      <c r="K15" s="18" t="n">
        <v>0.2505041</v>
      </c>
      <c r="L15" s="20" t="n">
        <v>0.25144761</v>
      </c>
      <c r="M15" s="18" t="n">
        <v>0</v>
      </c>
      <c r="N15" s="20" t="n">
        <v>0</v>
      </c>
      <c r="O15" s="18" t="n">
        <v>0</v>
      </c>
      <c r="P15" s="20" t="n">
        <v>0</v>
      </c>
      <c r="Q15" s="18" t="n">
        <v>2.26537353</v>
      </c>
      <c r="R15" s="20" t="n">
        <v>0.94635143</v>
      </c>
    </row>
    <row r="16" spans="1:18">
      <c r="A16" s="15" t="s">
        <v>440</v>
      </c>
      <c r="B16" s="17" t="n">
        <v>2997</v>
      </c>
      <c r="C16" s="18">
        <f>(2637.0/B16*100)</f>
        <v/>
      </c>
      <c r="D16" s="19" t="n">
        <v>360</v>
      </c>
      <c r="E16" s="18" t="n">
        <v>12.12042145</v>
      </c>
      <c r="F16" s="20" t="n">
        <v>1.90484748</v>
      </c>
      <c r="G16" s="18" t="n">
        <v>82.66944113</v>
      </c>
      <c r="H16" s="20" t="n">
        <v>2.45612949</v>
      </c>
      <c r="I16" s="18" t="s">
        <v>431</v>
      </c>
      <c r="J16" s="20" t="s">
        <v>431</v>
      </c>
      <c r="K16" s="18" t="n">
        <v>1.01380115</v>
      </c>
      <c r="L16" s="20" t="n">
        <v>0.60482103</v>
      </c>
      <c r="M16" s="18" t="n">
        <v>0</v>
      </c>
      <c r="N16" s="20" t="n">
        <v>0</v>
      </c>
      <c r="O16" s="18" t="n">
        <v>0</v>
      </c>
      <c r="P16" s="20" t="n">
        <v>0</v>
      </c>
      <c r="Q16" s="18" t="n">
        <v>4.19633627</v>
      </c>
      <c r="R16" s="20" t="n">
        <v>1.08254338</v>
      </c>
    </row>
    <row r="17" spans="1:18">
      <c r="A17" s="15" t="s">
        <v>441</v>
      </c>
      <c r="B17" s="17" t="n">
        <v>3307</v>
      </c>
      <c r="C17" s="18">
        <f>(2907.0/B17*100)</f>
        <v/>
      </c>
      <c r="D17" s="19" t="n">
        <v>400</v>
      </c>
      <c r="E17" s="18" t="n">
        <v>12.66403544</v>
      </c>
      <c r="F17" s="20" t="n">
        <v>1.50535236</v>
      </c>
      <c r="G17" s="18" t="n">
        <v>84.36278519</v>
      </c>
      <c r="H17" s="20" t="n">
        <v>1.82498063</v>
      </c>
      <c r="I17" s="18" t="s">
        <v>431</v>
      </c>
      <c r="J17" s="20" t="s">
        <v>431</v>
      </c>
      <c r="K17" s="18" t="n">
        <v>0.29528592</v>
      </c>
      <c r="L17" s="20" t="n">
        <v>0.29317019</v>
      </c>
      <c r="M17" s="18" t="n">
        <v>0</v>
      </c>
      <c r="N17" s="20" t="n">
        <v>0</v>
      </c>
      <c r="O17" s="18" t="n">
        <v>0</v>
      </c>
      <c r="P17" s="20" t="n">
        <v>0</v>
      </c>
      <c r="Q17" s="18" t="n">
        <v>2.67789345</v>
      </c>
      <c r="R17" s="20" t="n">
        <v>0.77537594</v>
      </c>
    </row>
    <row r="18" spans="1:18">
      <c r="A18" s="15" t="s">
        <v>442</v>
      </c>
      <c r="B18" s="17" t="n">
        <v>2826</v>
      </c>
      <c r="C18" s="18">
        <f>(2482.0/B18*100)</f>
        <v/>
      </c>
      <c r="D18" s="19" t="n">
        <v>344</v>
      </c>
      <c r="E18" s="18" t="n">
        <v>20.56397821</v>
      </c>
      <c r="F18" s="20" t="n">
        <v>2.41397847</v>
      </c>
      <c r="G18" s="18" t="n">
        <v>72.31757045000001</v>
      </c>
      <c r="H18" s="20" t="n">
        <v>2.73955847</v>
      </c>
      <c r="I18" s="18" t="s">
        <v>431</v>
      </c>
      <c r="J18" s="20" t="s">
        <v>431</v>
      </c>
      <c r="K18" s="18" t="n">
        <v>0.14693927</v>
      </c>
      <c r="L18" s="20" t="n">
        <v>0.14770791</v>
      </c>
      <c r="M18" s="18" t="n">
        <v>0</v>
      </c>
      <c r="N18" s="20" t="n">
        <v>0</v>
      </c>
      <c r="O18" s="18" t="n">
        <v>0</v>
      </c>
      <c r="P18" s="20" t="n">
        <v>0</v>
      </c>
      <c r="Q18" s="18" t="n">
        <v>6.97151206</v>
      </c>
      <c r="R18" s="20" t="n">
        <v>1.6047825</v>
      </c>
    </row>
    <row r="19" spans="1:18">
      <c r="A19" s="15" t="s">
        <v>443</v>
      </c>
      <c r="B19" s="17" t="n">
        <v>2808</v>
      </c>
      <c r="C19" s="18">
        <f>(2459.0/B19*100)</f>
        <v/>
      </c>
      <c r="D19" s="19" t="n">
        <v>349</v>
      </c>
      <c r="E19" s="18" t="n">
        <v>12.00353412</v>
      </c>
      <c r="F19" s="20" t="n">
        <v>1.84851038</v>
      </c>
      <c r="G19" s="18" t="n">
        <v>84.60638173</v>
      </c>
      <c r="H19" s="20" t="n">
        <v>2.28776464</v>
      </c>
      <c r="I19" s="18" t="s">
        <v>431</v>
      </c>
      <c r="J19" s="20" t="s">
        <v>431</v>
      </c>
      <c r="K19" s="18" t="n">
        <v>0</v>
      </c>
      <c r="L19" s="20" t="n">
        <v>0</v>
      </c>
      <c r="M19" s="18" t="n">
        <v>0</v>
      </c>
      <c r="N19" s="20" t="n">
        <v>0</v>
      </c>
      <c r="O19" s="18" t="n">
        <v>0</v>
      </c>
      <c r="P19" s="20" t="n">
        <v>0</v>
      </c>
      <c r="Q19" s="18" t="n">
        <v>3.39008414</v>
      </c>
      <c r="R19" s="20" t="n">
        <v>1.22321437</v>
      </c>
    </row>
    <row r="20" spans="1:18">
      <c r="A20" s="15" t="s">
        <v>444</v>
      </c>
      <c r="B20" s="17" t="n">
        <v>1630</v>
      </c>
      <c r="C20" s="18">
        <f>(1434.0/B20*100)</f>
        <v/>
      </c>
      <c r="D20" s="19" t="n">
        <v>196</v>
      </c>
      <c r="E20" s="18" t="n">
        <v>17.37397415</v>
      </c>
      <c r="F20" s="20" t="n">
        <v>2.6687013</v>
      </c>
      <c r="G20" s="18" t="n">
        <v>79.12143641999999</v>
      </c>
      <c r="H20" s="20" t="n">
        <v>2.9690411</v>
      </c>
      <c r="I20" s="18" t="s">
        <v>431</v>
      </c>
      <c r="J20" s="20" t="s">
        <v>431</v>
      </c>
      <c r="K20" s="18" t="n">
        <v>0.58157203</v>
      </c>
      <c r="L20" s="20" t="n">
        <v>0.58935858</v>
      </c>
      <c r="M20" s="18" t="n">
        <v>0</v>
      </c>
      <c r="N20" s="20" t="n">
        <v>0</v>
      </c>
      <c r="O20" s="18" t="n">
        <v>0</v>
      </c>
      <c r="P20" s="20" t="n">
        <v>0</v>
      </c>
      <c r="Q20" s="18" t="n">
        <v>2.92301739</v>
      </c>
      <c r="R20" s="20" t="n">
        <v>1.15778973</v>
      </c>
    </row>
    <row r="21" spans="1:18">
      <c r="A21" s="15" t="s">
        <v>445</v>
      </c>
      <c r="B21" s="17" t="n">
        <v>2908</v>
      </c>
      <c r="C21" s="18">
        <f>(2418.0/B21*100)</f>
        <v/>
      </c>
      <c r="D21" s="19" t="n">
        <v>490</v>
      </c>
      <c r="E21" s="18" t="n">
        <v>13.04288587</v>
      </c>
      <c r="F21" s="20" t="n">
        <v>1.6695141</v>
      </c>
      <c r="G21" s="18" t="n">
        <v>85.9308138</v>
      </c>
      <c r="H21" s="20" t="n">
        <v>1.74308157</v>
      </c>
      <c r="I21" s="18" t="s">
        <v>431</v>
      </c>
      <c r="J21" s="20" t="s">
        <v>431</v>
      </c>
      <c r="K21" s="18" t="n">
        <v>0</v>
      </c>
      <c r="L21" s="20" t="n">
        <v>0</v>
      </c>
      <c r="M21" s="18" t="n">
        <v>0</v>
      </c>
      <c r="N21" s="20" t="n">
        <v>0</v>
      </c>
      <c r="O21" s="18" t="n">
        <v>0</v>
      </c>
      <c r="P21" s="20" t="n">
        <v>0</v>
      </c>
      <c r="Q21" s="18" t="n">
        <v>1.02630033</v>
      </c>
      <c r="R21" s="20" t="n">
        <v>0.490674</v>
      </c>
    </row>
    <row r="22" spans="1:18">
      <c r="A22" s="15" t="s">
        <v>446</v>
      </c>
      <c r="B22" s="17" t="n">
        <v>2931</v>
      </c>
      <c r="C22" s="18">
        <f>(2563.0/B22*100)</f>
        <v/>
      </c>
      <c r="D22" s="19" t="n">
        <v>368</v>
      </c>
      <c r="E22" s="18" t="n">
        <v>20.24197533</v>
      </c>
      <c r="F22" s="20" t="n">
        <v>2.05556561</v>
      </c>
      <c r="G22" s="18" t="n">
        <v>74.15883155</v>
      </c>
      <c r="H22" s="20" t="n">
        <v>2.18775674</v>
      </c>
      <c r="I22" s="18" t="s">
        <v>431</v>
      </c>
      <c r="J22" s="20" t="s">
        <v>431</v>
      </c>
      <c r="K22" s="18" t="n">
        <v>0.65622914</v>
      </c>
      <c r="L22" s="20" t="n">
        <v>0.48076468</v>
      </c>
      <c r="M22" s="18" t="n">
        <v>0</v>
      </c>
      <c r="N22" s="20" t="n">
        <v>0</v>
      </c>
      <c r="O22" s="18" t="n">
        <v>0</v>
      </c>
      <c r="P22" s="20" t="n">
        <v>0</v>
      </c>
      <c r="Q22" s="18" t="n">
        <v>4.94296398</v>
      </c>
      <c r="R22" s="20" t="n">
        <v>1.23588325</v>
      </c>
    </row>
    <row r="23" spans="1:18">
      <c r="A23" s="15" t="s">
        <v>447</v>
      </c>
      <c r="B23" s="17" t="n">
        <v>5791</v>
      </c>
      <c r="C23" s="18">
        <f>(5033.0/B23*100)</f>
        <v/>
      </c>
      <c r="D23" s="19" t="n">
        <v>758</v>
      </c>
      <c r="E23" s="18" t="n">
        <v>12.2277144</v>
      </c>
      <c r="F23" s="20" t="n">
        <v>1.85706308</v>
      </c>
      <c r="G23" s="18" t="n">
        <v>82.9795816</v>
      </c>
      <c r="H23" s="20" t="n">
        <v>1.98658099</v>
      </c>
      <c r="I23" s="18" t="s">
        <v>431</v>
      </c>
      <c r="J23" s="20" t="s">
        <v>431</v>
      </c>
      <c r="K23" s="18" t="n">
        <v>0</v>
      </c>
      <c r="L23" s="20" t="n">
        <v>0</v>
      </c>
      <c r="M23" s="18" t="n">
        <v>0</v>
      </c>
      <c r="N23" s="20" t="n">
        <v>0</v>
      </c>
      <c r="O23" s="18" t="n">
        <v>0</v>
      </c>
      <c r="P23" s="20" t="n">
        <v>0</v>
      </c>
      <c r="Q23" s="18" t="n">
        <v>4.79270401</v>
      </c>
      <c r="R23" s="20" t="n">
        <v>1.3500855</v>
      </c>
    </row>
    <row r="24" spans="1:18">
      <c r="A24" s="15" t="s">
        <v>448</v>
      </c>
      <c r="B24" s="17" t="n">
        <v>3338</v>
      </c>
      <c r="C24" s="18">
        <f>(2942.0/B24*100)</f>
        <v/>
      </c>
      <c r="D24" s="19" t="n">
        <v>396</v>
      </c>
      <c r="E24" s="18" t="n">
        <v>9.138273570000001</v>
      </c>
      <c r="F24" s="20" t="n">
        <v>1.39402714</v>
      </c>
      <c r="G24" s="18" t="n">
        <v>89.70013881</v>
      </c>
      <c r="H24" s="20" t="n">
        <v>1.49473383</v>
      </c>
      <c r="I24" s="18" t="s">
        <v>431</v>
      </c>
      <c r="J24" s="20" t="s">
        <v>431</v>
      </c>
      <c r="K24" s="18" t="n">
        <v>0</v>
      </c>
      <c r="L24" s="20" t="n">
        <v>0</v>
      </c>
      <c r="M24" s="18" t="n">
        <v>0</v>
      </c>
      <c r="N24" s="20" t="n">
        <v>0</v>
      </c>
      <c r="O24" s="18" t="n">
        <v>0</v>
      </c>
      <c r="P24" s="20" t="n">
        <v>0</v>
      </c>
      <c r="Q24" s="18" t="n">
        <v>1.16158762</v>
      </c>
      <c r="R24" s="20" t="n">
        <v>0.41623082</v>
      </c>
    </row>
    <row r="25" spans="1:18">
      <c r="A25" s="15" t="s">
        <v>449</v>
      </c>
      <c r="B25" s="17" t="n">
        <v>2912</v>
      </c>
      <c r="C25" s="18">
        <f>(2561.0/B25*100)</f>
        <v/>
      </c>
      <c r="D25" s="19" t="n">
        <v>351</v>
      </c>
      <c r="E25" s="18" t="n">
        <v>16.65218878</v>
      </c>
      <c r="F25" s="20" t="n">
        <v>2.15604253</v>
      </c>
      <c r="G25" s="18" t="n">
        <v>81.82051126</v>
      </c>
      <c r="H25" s="20" t="n">
        <v>2.07847576</v>
      </c>
      <c r="I25" s="18" t="s">
        <v>431</v>
      </c>
      <c r="J25" s="20" t="s">
        <v>431</v>
      </c>
      <c r="K25" s="18" t="n">
        <v>0.86251441</v>
      </c>
      <c r="L25" s="20" t="n">
        <v>0.50074527</v>
      </c>
      <c r="M25" s="18" t="n">
        <v>0</v>
      </c>
      <c r="N25" s="20" t="n">
        <v>0</v>
      </c>
      <c r="O25" s="18" t="n">
        <v>0</v>
      </c>
      <c r="P25" s="20" t="n">
        <v>0</v>
      </c>
      <c r="Q25" s="18" t="n">
        <v>0.6647855499999999</v>
      </c>
      <c r="R25" s="20" t="n">
        <v>0.46798799</v>
      </c>
    </row>
    <row r="26" spans="1:18">
      <c r="A26" s="15" t="s">
        <v>450</v>
      </c>
      <c r="B26" s="17" t="n">
        <v>2450</v>
      </c>
      <c r="C26" s="18">
        <f>(2147.0/B26*100)</f>
        <v/>
      </c>
      <c r="D26" s="19" t="n">
        <v>303</v>
      </c>
      <c r="E26" s="18" t="n">
        <v>28.28193065</v>
      </c>
      <c r="F26" s="20" t="n">
        <v>3.01745439</v>
      </c>
      <c r="G26" s="18" t="n">
        <v>70.22224198000001</v>
      </c>
      <c r="H26" s="20" t="n">
        <v>3.09374073</v>
      </c>
      <c r="I26" s="18" t="s">
        <v>431</v>
      </c>
      <c r="J26" s="20" t="s">
        <v>431</v>
      </c>
      <c r="K26" s="18" t="n">
        <v>0</v>
      </c>
      <c r="L26" s="20" t="n">
        <v>0</v>
      </c>
      <c r="M26" s="18" t="n">
        <v>0</v>
      </c>
      <c r="N26" s="20" t="n">
        <v>0</v>
      </c>
      <c r="O26" s="18" t="n">
        <v>0</v>
      </c>
      <c r="P26" s="20" t="n">
        <v>0</v>
      </c>
      <c r="Q26" s="18" t="n">
        <v>1.49582737</v>
      </c>
      <c r="R26" s="20" t="n">
        <v>0.79699166</v>
      </c>
    </row>
    <row r="27" spans="1:18">
      <c r="A27" s="15" t="s">
        <v>451</v>
      </c>
      <c r="B27" s="17" t="n">
        <v>2616</v>
      </c>
      <c r="C27" s="18">
        <f>(2301.0/B27*100)</f>
        <v/>
      </c>
      <c r="D27" s="19" t="n">
        <v>315</v>
      </c>
      <c r="E27" s="18" t="n">
        <v>17.3512572</v>
      </c>
      <c r="F27" s="20" t="n">
        <v>2.11594896</v>
      </c>
      <c r="G27" s="18" t="n">
        <v>77.23800844</v>
      </c>
      <c r="H27" s="20" t="n">
        <v>2.31720921</v>
      </c>
      <c r="I27" s="18" t="s">
        <v>431</v>
      </c>
      <c r="J27" s="20" t="s">
        <v>431</v>
      </c>
      <c r="K27" s="18" t="n">
        <v>0.32661281</v>
      </c>
      <c r="L27" s="20" t="n">
        <v>0.32766159</v>
      </c>
      <c r="M27" s="18" t="n">
        <v>0</v>
      </c>
      <c r="N27" s="20" t="n">
        <v>0</v>
      </c>
      <c r="O27" s="18" t="n">
        <v>0</v>
      </c>
      <c r="P27" s="20" t="n">
        <v>0</v>
      </c>
      <c r="Q27" s="18" t="n">
        <v>5.08412155</v>
      </c>
      <c r="R27" s="20" t="n">
        <v>1.33197954</v>
      </c>
    </row>
    <row r="28" spans="1:18">
      <c r="A28" s="15" t="s">
        <v>452</v>
      </c>
      <c r="B28" s="17" t="n">
        <v>3765</v>
      </c>
      <c r="C28" s="18">
        <f>(3330.0/B28*100)</f>
        <v/>
      </c>
      <c r="D28" s="19" t="n">
        <v>435</v>
      </c>
      <c r="E28" s="18" t="n">
        <v>27.09959516</v>
      </c>
      <c r="F28" s="20" t="n">
        <v>2.32334271</v>
      </c>
      <c r="G28" s="18" t="n">
        <v>68.81038998</v>
      </c>
      <c r="H28" s="20" t="n">
        <v>2.47036311</v>
      </c>
      <c r="I28" s="18" t="s">
        <v>431</v>
      </c>
      <c r="J28" s="20" t="s">
        <v>431</v>
      </c>
      <c r="K28" s="18" t="n">
        <v>0.24298961</v>
      </c>
      <c r="L28" s="20" t="n">
        <v>0.24697874</v>
      </c>
      <c r="M28" s="18" t="n">
        <v>0</v>
      </c>
      <c r="N28" s="20" t="n">
        <v>0</v>
      </c>
      <c r="O28" s="18" t="n">
        <v>0</v>
      </c>
      <c r="P28" s="20" t="n">
        <v>0</v>
      </c>
      <c r="Q28" s="18" t="n">
        <v>3.84702525</v>
      </c>
      <c r="R28" s="20" t="n">
        <v>1.03159457</v>
      </c>
    </row>
    <row r="29" spans="1:18">
      <c r="A29" s="15" t="s">
        <v>453</v>
      </c>
      <c r="B29" s="17" t="n">
        <v>2685</v>
      </c>
      <c r="C29" s="18">
        <f>(2363.0/B29*100)</f>
        <v/>
      </c>
      <c r="D29" s="19" t="n">
        <v>322</v>
      </c>
      <c r="E29" s="18" t="n">
        <v>9.834113370000001</v>
      </c>
      <c r="F29" s="20" t="n">
        <v>1.66155921</v>
      </c>
      <c r="G29" s="18" t="n">
        <v>89.13344537</v>
      </c>
      <c r="H29" s="20" t="n">
        <v>1.87293537</v>
      </c>
      <c r="I29" s="18" t="s">
        <v>431</v>
      </c>
      <c r="J29" s="20" t="s">
        <v>431</v>
      </c>
      <c r="K29" s="18" t="n">
        <v>0.39799614</v>
      </c>
      <c r="L29" s="20" t="n">
        <v>0.39391798</v>
      </c>
      <c r="M29" s="18" t="n">
        <v>0</v>
      </c>
      <c r="N29" s="20" t="n">
        <v>0</v>
      </c>
      <c r="O29" s="18" t="n">
        <v>0</v>
      </c>
      <c r="P29" s="20" t="n">
        <v>0</v>
      </c>
      <c r="Q29" s="18" t="n">
        <v>0.63444512</v>
      </c>
      <c r="R29" s="20" t="n">
        <v>0.48508684</v>
      </c>
    </row>
    <row r="30" spans="1:18">
      <c r="A30" s="15" t="s">
        <v>454</v>
      </c>
      <c r="B30" s="17" t="n">
        <v>2263</v>
      </c>
      <c r="C30" s="18">
        <f>(1994.0/B30*100)</f>
        <v/>
      </c>
      <c r="D30" s="19" t="n">
        <v>269</v>
      </c>
      <c r="E30" s="18" t="n">
        <v>15.67084896</v>
      </c>
      <c r="F30" s="20" t="n">
        <v>2.37295185</v>
      </c>
      <c r="G30" s="18" t="n">
        <v>81.56340413</v>
      </c>
      <c r="H30" s="20" t="n">
        <v>2.61043183</v>
      </c>
      <c r="I30" s="18" t="s">
        <v>431</v>
      </c>
      <c r="J30" s="20" t="s">
        <v>431</v>
      </c>
      <c r="K30" s="18" t="n">
        <v>0</v>
      </c>
      <c r="L30" s="20" t="n">
        <v>0</v>
      </c>
      <c r="M30" s="18" t="n">
        <v>0</v>
      </c>
      <c r="N30" s="20" t="n">
        <v>0</v>
      </c>
      <c r="O30" s="18" t="n">
        <v>0</v>
      </c>
      <c r="P30" s="20" t="n">
        <v>0</v>
      </c>
      <c r="Q30" s="18" t="n">
        <v>2.76574691</v>
      </c>
      <c r="R30" s="20" t="n">
        <v>1.01228661</v>
      </c>
    </row>
    <row r="31" spans="1:18">
      <c r="A31" s="15" t="s">
        <v>455</v>
      </c>
      <c r="B31" s="17" t="n">
        <v>2750</v>
      </c>
      <c r="C31" s="18">
        <f>(2429.0/B31*100)</f>
        <v/>
      </c>
      <c r="D31" s="19" t="n">
        <v>321</v>
      </c>
      <c r="E31" s="18" t="n">
        <v>10.95258404</v>
      </c>
      <c r="F31" s="20" t="n">
        <v>1.91827144</v>
      </c>
      <c r="G31" s="18" t="n">
        <v>84.12761035</v>
      </c>
      <c r="H31" s="20" t="n">
        <v>1.98142566</v>
      </c>
      <c r="I31" s="18" t="s">
        <v>431</v>
      </c>
      <c r="J31" s="20" t="s">
        <v>431</v>
      </c>
      <c r="K31" s="18" t="n">
        <v>0.30287108</v>
      </c>
      <c r="L31" s="20" t="n">
        <v>0.31774754</v>
      </c>
      <c r="M31" s="18" t="n">
        <v>0</v>
      </c>
      <c r="N31" s="20" t="n">
        <v>0</v>
      </c>
      <c r="O31" s="18" t="n">
        <v>0</v>
      </c>
      <c r="P31" s="20" t="n">
        <v>0</v>
      </c>
      <c r="Q31" s="18" t="n">
        <v>4.61693453</v>
      </c>
      <c r="R31" s="20" t="n">
        <v>1.01100602</v>
      </c>
    </row>
    <row r="32" spans="1:18">
      <c r="A32" s="15" t="s">
        <v>456</v>
      </c>
      <c r="B32" s="17" t="n">
        <v>2269</v>
      </c>
      <c r="C32" s="18">
        <f>(1895.0/B32*100)</f>
        <v/>
      </c>
      <c r="D32" s="19" t="n">
        <v>374</v>
      </c>
      <c r="E32" s="18" t="n">
        <v>11.51113034</v>
      </c>
      <c r="F32" s="20" t="n">
        <v>1.85440521</v>
      </c>
      <c r="G32" s="18" t="n">
        <v>86.35826375000001</v>
      </c>
      <c r="H32" s="20" t="n">
        <v>2.22371089</v>
      </c>
      <c r="I32" s="18" t="s">
        <v>431</v>
      </c>
      <c r="J32" s="20" t="s">
        <v>431</v>
      </c>
      <c r="K32" s="18" t="n">
        <v>0.25671725</v>
      </c>
      <c r="L32" s="20" t="n">
        <v>0.24219836</v>
      </c>
      <c r="M32" s="18" t="n">
        <v>0</v>
      </c>
      <c r="N32" s="20" t="n">
        <v>0</v>
      </c>
      <c r="O32" s="18" t="n">
        <v>0</v>
      </c>
      <c r="P32" s="20" t="n">
        <v>0</v>
      </c>
      <c r="Q32" s="18" t="n">
        <v>1.87388867</v>
      </c>
      <c r="R32" s="20" t="n">
        <v>0.76335834</v>
      </c>
    </row>
    <row r="33" spans="1:18">
      <c r="A33" s="15" t="s">
        <v>457</v>
      </c>
      <c r="B33" s="17" t="n">
        <v>3674</v>
      </c>
      <c r="C33" s="18">
        <f>(3226.0/B33*100)</f>
        <v/>
      </c>
      <c r="D33" s="19" t="n">
        <v>448</v>
      </c>
      <c r="E33" s="18" t="n">
        <v>8.13539293</v>
      </c>
      <c r="F33" s="20" t="n">
        <v>1.53760215</v>
      </c>
      <c r="G33" s="18" t="n">
        <v>90.15707075</v>
      </c>
      <c r="H33" s="20" t="n">
        <v>1.82469125</v>
      </c>
      <c r="I33" s="18" t="s">
        <v>431</v>
      </c>
      <c r="J33" s="20" t="s">
        <v>431</v>
      </c>
      <c r="K33" s="18" t="n">
        <v>0</v>
      </c>
      <c r="L33" s="20" t="n">
        <v>0</v>
      </c>
      <c r="M33" s="18" t="n">
        <v>0</v>
      </c>
      <c r="N33" s="20" t="n">
        <v>0</v>
      </c>
      <c r="O33" s="18" t="n">
        <v>0</v>
      </c>
      <c r="P33" s="20" t="n">
        <v>0</v>
      </c>
      <c r="Q33" s="18" t="n">
        <v>1.70753633</v>
      </c>
      <c r="R33" s="20" t="n">
        <v>0.78974164</v>
      </c>
    </row>
    <row r="34" spans="1:18">
      <c r="A34" s="15" t="s">
        <v>458</v>
      </c>
      <c r="B34" s="17" t="n">
        <v>3315</v>
      </c>
      <c r="C34" s="18">
        <f>(2919.0/B34*100)</f>
        <v/>
      </c>
      <c r="D34" s="19" t="n">
        <v>396</v>
      </c>
      <c r="E34" s="18" t="n">
        <v>21.61617882</v>
      </c>
      <c r="F34" s="20" t="n">
        <v>2.26543253</v>
      </c>
      <c r="G34" s="18" t="n">
        <v>75.6924017</v>
      </c>
      <c r="H34" s="20" t="n">
        <v>2.26774026</v>
      </c>
      <c r="I34" s="18" t="s">
        <v>431</v>
      </c>
      <c r="J34" s="20" t="s">
        <v>431</v>
      </c>
      <c r="K34" s="18" t="n">
        <v>0</v>
      </c>
      <c r="L34" s="20" t="n">
        <v>0</v>
      </c>
      <c r="M34" s="18" t="n">
        <v>0</v>
      </c>
      <c r="N34" s="20" t="n">
        <v>0</v>
      </c>
      <c r="O34" s="18" t="n">
        <v>0</v>
      </c>
      <c r="P34" s="20" t="n">
        <v>0</v>
      </c>
      <c r="Q34" s="18" t="n">
        <v>2.69141948</v>
      </c>
      <c r="R34" s="20" t="n">
        <v>0.8556599499999999</v>
      </c>
    </row>
    <row r="35" spans="1:18">
      <c r="A35" s="15" t="s">
        <v>459</v>
      </c>
      <c r="B35" s="17" t="n">
        <v>3505</v>
      </c>
      <c r="C35" s="18">
        <f>(3082.0/B35*100)</f>
        <v/>
      </c>
      <c r="D35" s="19" t="n">
        <v>423</v>
      </c>
      <c r="E35" s="18" t="n">
        <v>10.43256478</v>
      </c>
      <c r="F35" s="20" t="n">
        <v>1.87365249</v>
      </c>
      <c r="G35" s="18" t="n">
        <v>87.82175076</v>
      </c>
      <c r="H35" s="20" t="n">
        <v>1.92938477</v>
      </c>
      <c r="I35" s="18" t="s">
        <v>431</v>
      </c>
      <c r="J35" s="20" t="s">
        <v>431</v>
      </c>
      <c r="K35" s="18" t="n">
        <v>0</v>
      </c>
      <c r="L35" s="20" t="n">
        <v>0</v>
      </c>
      <c r="M35" s="18" t="n">
        <v>0</v>
      </c>
      <c r="N35" s="20" t="n">
        <v>0</v>
      </c>
      <c r="O35" s="18" t="n">
        <v>0</v>
      </c>
      <c r="P35" s="20" t="n">
        <v>0</v>
      </c>
      <c r="Q35" s="18" t="n">
        <v>1.74568446</v>
      </c>
      <c r="R35" s="20" t="n">
        <v>0.43609859</v>
      </c>
    </row>
    <row r="36" spans="1:18">
      <c r="A36" s="15" t="s">
        <v>460</v>
      </c>
      <c r="B36" s="17" t="n">
        <v>3332</v>
      </c>
      <c r="C36" s="18">
        <f>(2927.0/B36*100)</f>
        <v/>
      </c>
      <c r="D36" s="19" t="n">
        <v>405</v>
      </c>
      <c r="E36" s="18" t="n">
        <v>10.56176551</v>
      </c>
      <c r="F36" s="20" t="n">
        <v>1.83177474</v>
      </c>
      <c r="G36" s="18" t="n">
        <v>85.65139025000001</v>
      </c>
      <c r="H36" s="20" t="n">
        <v>2.32194177</v>
      </c>
      <c r="I36" s="18" t="s">
        <v>431</v>
      </c>
      <c r="J36" s="20" t="s">
        <v>431</v>
      </c>
      <c r="K36" s="18" t="n">
        <v>0</v>
      </c>
      <c r="L36" s="20" t="n">
        <v>0</v>
      </c>
      <c r="M36" s="18" t="n">
        <v>0</v>
      </c>
      <c r="N36" s="20" t="n">
        <v>0</v>
      </c>
      <c r="O36" s="18" t="n">
        <v>0</v>
      </c>
      <c r="P36" s="20" t="n">
        <v>0</v>
      </c>
      <c r="Q36" s="18" t="n">
        <v>3.78684424</v>
      </c>
      <c r="R36" s="20" t="n">
        <v>1.1556397</v>
      </c>
    </row>
    <row r="37" spans="1:18">
      <c r="A37" s="15" t="s">
        <v>461</v>
      </c>
      <c r="B37" s="17" t="n">
        <v>2727</v>
      </c>
      <c r="C37" s="18">
        <f>(2394.0/B37*100)</f>
        <v/>
      </c>
      <c r="D37" s="19" t="n">
        <v>333</v>
      </c>
      <c r="E37" s="18" t="n">
        <v>18.73934759</v>
      </c>
      <c r="F37" s="20" t="n">
        <v>1.99711139</v>
      </c>
      <c r="G37" s="18" t="n">
        <v>73.45615524999999</v>
      </c>
      <c r="H37" s="20" t="n">
        <v>2.37211991</v>
      </c>
      <c r="I37" s="18" t="s">
        <v>431</v>
      </c>
      <c r="J37" s="20" t="s">
        <v>431</v>
      </c>
      <c r="K37" s="18" t="n">
        <v>0.26325062</v>
      </c>
      <c r="L37" s="20" t="n">
        <v>0.37345982</v>
      </c>
      <c r="M37" s="18" t="n">
        <v>0</v>
      </c>
      <c r="N37" s="20" t="n">
        <v>0</v>
      </c>
      <c r="O37" s="18" t="n">
        <v>0</v>
      </c>
      <c r="P37" s="20" t="n">
        <v>0</v>
      </c>
      <c r="Q37" s="18" t="n">
        <v>7.54124654</v>
      </c>
      <c r="R37" s="20" t="n">
        <v>1.46259635</v>
      </c>
    </row>
    <row r="38" spans="1:18">
      <c r="A38" s="15" t="s">
        <v>462</v>
      </c>
      <c r="B38" s="17" t="n">
        <v>3053</v>
      </c>
      <c r="C38" s="18">
        <f>(2546.0/B38*100)</f>
        <v/>
      </c>
      <c r="D38" s="19" t="n">
        <v>507</v>
      </c>
      <c r="E38" s="18" t="n">
        <v>16.12911492</v>
      </c>
      <c r="F38" s="20" t="n">
        <v>1.78085404</v>
      </c>
      <c r="G38" s="18" t="n">
        <v>81.49421869</v>
      </c>
      <c r="H38" s="20" t="n">
        <v>1.96421708</v>
      </c>
      <c r="I38" s="18" t="s">
        <v>431</v>
      </c>
      <c r="J38" s="20" t="s">
        <v>431</v>
      </c>
      <c r="K38" s="18" t="n">
        <v>0</v>
      </c>
      <c r="L38" s="20" t="n">
        <v>0</v>
      </c>
      <c r="M38" s="18" t="n">
        <v>0</v>
      </c>
      <c r="N38" s="20" t="n">
        <v>0</v>
      </c>
      <c r="O38" s="18" t="n">
        <v>0</v>
      </c>
      <c r="P38" s="20" t="n">
        <v>0</v>
      </c>
      <c r="Q38" s="18" t="n">
        <v>2.37666639</v>
      </c>
      <c r="R38" s="20" t="n">
        <v>0.63564749</v>
      </c>
    </row>
    <row r="39" spans="1:18">
      <c r="A39" s="15" t="s">
        <v>463</v>
      </c>
      <c r="B39" s="17" t="n">
        <v>2957</v>
      </c>
      <c r="C39" s="18">
        <f>(2592.0/B39*100)</f>
        <v/>
      </c>
      <c r="D39" s="19" t="n">
        <v>365</v>
      </c>
      <c r="E39" s="18" t="n">
        <v>32.96265528</v>
      </c>
      <c r="F39" s="20" t="n">
        <v>3.48314692</v>
      </c>
      <c r="G39" s="18" t="n">
        <v>63.00264332</v>
      </c>
      <c r="H39" s="20" t="n">
        <v>3.57820641</v>
      </c>
      <c r="I39" s="18" t="s">
        <v>431</v>
      </c>
      <c r="J39" s="20" t="s">
        <v>431</v>
      </c>
      <c r="K39" s="18" t="n">
        <v>0.39935416</v>
      </c>
      <c r="L39" s="20" t="n">
        <v>0.4044374</v>
      </c>
      <c r="M39" s="18" t="n">
        <v>0</v>
      </c>
      <c r="N39" s="20" t="n">
        <v>0</v>
      </c>
      <c r="O39" s="18" t="n">
        <v>0</v>
      </c>
      <c r="P39" s="20" t="n">
        <v>0</v>
      </c>
      <c r="Q39" s="18" t="n">
        <v>3.63534724</v>
      </c>
      <c r="R39" s="20" t="n">
        <v>1.15521452</v>
      </c>
    </row>
    <row r="40" spans="1:18">
      <c r="A40" s="15" t="s">
        <v>464</v>
      </c>
      <c r="B40" s="17" t="n">
        <v>7235</v>
      </c>
      <c r="C40" s="18">
        <f>(6339.0/B40*100)</f>
        <v/>
      </c>
      <c r="D40" s="19" t="n">
        <v>896</v>
      </c>
      <c r="E40" s="18" t="n">
        <v>14.26377096</v>
      </c>
      <c r="F40" s="20" t="n">
        <v>1.7406771</v>
      </c>
      <c r="G40" s="18" t="n">
        <v>81.94385023</v>
      </c>
      <c r="H40" s="20" t="n">
        <v>1.7555638</v>
      </c>
      <c r="I40" s="18" t="s">
        <v>431</v>
      </c>
      <c r="J40" s="20" t="s">
        <v>431</v>
      </c>
      <c r="K40" s="18" t="n">
        <v>0.28694008</v>
      </c>
      <c r="L40" s="20" t="n">
        <v>0.16051453</v>
      </c>
      <c r="M40" s="18" t="n">
        <v>0</v>
      </c>
      <c r="N40" s="20" t="n">
        <v>0</v>
      </c>
      <c r="O40" s="18" t="n">
        <v>0</v>
      </c>
      <c r="P40" s="20" t="n">
        <v>0</v>
      </c>
      <c r="Q40" s="18" t="n">
        <v>3.50543872</v>
      </c>
      <c r="R40" s="20" t="n">
        <v>0.82936132</v>
      </c>
    </row>
    <row r="41" spans="1:18">
      <c r="A41" s="15" t="s">
        <v>465</v>
      </c>
      <c r="B41" s="17" t="n">
        <v>2858</v>
      </c>
      <c r="C41" s="18">
        <f>(2493.0/B41*100)</f>
        <v/>
      </c>
      <c r="D41" s="19" t="n">
        <v>365</v>
      </c>
      <c r="E41" s="18" t="n">
        <v>13.47066968</v>
      </c>
      <c r="F41" s="20" t="n">
        <v>1.60219039</v>
      </c>
      <c r="G41" s="18" t="n">
        <v>84.54859743999999</v>
      </c>
      <c r="H41" s="20" t="n">
        <v>1.72175748</v>
      </c>
      <c r="I41" s="18" t="s">
        <v>431</v>
      </c>
      <c r="J41" s="20" t="s">
        <v>431</v>
      </c>
      <c r="K41" s="18" t="n">
        <v>0</v>
      </c>
      <c r="L41" s="20" t="n">
        <v>0</v>
      </c>
      <c r="M41" s="18" t="n">
        <v>0</v>
      </c>
      <c r="N41" s="20" t="n">
        <v>0</v>
      </c>
      <c r="O41" s="18" t="n">
        <v>0</v>
      </c>
      <c r="P41" s="20" t="n">
        <v>0</v>
      </c>
      <c r="Q41" s="18" t="n">
        <v>1.98073288</v>
      </c>
      <c r="R41" s="20" t="n">
        <v>0.60162039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(9879.0/B46*100)</f>
        <v/>
      </c>
      <c r="D46" s="19" t="n">
        <v>1189</v>
      </c>
      <c r="E46" s="18" t="n">
        <v>38.06873182</v>
      </c>
      <c r="F46" s="20" t="n">
        <v>2.06910085</v>
      </c>
      <c r="G46" s="18" t="n">
        <v>54.61464301</v>
      </c>
      <c r="H46" s="20" t="n">
        <v>1.9092337</v>
      </c>
      <c r="I46" s="18" t="s">
        <v>431</v>
      </c>
      <c r="J46" s="20" t="s">
        <v>431</v>
      </c>
      <c r="K46" s="18" t="n">
        <v>0.88532217</v>
      </c>
      <c r="L46" s="20" t="n">
        <v>0.25025319</v>
      </c>
      <c r="M46" s="18" t="n">
        <v>0</v>
      </c>
      <c r="N46" s="20" t="n">
        <v>0</v>
      </c>
      <c r="O46" s="18" t="n">
        <v>0</v>
      </c>
      <c r="P46" s="20" t="n">
        <v>0</v>
      </c>
      <c r="Q46" s="18" t="n">
        <v>6.431303</v>
      </c>
      <c r="R46" s="20" t="n">
        <v>0.88842877</v>
      </c>
    </row>
    <row r="47" spans="1:18">
      <c r="A47" s="15" t="s">
        <v>471</v>
      </c>
      <c r="B47" s="17" t="n">
        <v>3105</v>
      </c>
      <c r="C47" s="18">
        <f>(2718.0/B47*100)</f>
        <v/>
      </c>
      <c r="D47" s="19" t="n">
        <v>387</v>
      </c>
      <c r="E47" s="18" t="n">
        <v>31.02988353</v>
      </c>
      <c r="F47" s="20" t="n">
        <v>2.92951611</v>
      </c>
      <c r="G47" s="18" t="n">
        <v>63.37089732</v>
      </c>
      <c r="H47" s="20" t="n">
        <v>2.83574925</v>
      </c>
      <c r="I47" s="18" t="s">
        <v>431</v>
      </c>
      <c r="J47" s="20" t="s">
        <v>431</v>
      </c>
      <c r="K47" s="18" t="n">
        <v>0</v>
      </c>
      <c r="L47" s="20" t="n">
        <v>0</v>
      </c>
      <c r="M47" s="18" t="n">
        <v>0</v>
      </c>
      <c r="N47" s="20" t="n">
        <v>0</v>
      </c>
      <c r="O47" s="18" t="n">
        <v>0</v>
      </c>
      <c r="P47" s="20" t="n">
        <v>0</v>
      </c>
      <c r="Q47" s="18" t="n">
        <v>5.59921914</v>
      </c>
      <c r="R47" s="20" t="n">
        <v>1.2078127</v>
      </c>
    </row>
    <row r="48" spans="1:18">
      <c r="A48" s="15" t="s">
        <v>472</v>
      </c>
      <c r="B48" s="17" t="n">
        <v>5159</v>
      </c>
      <c r="C48" s="18">
        <f>(4548.0/B48*100)</f>
        <v/>
      </c>
      <c r="D48" s="19" t="n">
        <v>611</v>
      </c>
      <c r="E48" s="18" t="n">
        <v>17.44941355</v>
      </c>
      <c r="F48" s="20" t="n">
        <v>2.06930816</v>
      </c>
      <c r="G48" s="18" t="n">
        <v>80.88687145999999</v>
      </c>
      <c r="H48" s="20" t="n">
        <v>2.32614443</v>
      </c>
      <c r="I48" s="18" t="s">
        <v>431</v>
      </c>
      <c r="J48" s="20" t="s">
        <v>431</v>
      </c>
      <c r="K48" s="18" t="n">
        <v>1.24774136</v>
      </c>
      <c r="L48" s="20" t="n">
        <v>0.63260217</v>
      </c>
      <c r="M48" s="18" t="n">
        <v>0</v>
      </c>
      <c r="N48" s="20" t="n">
        <v>0</v>
      </c>
      <c r="O48" s="18" t="n">
        <v>0</v>
      </c>
      <c r="P48" s="20" t="n">
        <v>0</v>
      </c>
      <c r="Q48" s="18" t="n">
        <v>0.41597363</v>
      </c>
      <c r="R48" s="20" t="n">
        <v>0.32054323</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(4961.0/B50*100)</f>
        <v/>
      </c>
      <c r="D50" s="19" t="n">
        <v>676</v>
      </c>
      <c r="E50" s="18" t="n">
        <v>32.64792625</v>
      </c>
      <c r="F50" s="20" t="n">
        <v>2.71769444</v>
      </c>
      <c r="G50" s="18" t="n">
        <v>59.84330354</v>
      </c>
      <c r="H50" s="20" t="n">
        <v>2.67921295</v>
      </c>
      <c r="I50" s="18" t="s">
        <v>431</v>
      </c>
      <c r="J50" s="20" t="s">
        <v>431</v>
      </c>
      <c r="K50" s="18" t="n">
        <v>2.13645784</v>
      </c>
      <c r="L50" s="20" t="n">
        <v>0.7597110500000001</v>
      </c>
      <c r="M50" s="18" t="n">
        <v>0</v>
      </c>
      <c r="N50" s="20" t="n">
        <v>0</v>
      </c>
      <c r="O50" s="18" t="n">
        <v>0</v>
      </c>
      <c r="P50" s="20" t="n">
        <v>0</v>
      </c>
      <c r="Q50" s="18" t="n">
        <v>5.37231237</v>
      </c>
      <c r="R50" s="20" t="n">
        <v>1.6495521</v>
      </c>
    </row>
    <row r="51" spans="1:18">
      <c r="A51" s="15" t="s">
        <v>475</v>
      </c>
      <c r="B51" s="17" t="n">
        <v>3372</v>
      </c>
      <c r="C51" s="18">
        <f>(2995.0/B51*100)</f>
        <v/>
      </c>
      <c r="D51" s="19" t="n">
        <v>377</v>
      </c>
      <c r="E51" s="18" t="n">
        <v>25.95744183</v>
      </c>
      <c r="F51" s="20" t="n">
        <v>2.55171655</v>
      </c>
      <c r="G51" s="18" t="n">
        <v>67.98962501</v>
      </c>
      <c r="H51" s="20" t="n">
        <v>2.77827692</v>
      </c>
      <c r="I51" s="18" t="s">
        <v>431</v>
      </c>
      <c r="J51" s="20" t="s">
        <v>431</v>
      </c>
      <c r="K51" s="18" t="n">
        <v>0.81009063</v>
      </c>
      <c r="L51" s="20" t="n">
        <v>0.48230206</v>
      </c>
      <c r="M51" s="18" t="n">
        <v>0</v>
      </c>
      <c r="N51" s="20" t="n">
        <v>0</v>
      </c>
      <c r="O51" s="18" t="n">
        <v>0</v>
      </c>
      <c r="P51" s="20" t="n">
        <v>0</v>
      </c>
      <c r="Q51" s="18" t="n">
        <v>5.24284253</v>
      </c>
      <c r="R51" s="20" t="n">
        <v>1.24953686</v>
      </c>
    </row>
    <row r="52" spans="1:18">
      <c r="A52" s="15" t="s">
        <v>476</v>
      </c>
      <c r="B52" s="17" t="n">
        <v>2796</v>
      </c>
      <c r="C52" s="18">
        <f>(2444.0/B52*100)</f>
        <v/>
      </c>
      <c r="D52" s="19" t="n">
        <v>352</v>
      </c>
      <c r="E52" s="18" t="n">
        <v>12.62440778</v>
      </c>
      <c r="F52" s="20" t="n">
        <v>1.96906368</v>
      </c>
      <c r="G52" s="18" t="n">
        <v>84.93409086</v>
      </c>
      <c r="H52" s="20" t="n">
        <v>1.78688271</v>
      </c>
      <c r="I52" s="18" t="s">
        <v>431</v>
      </c>
      <c r="J52" s="20" t="s">
        <v>431</v>
      </c>
      <c r="K52" s="18" t="n">
        <v>0.35627225</v>
      </c>
      <c r="L52" s="20" t="n">
        <v>0.36152979</v>
      </c>
      <c r="M52" s="18" t="n">
        <v>0</v>
      </c>
      <c r="N52" s="20" t="n">
        <v>0</v>
      </c>
      <c r="O52" s="18" t="n">
        <v>0</v>
      </c>
      <c r="P52" s="20" t="n">
        <v>0</v>
      </c>
      <c r="Q52" s="18" t="n">
        <v>2.08522911</v>
      </c>
      <c r="R52" s="20" t="n">
        <v>0.76104193</v>
      </c>
    </row>
    <row r="53" spans="1:18">
      <c r="A53" s="15" t="s">
        <v>477</v>
      </c>
      <c r="B53" s="17" t="n">
        <v>2811</v>
      </c>
      <c r="C53" s="18">
        <f>(2474.0/B53*100)</f>
        <v/>
      </c>
      <c r="D53" s="19" t="n">
        <v>337</v>
      </c>
      <c r="E53" s="18" t="n">
        <v>30.87140167</v>
      </c>
      <c r="F53" s="20" t="n">
        <v>2.40078225</v>
      </c>
      <c r="G53" s="18" t="n">
        <v>63.01982749</v>
      </c>
      <c r="H53" s="20" t="n">
        <v>2.73343861</v>
      </c>
      <c r="I53" s="18" t="s">
        <v>431</v>
      </c>
      <c r="J53" s="20" t="s">
        <v>431</v>
      </c>
      <c r="K53" s="18" t="n">
        <v>0.39505352</v>
      </c>
      <c r="L53" s="20" t="n">
        <v>0.39477041</v>
      </c>
      <c r="M53" s="18" t="n">
        <v>0</v>
      </c>
      <c r="N53" s="20" t="n">
        <v>0</v>
      </c>
      <c r="O53" s="18" t="n">
        <v>0</v>
      </c>
      <c r="P53" s="20" t="n">
        <v>0</v>
      </c>
      <c r="Q53" s="18" t="n">
        <v>5.71371732</v>
      </c>
      <c r="R53" s="20" t="n">
        <v>1.23551596</v>
      </c>
    </row>
    <row r="54" spans="1:18">
      <c r="A54" s="15" t="s">
        <v>478</v>
      </c>
      <c r="B54" s="17" t="n">
        <v>2266</v>
      </c>
      <c r="C54" s="18">
        <f>(1904.0/B54*100)</f>
        <v/>
      </c>
      <c r="D54" s="19" t="n">
        <v>362</v>
      </c>
      <c r="E54" s="18" t="n">
        <v>47.02175934</v>
      </c>
      <c r="F54" s="20" t="n">
        <v>3.00007909</v>
      </c>
      <c r="G54" s="18" t="n">
        <v>31.6076748</v>
      </c>
      <c r="H54" s="20" t="n">
        <v>2.5535764</v>
      </c>
      <c r="I54" s="18" t="s">
        <v>431</v>
      </c>
      <c r="J54" s="20" t="s">
        <v>431</v>
      </c>
      <c r="K54" s="18" t="n">
        <v>7.65042172</v>
      </c>
      <c r="L54" s="20" t="n">
        <v>1.61537088</v>
      </c>
      <c r="M54" s="18" t="n">
        <v>0</v>
      </c>
      <c r="N54" s="20" t="n">
        <v>0</v>
      </c>
      <c r="O54" s="18" t="n">
        <v>0</v>
      </c>
      <c r="P54" s="20" t="n">
        <v>0</v>
      </c>
      <c r="Q54" s="18" t="n">
        <v>13.72014414</v>
      </c>
      <c r="R54" s="20" t="n">
        <v>2.3468354</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(2338.0/B56*100)</f>
        <v/>
      </c>
      <c r="D56" s="19" t="n">
        <v>346</v>
      </c>
      <c r="E56" s="18" t="n">
        <v>10.68717809</v>
      </c>
      <c r="F56" s="20" t="n">
        <v>1.71774744</v>
      </c>
      <c r="G56" s="18" t="n">
        <v>88.25242532</v>
      </c>
      <c r="H56" s="20" t="n">
        <v>1.76008124</v>
      </c>
      <c r="I56" s="18" t="s">
        <v>431</v>
      </c>
      <c r="J56" s="20" t="s">
        <v>431</v>
      </c>
      <c r="K56" s="18" t="n">
        <v>0.37151725</v>
      </c>
      <c r="L56" s="20" t="n">
        <v>0.31630863</v>
      </c>
      <c r="M56" s="18" t="n">
        <v>0</v>
      </c>
      <c r="N56" s="20" t="n">
        <v>0</v>
      </c>
      <c r="O56" s="18" t="n">
        <v>0</v>
      </c>
      <c r="P56" s="20" t="n">
        <v>0</v>
      </c>
      <c r="Q56" s="18" t="n">
        <v>0.68887934</v>
      </c>
      <c r="R56" s="20" t="n">
        <v>0.51981097</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(2914.0/B61*100)</f>
        <v/>
      </c>
      <c r="D61" s="19" t="n">
        <v>410</v>
      </c>
      <c r="E61" s="18" t="n">
        <v>18.44263963</v>
      </c>
      <c r="F61" s="20" t="n">
        <v>2.14662357</v>
      </c>
      <c r="G61" s="18" t="n">
        <v>76.6420942</v>
      </c>
      <c r="H61" s="20" t="n">
        <v>2.4105021</v>
      </c>
      <c r="I61" s="18" t="s">
        <v>431</v>
      </c>
      <c r="J61" s="20" t="s">
        <v>431</v>
      </c>
      <c r="K61" s="18" t="n">
        <v>0</v>
      </c>
      <c r="L61" s="20" t="n">
        <v>0</v>
      </c>
      <c r="M61" s="18" t="n">
        <v>0</v>
      </c>
      <c r="N61" s="20" t="n">
        <v>0</v>
      </c>
      <c r="O61" s="18" t="n">
        <v>0</v>
      </c>
      <c r="P61" s="20" t="n">
        <v>0</v>
      </c>
      <c r="Q61" s="18" t="n">
        <v>4.91526617</v>
      </c>
      <c r="R61" s="20" t="n">
        <v>1.29954439</v>
      </c>
    </row>
    <row r="62" spans="1:18">
      <c r="A62" s="15" t="s">
        <v>486</v>
      </c>
      <c r="B62" s="17" t="n">
        <v>2246</v>
      </c>
      <c r="C62" s="18">
        <f>(1955.0/B62*100)</f>
        <v/>
      </c>
      <c r="D62" s="19" t="n">
        <v>291</v>
      </c>
      <c r="E62" s="18" t="n">
        <v>7.55374159</v>
      </c>
      <c r="F62" s="20" t="n">
        <v>1.675164</v>
      </c>
      <c r="G62" s="18" t="n">
        <v>92.10536498</v>
      </c>
      <c r="H62" s="20" t="n">
        <v>1.70523726</v>
      </c>
      <c r="I62" s="18" t="s">
        <v>431</v>
      </c>
      <c r="J62" s="20" t="s">
        <v>431</v>
      </c>
      <c r="K62" s="18" t="n">
        <v>0</v>
      </c>
      <c r="L62" s="20" t="n">
        <v>0</v>
      </c>
      <c r="M62" s="18" t="n">
        <v>0</v>
      </c>
      <c r="N62" s="20" t="n">
        <v>0</v>
      </c>
      <c r="O62" s="18" t="n">
        <v>0</v>
      </c>
      <c r="P62" s="20" t="n">
        <v>0</v>
      </c>
      <c r="Q62" s="18" t="n">
        <v>0.34089343</v>
      </c>
      <c r="R62" s="20" t="n">
        <v>0.34013102</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(2527.0/B66*100)</f>
        <v/>
      </c>
      <c r="D66" s="19" t="n">
        <v>367</v>
      </c>
      <c r="E66" s="18" t="n">
        <v>31.49021791</v>
      </c>
      <c r="F66" s="20" t="n">
        <v>2.82469732</v>
      </c>
      <c r="G66" s="18" t="n">
        <v>56.33989779</v>
      </c>
      <c r="H66" s="20" t="n">
        <v>2.87769706</v>
      </c>
      <c r="I66" s="18" t="s">
        <v>431</v>
      </c>
      <c r="J66" s="20" t="s">
        <v>431</v>
      </c>
      <c r="K66" s="18" t="n">
        <v>1.3587295</v>
      </c>
      <c r="L66" s="20" t="n">
        <v>0.60462644</v>
      </c>
      <c r="M66" s="18" t="n">
        <v>0</v>
      </c>
      <c r="N66" s="20" t="n">
        <v>0</v>
      </c>
      <c r="O66" s="18" t="n">
        <v>0</v>
      </c>
      <c r="P66" s="20" t="n">
        <v>0</v>
      </c>
      <c r="Q66" s="18" t="n">
        <v>10.81115479</v>
      </c>
      <c r="R66" s="20" t="n">
        <v>1.7336075</v>
      </c>
    </row>
    <row r="67" spans="1:18">
      <c r="A67" s="15" t="s">
        <v>491</v>
      </c>
      <c r="B67" s="17" t="n">
        <v>3511</v>
      </c>
      <c r="C67" s="18">
        <f>(3085.0/B67*100)</f>
        <v/>
      </c>
      <c r="D67" s="19" t="n">
        <v>426</v>
      </c>
      <c r="E67" s="18" t="n">
        <v>30.56536809</v>
      </c>
      <c r="F67" s="20" t="n">
        <v>2.31258412</v>
      </c>
      <c r="G67" s="18" t="n">
        <v>63.72523744</v>
      </c>
      <c r="H67" s="20" t="n">
        <v>2.4724119</v>
      </c>
      <c r="I67" s="18" t="s">
        <v>431</v>
      </c>
      <c r="J67" s="20" t="s">
        <v>431</v>
      </c>
      <c r="K67" s="18" t="n">
        <v>0</v>
      </c>
      <c r="L67" s="20" t="n">
        <v>0</v>
      </c>
      <c r="M67" s="18" t="n">
        <v>0</v>
      </c>
      <c r="N67" s="20" t="n">
        <v>0</v>
      </c>
      <c r="O67" s="18" t="n">
        <v>0</v>
      </c>
      <c r="P67" s="20" t="n">
        <v>0</v>
      </c>
      <c r="Q67" s="18" t="n">
        <v>5.70939447</v>
      </c>
      <c r="R67" s="20" t="n">
        <v>1.1140484</v>
      </c>
    </row>
    <row r="68" spans="1:18">
      <c r="A68" s="15" t="s">
        <v>492</v>
      </c>
      <c r="B68" s="17" t="n">
        <v>6049</v>
      </c>
      <c r="C68" s="18">
        <f>(5046.0/B68*100)</f>
        <v/>
      </c>
      <c r="D68" s="19" t="n">
        <v>1003</v>
      </c>
      <c r="E68" s="18" t="n">
        <v>39.96316237</v>
      </c>
      <c r="F68" s="20" t="n">
        <v>1.4601273</v>
      </c>
      <c r="G68" s="18" t="n">
        <v>50.99811978</v>
      </c>
      <c r="H68" s="20" t="n">
        <v>1.45219473</v>
      </c>
      <c r="I68" s="18" t="s">
        <v>431</v>
      </c>
      <c r="J68" s="20" t="s">
        <v>431</v>
      </c>
      <c r="K68" s="18" t="n">
        <v>1.80089665</v>
      </c>
      <c r="L68" s="20" t="n">
        <v>0.43255519</v>
      </c>
      <c r="M68" s="18" t="n">
        <v>0</v>
      </c>
      <c r="N68" s="20" t="n">
        <v>0</v>
      </c>
      <c r="O68" s="18" t="n">
        <v>0</v>
      </c>
      <c r="P68" s="20" t="n">
        <v>0</v>
      </c>
      <c r="Q68" s="18" t="n">
        <v>7.2378212</v>
      </c>
      <c r="R68" s="20" t="n">
        <v>0.8170148699999999</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(2591.0/B70*100)</f>
        <v/>
      </c>
      <c r="D70" s="19" t="n">
        <v>338</v>
      </c>
      <c r="E70" s="18" t="n">
        <v>13.99337731</v>
      </c>
      <c r="F70" s="20" t="n">
        <v>1.57471635</v>
      </c>
      <c r="G70" s="18" t="n">
        <v>85.35336094</v>
      </c>
      <c r="H70" s="20" t="n">
        <v>1.64463062</v>
      </c>
      <c r="I70" s="18" t="s">
        <v>431</v>
      </c>
      <c r="J70" s="20" t="s">
        <v>431</v>
      </c>
      <c r="K70" s="18" t="n">
        <v>0.21768055</v>
      </c>
      <c r="L70" s="20" t="n">
        <v>0.21874906</v>
      </c>
      <c r="M70" s="18" t="n">
        <v>0</v>
      </c>
      <c r="N70" s="20" t="n">
        <v>0</v>
      </c>
      <c r="O70" s="18" t="n">
        <v>0</v>
      </c>
      <c r="P70" s="20" t="n">
        <v>0</v>
      </c>
      <c r="Q70" s="18" t="n">
        <v>0.43558119</v>
      </c>
      <c r="R70" s="20" t="n">
        <v>0.31529736</v>
      </c>
    </row>
    <row r="71" spans="1:18">
      <c r="A71" s="15" t="s">
        <v>495</v>
      </c>
      <c r="B71" s="17" t="n">
        <v>3142</v>
      </c>
      <c r="C71" s="18">
        <f>(2756.0/B71*100)</f>
        <v/>
      </c>
      <c r="D71" s="19" t="n">
        <v>386</v>
      </c>
      <c r="E71" s="18" t="n">
        <v>8.366969579999999</v>
      </c>
      <c r="F71" s="20" t="n">
        <v>1.2882838</v>
      </c>
      <c r="G71" s="18" t="n">
        <v>89.55092155</v>
      </c>
      <c r="H71" s="20" t="n">
        <v>1.41204126</v>
      </c>
      <c r="I71" s="18" t="s">
        <v>431</v>
      </c>
      <c r="J71" s="20" t="s">
        <v>431</v>
      </c>
      <c r="K71" s="18" t="n">
        <v>0.50472472</v>
      </c>
      <c r="L71" s="20" t="n">
        <v>0.35696221</v>
      </c>
      <c r="M71" s="18" t="n">
        <v>0</v>
      </c>
      <c r="N71" s="20" t="n">
        <v>0</v>
      </c>
      <c r="O71" s="18" t="n">
        <v>0</v>
      </c>
      <c r="P71" s="20" t="n">
        <v>0</v>
      </c>
      <c r="Q71" s="18" t="n">
        <v>1.57738415</v>
      </c>
      <c r="R71" s="20" t="n">
        <v>0.61205266</v>
      </c>
    </row>
    <row r="72" spans="1:18">
      <c r="A72" s="15" t="s">
        <v>496</v>
      </c>
      <c r="B72" s="17" t="n">
        <v>3889</v>
      </c>
      <c r="C72" s="18">
        <f>(3402.0/B72*100)</f>
        <v/>
      </c>
      <c r="D72" s="19" t="n">
        <v>487</v>
      </c>
      <c r="E72" s="18" t="n">
        <v>13.6747216</v>
      </c>
      <c r="F72" s="20" t="n">
        <v>1.57854626</v>
      </c>
      <c r="G72" s="18" t="n">
        <v>84.99182386</v>
      </c>
      <c r="H72" s="20" t="n">
        <v>1.53396346</v>
      </c>
      <c r="I72" s="18" t="s">
        <v>431</v>
      </c>
      <c r="J72" s="20" t="s">
        <v>431</v>
      </c>
      <c r="K72" s="18" t="n">
        <v>0.16166453</v>
      </c>
      <c r="L72" s="20" t="n">
        <v>0.16163413</v>
      </c>
      <c r="M72" s="18" t="n">
        <v>0</v>
      </c>
      <c r="N72" s="20" t="n">
        <v>0</v>
      </c>
      <c r="O72" s="18" t="n">
        <v>0</v>
      </c>
      <c r="P72" s="20" t="n">
        <v>0</v>
      </c>
      <c r="Q72" s="18" t="n">
        <v>1.17179001</v>
      </c>
      <c r="R72" s="20" t="n">
        <v>0.47763497</v>
      </c>
    </row>
    <row r="73" spans="1:18">
      <c r="A73" s="15" t="s">
        <v>497</v>
      </c>
      <c r="B73" s="17" t="n">
        <v>3597</v>
      </c>
      <c r="C73" s="18">
        <f>(3181.0/B73*100)</f>
        <v/>
      </c>
      <c r="D73" s="19" t="n">
        <v>416</v>
      </c>
      <c r="E73" s="18" t="n">
        <v>32.52776515</v>
      </c>
      <c r="F73" s="20" t="n">
        <v>2.28365132</v>
      </c>
      <c r="G73" s="18" t="n">
        <v>66.65268345</v>
      </c>
      <c r="H73" s="20" t="n">
        <v>2.40829077</v>
      </c>
      <c r="I73" s="18" t="s">
        <v>431</v>
      </c>
      <c r="J73" s="20" t="s">
        <v>431</v>
      </c>
      <c r="K73" s="18" t="n">
        <v>0</v>
      </c>
      <c r="L73" s="20" t="n">
        <v>0</v>
      </c>
      <c r="M73" s="18" t="n">
        <v>0</v>
      </c>
      <c r="N73" s="20" t="n">
        <v>0</v>
      </c>
      <c r="O73" s="18" t="n">
        <v>0</v>
      </c>
      <c r="P73" s="20" t="n">
        <v>0</v>
      </c>
      <c r="Q73" s="18" t="n">
        <v>0.8195514</v>
      </c>
      <c r="R73" s="20" t="n">
        <v>0.48353385</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(2129.0/B75*100)</f>
        <v/>
      </c>
      <c r="D75" s="19" t="n">
        <v>277</v>
      </c>
      <c r="E75" s="18" t="n">
        <v>40.36182729</v>
      </c>
      <c r="F75" s="20" t="n">
        <v>3.33786173</v>
      </c>
      <c r="G75" s="18" t="n">
        <v>48.45092641</v>
      </c>
      <c r="H75" s="20" t="n">
        <v>3.44749351</v>
      </c>
      <c r="I75" s="18" t="s">
        <v>431</v>
      </c>
      <c r="J75" s="20" t="s">
        <v>431</v>
      </c>
      <c r="K75" s="18" t="n">
        <v>2.41464795</v>
      </c>
      <c r="L75" s="20" t="n">
        <v>1.14787679</v>
      </c>
      <c r="M75" s="18" t="n">
        <v>0</v>
      </c>
      <c r="N75" s="20" t="n">
        <v>0</v>
      </c>
      <c r="O75" s="18" t="n">
        <v>0</v>
      </c>
      <c r="P75" s="20" t="n">
        <v>0</v>
      </c>
      <c r="Q75" s="18" t="n">
        <v>8.772598350000001</v>
      </c>
      <c r="R75" s="20" t="n">
        <v>1.88682726</v>
      </c>
    </row>
    <row r="76" spans="1:18">
      <c r="A76" s="15" t="s">
        <v>500</v>
      </c>
      <c r="B76" s="17" t="n">
        <v>7052</v>
      </c>
      <c r="C76" s="18">
        <f>(6184.0/B76*100)</f>
        <v/>
      </c>
      <c r="D76" s="19" t="n">
        <v>868</v>
      </c>
      <c r="E76" s="18" t="n">
        <v>39.33897069</v>
      </c>
      <c r="F76" s="20" t="n">
        <v>2.12492115</v>
      </c>
      <c r="G76" s="18" t="n">
        <v>57.2648976</v>
      </c>
      <c r="H76" s="20" t="n">
        <v>2.13540867</v>
      </c>
      <c r="I76" s="18" t="s">
        <v>431</v>
      </c>
      <c r="J76" s="20" t="s">
        <v>431</v>
      </c>
      <c r="K76" s="18" t="n">
        <v>0.6658418</v>
      </c>
      <c r="L76" s="20" t="n">
        <v>0.33745903</v>
      </c>
      <c r="M76" s="18" t="n">
        <v>0</v>
      </c>
      <c r="N76" s="20" t="n">
        <v>0</v>
      </c>
      <c r="O76" s="18" t="n">
        <v>0</v>
      </c>
      <c r="P76" s="20" t="n">
        <v>0</v>
      </c>
      <c r="Q76" s="18" t="n">
        <v>2.73028991</v>
      </c>
      <c r="R76" s="20" t="n">
        <v>0.63895052</v>
      </c>
    </row>
    <row r="77" spans="1:18">
      <c r="A77" s="15" t="s">
        <v>501</v>
      </c>
      <c r="B77" s="17" t="n">
        <v>2908</v>
      </c>
      <c r="C77" s="18">
        <f>(2572.0/B77*100)</f>
        <v/>
      </c>
      <c r="D77" s="19" t="n">
        <v>336</v>
      </c>
      <c r="E77" s="18" t="n">
        <v>29.36796639</v>
      </c>
      <c r="F77" s="20" t="n">
        <v>3.02500674</v>
      </c>
      <c r="G77" s="18" t="n">
        <v>58.48109746</v>
      </c>
      <c r="H77" s="20" t="n">
        <v>3.28114207</v>
      </c>
      <c r="I77" s="18" t="s">
        <v>431</v>
      </c>
      <c r="J77" s="20" t="s">
        <v>431</v>
      </c>
      <c r="K77" s="18" t="n">
        <v>0.96977361</v>
      </c>
      <c r="L77" s="20" t="n">
        <v>0.5841442</v>
      </c>
      <c r="M77" s="18" t="n">
        <v>0</v>
      </c>
      <c r="N77" s="20" t="n">
        <v>0</v>
      </c>
      <c r="O77" s="18" t="n">
        <v>0</v>
      </c>
      <c r="P77" s="20" t="n">
        <v>0</v>
      </c>
      <c r="Q77" s="18" t="n">
        <v>11.18116254</v>
      </c>
      <c r="R77" s="20" t="n">
        <v>1.91583505</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(3654.0/B81*100)</f>
        <v/>
      </c>
      <c r="D81" s="19" t="n">
        <v>509</v>
      </c>
      <c r="E81" s="18" t="n">
        <v>5.78299678</v>
      </c>
      <c r="F81" s="20" t="n">
        <v>1.57954403</v>
      </c>
      <c r="G81" s="18" t="n">
        <v>13.6455613</v>
      </c>
      <c r="H81" s="20" t="n">
        <v>2.59507254</v>
      </c>
      <c r="I81" s="18" t="s">
        <v>431</v>
      </c>
      <c r="J81" s="20" t="s">
        <v>431</v>
      </c>
      <c r="K81" s="18" t="n">
        <v>0</v>
      </c>
      <c r="L81" s="20" t="n">
        <v>0</v>
      </c>
      <c r="M81" s="18" t="n">
        <v>80.01695727000001</v>
      </c>
      <c r="N81" s="20" t="n">
        <v>3.15837315</v>
      </c>
      <c r="O81" s="18" t="n">
        <v>0</v>
      </c>
      <c r="P81" s="20" t="n">
        <v>0</v>
      </c>
      <c r="Q81" s="18" t="n">
        <v>0.55448464</v>
      </c>
      <c r="R81" s="20" t="n">
        <v>0.33296853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(6477.0/B7*100)</f>
        <v/>
      </c>
      <c r="D7" s="19" t="n">
        <v>890</v>
      </c>
      <c r="E7" s="18" t="n">
        <v>9.46835767</v>
      </c>
      <c r="F7" s="20" t="n">
        <v>1.1401433</v>
      </c>
      <c r="G7" s="18" t="n">
        <v>90.02726806</v>
      </c>
      <c r="H7" s="20" t="n">
        <v>1.18110248</v>
      </c>
      <c r="I7" s="18" t="s">
        <v>431</v>
      </c>
      <c r="J7" s="20" t="s">
        <v>431</v>
      </c>
      <c r="K7" s="18" t="n">
        <v>0.42013153</v>
      </c>
      <c r="L7" s="20" t="n">
        <v>0.22689373</v>
      </c>
      <c r="M7" s="18" t="n">
        <v>0</v>
      </c>
      <c r="N7" s="20" t="n">
        <v>0</v>
      </c>
      <c r="O7" s="18" t="n">
        <v>0</v>
      </c>
      <c r="P7" s="20" t="n">
        <v>0</v>
      </c>
      <c r="Q7" s="18" t="n">
        <v>0.08424275000000001</v>
      </c>
      <c r="R7" s="20" t="n">
        <v>0.04980356</v>
      </c>
    </row>
    <row r="8" spans="1:18">
      <c r="A8" s="15" t="s">
        <v>432</v>
      </c>
      <c r="B8" s="17" t="n">
        <v>3564</v>
      </c>
      <c r="C8" s="18">
        <f>(3088.0/B8*100)</f>
        <v/>
      </c>
      <c r="D8" s="19" t="n">
        <v>476</v>
      </c>
      <c r="E8" s="18" t="n">
        <v>9.648293320000001</v>
      </c>
      <c r="F8" s="20" t="n">
        <v>1.96140586</v>
      </c>
      <c r="G8" s="18" t="n">
        <v>90.35170668000001</v>
      </c>
      <c r="H8" s="20" t="n">
        <v>1.96140586</v>
      </c>
      <c r="I8" s="18" t="s">
        <v>431</v>
      </c>
      <c r="J8" s="20" t="s">
        <v>431</v>
      </c>
      <c r="K8" s="18" t="n">
        <v>0</v>
      </c>
      <c r="L8" s="20" t="n">
        <v>0</v>
      </c>
      <c r="M8" s="18" t="n">
        <v>0</v>
      </c>
      <c r="N8" s="20" t="n">
        <v>0</v>
      </c>
      <c r="O8" s="18" t="n">
        <v>0</v>
      </c>
      <c r="P8" s="20" t="n">
        <v>0</v>
      </c>
      <c r="Q8" s="18" t="n">
        <v>0</v>
      </c>
      <c r="R8" s="20" t="n">
        <v>0</v>
      </c>
    </row>
    <row r="9" spans="1:18">
      <c r="A9" s="15" t="s">
        <v>433</v>
      </c>
      <c r="B9" s="17" t="n">
        <v>4899</v>
      </c>
      <c r="C9" s="18">
        <f>(4298.0/B9*100)</f>
        <v/>
      </c>
      <c r="D9" s="19" t="n">
        <v>601</v>
      </c>
      <c r="E9" s="18" t="n">
        <v>5.82411913</v>
      </c>
      <c r="F9" s="20" t="n">
        <v>0.95118471</v>
      </c>
      <c r="G9" s="18" t="n">
        <v>94.0433347</v>
      </c>
      <c r="H9" s="20" t="n">
        <v>0.9455658300000001</v>
      </c>
      <c r="I9" s="18" t="s">
        <v>431</v>
      </c>
      <c r="J9" s="20" t="s">
        <v>431</v>
      </c>
      <c r="K9" s="18" t="n">
        <v>0</v>
      </c>
      <c r="L9" s="20" t="n">
        <v>0</v>
      </c>
      <c r="M9" s="18" t="n">
        <v>0</v>
      </c>
      <c r="N9" s="20" t="n">
        <v>0</v>
      </c>
      <c r="O9" s="18" t="n">
        <v>0</v>
      </c>
      <c r="P9" s="20" t="n">
        <v>0</v>
      </c>
      <c r="Q9" s="18" t="n">
        <v>0.13254616</v>
      </c>
      <c r="R9" s="20" t="n">
        <v>0.13394779</v>
      </c>
    </row>
    <row r="10" spans="1:18">
      <c r="A10" s="15" t="s">
        <v>434</v>
      </c>
      <c r="B10" s="17" t="n">
        <v>10036</v>
      </c>
      <c r="C10" s="18">
        <f>(8775.0/B10*100)</f>
        <v/>
      </c>
      <c r="D10" s="19" t="n">
        <v>1261</v>
      </c>
      <c r="E10" s="18" t="n">
        <v>6.06791338</v>
      </c>
      <c r="F10" s="20" t="n">
        <v>1.03969875</v>
      </c>
      <c r="G10" s="18" t="n">
        <v>93.43002978</v>
      </c>
      <c r="H10" s="20" t="n">
        <v>1.01397577</v>
      </c>
      <c r="I10" s="18" t="s">
        <v>431</v>
      </c>
      <c r="J10" s="20" t="s">
        <v>431</v>
      </c>
      <c r="K10" s="18" t="n">
        <v>0.5020568399999999</v>
      </c>
      <c r="L10" s="20" t="n">
        <v>0.30766717</v>
      </c>
      <c r="M10" s="18" t="n">
        <v>0</v>
      </c>
      <c r="N10" s="20" t="n">
        <v>0</v>
      </c>
      <c r="O10" s="18" t="n">
        <v>0</v>
      </c>
      <c r="P10" s="20" t="n">
        <v>0</v>
      </c>
      <c r="Q10" s="18" t="n">
        <v>0</v>
      </c>
      <c r="R10" s="20" t="n">
        <v>0</v>
      </c>
    </row>
    <row r="11" spans="1:18">
      <c r="A11" s="15" t="s">
        <v>435</v>
      </c>
      <c r="B11" s="17" t="n">
        <v>3553</v>
      </c>
      <c r="C11" s="18">
        <f>(3108.0/B11*100)</f>
        <v/>
      </c>
      <c r="D11" s="19" t="n">
        <v>445</v>
      </c>
      <c r="E11" s="18" t="n">
        <v>18.91320977</v>
      </c>
      <c r="F11" s="20" t="n">
        <v>2.34986663</v>
      </c>
      <c r="G11" s="18" t="n">
        <v>80.66422768</v>
      </c>
      <c r="H11" s="20" t="n">
        <v>2.33625263</v>
      </c>
      <c r="I11" s="18" t="s">
        <v>431</v>
      </c>
      <c r="J11" s="20" t="s">
        <v>431</v>
      </c>
      <c r="K11" s="18" t="n">
        <v>0.42256256</v>
      </c>
      <c r="L11" s="20" t="n">
        <v>0.28304351</v>
      </c>
      <c r="M11" s="18" t="n">
        <v>0</v>
      </c>
      <c r="N11" s="20" t="n">
        <v>0</v>
      </c>
      <c r="O11" s="18" t="n">
        <v>0</v>
      </c>
      <c r="P11" s="20" t="n">
        <v>0</v>
      </c>
      <c r="Q11" s="18" t="n">
        <v>0</v>
      </c>
      <c r="R11" s="20" t="n">
        <v>0</v>
      </c>
    </row>
    <row r="12" spans="1:18">
      <c r="A12" s="15" t="s">
        <v>436</v>
      </c>
      <c r="B12" s="17" t="n">
        <v>3472</v>
      </c>
      <c r="C12" s="18">
        <f>(3058.0/B12*100)</f>
        <v/>
      </c>
      <c r="D12" s="19" t="n">
        <v>414</v>
      </c>
      <c r="E12" s="18" t="n">
        <v>6.16755176</v>
      </c>
      <c r="F12" s="20" t="n">
        <v>1.29371851</v>
      </c>
      <c r="G12" s="18" t="n">
        <v>93.6998215</v>
      </c>
      <c r="H12" s="20" t="n">
        <v>1.28986654</v>
      </c>
      <c r="I12" s="18" t="s">
        <v>431</v>
      </c>
      <c r="J12" s="20" t="s">
        <v>431</v>
      </c>
      <c r="K12" s="18" t="n">
        <v>0</v>
      </c>
      <c r="L12" s="20" t="n">
        <v>0</v>
      </c>
      <c r="M12" s="18" t="n">
        <v>0</v>
      </c>
      <c r="N12" s="20" t="n">
        <v>0</v>
      </c>
      <c r="O12" s="18" t="n">
        <v>0</v>
      </c>
      <c r="P12" s="20" t="n">
        <v>0</v>
      </c>
      <c r="Q12" s="18" t="n">
        <v>0.13262674</v>
      </c>
      <c r="R12" s="20" t="n">
        <v>0.14201652</v>
      </c>
    </row>
    <row r="13" spans="1:18">
      <c r="A13" s="15" t="s">
        <v>437</v>
      </c>
      <c r="B13" s="17" t="n">
        <v>3559</v>
      </c>
      <c r="C13" s="18">
        <f>(3144.0/B13*100)</f>
        <v/>
      </c>
      <c r="D13" s="19" t="n">
        <v>415</v>
      </c>
      <c r="E13" s="18" t="n">
        <v>3.85048097</v>
      </c>
      <c r="F13" s="20" t="n">
        <v>1.04282353</v>
      </c>
      <c r="G13" s="18" t="n">
        <v>95.44927370000001</v>
      </c>
      <c r="H13" s="20" t="n">
        <v>1.12331894</v>
      </c>
      <c r="I13" s="18" t="s">
        <v>431</v>
      </c>
      <c r="J13" s="20" t="s">
        <v>431</v>
      </c>
      <c r="K13" s="18" t="n">
        <v>0.50424479</v>
      </c>
      <c r="L13" s="20" t="n">
        <v>0.35903525</v>
      </c>
      <c r="M13" s="18" t="n">
        <v>0</v>
      </c>
      <c r="N13" s="20" t="n">
        <v>0</v>
      </c>
      <c r="O13" s="18" t="n">
        <v>0</v>
      </c>
      <c r="P13" s="20" t="n">
        <v>0</v>
      </c>
      <c r="Q13" s="18" t="n">
        <v>0.19600054</v>
      </c>
      <c r="R13" s="20" t="n">
        <v>0.19682537</v>
      </c>
    </row>
    <row r="14" spans="1:18">
      <c r="A14" s="15" t="s">
        <v>438</v>
      </c>
      <c r="B14" s="17" t="n">
        <v>2799</v>
      </c>
      <c r="C14" s="18">
        <f>(2458.0/B14*100)</f>
        <v/>
      </c>
      <c r="D14" s="19" t="n">
        <v>341</v>
      </c>
      <c r="E14" s="18" t="n">
        <v>5.51499925</v>
      </c>
      <c r="F14" s="20" t="n">
        <v>1.36640016</v>
      </c>
      <c r="G14" s="18" t="n">
        <v>94.48500075</v>
      </c>
      <c r="H14" s="20" t="n">
        <v>1.36640016</v>
      </c>
      <c r="I14" s="18" t="s">
        <v>431</v>
      </c>
      <c r="J14" s="20" t="s">
        <v>431</v>
      </c>
      <c r="K14" s="18" t="n">
        <v>0</v>
      </c>
      <c r="L14" s="20" t="n">
        <v>0</v>
      </c>
      <c r="M14" s="18" t="n">
        <v>0</v>
      </c>
      <c r="N14" s="20" t="n">
        <v>0</v>
      </c>
      <c r="O14" s="18" t="n">
        <v>0</v>
      </c>
      <c r="P14" s="20" t="n">
        <v>0</v>
      </c>
      <c r="Q14" s="18" t="n">
        <v>0</v>
      </c>
      <c r="R14" s="20" t="n">
        <v>0</v>
      </c>
    </row>
    <row r="15" spans="1:18">
      <c r="A15" s="15" t="s">
        <v>439</v>
      </c>
      <c r="B15" s="17" t="n">
        <v>3019</v>
      </c>
      <c r="C15" s="18">
        <f>(2648.0/B15*100)</f>
        <v/>
      </c>
      <c r="D15" s="19" t="n">
        <v>371</v>
      </c>
      <c r="E15" s="18" t="n">
        <v>7.89019564</v>
      </c>
      <c r="F15" s="20" t="n">
        <v>1.45494787</v>
      </c>
      <c r="G15" s="18" t="n">
        <v>91.85930026</v>
      </c>
      <c r="H15" s="20" t="n">
        <v>1.4359853</v>
      </c>
      <c r="I15" s="18" t="s">
        <v>431</v>
      </c>
      <c r="J15" s="20" t="s">
        <v>431</v>
      </c>
      <c r="K15" s="18" t="n">
        <v>0.2505041</v>
      </c>
      <c r="L15" s="20" t="n">
        <v>0.25144761</v>
      </c>
      <c r="M15" s="18" t="n">
        <v>0</v>
      </c>
      <c r="N15" s="20" t="n">
        <v>0</v>
      </c>
      <c r="O15" s="18" t="n">
        <v>0</v>
      </c>
      <c r="P15" s="20" t="n">
        <v>0</v>
      </c>
      <c r="Q15" s="18" t="n">
        <v>0</v>
      </c>
      <c r="R15" s="20" t="n">
        <v>0</v>
      </c>
    </row>
    <row r="16" spans="1:18">
      <c r="A16" s="15" t="s">
        <v>440</v>
      </c>
      <c r="B16" s="17" t="n">
        <v>2997</v>
      </c>
      <c r="C16" s="18">
        <f>(2639.0/B16*100)</f>
        <v/>
      </c>
      <c r="D16" s="19" t="n">
        <v>358</v>
      </c>
      <c r="E16" s="18" t="n">
        <v>10.82772714</v>
      </c>
      <c r="F16" s="20" t="n">
        <v>1.73426081</v>
      </c>
      <c r="G16" s="18" t="n">
        <v>87.67898049999999</v>
      </c>
      <c r="H16" s="20" t="n">
        <v>2.01259436</v>
      </c>
      <c r="I16" s="18" t="s">
        <v>431</v>
      </c>
      <c r="J16" s="20" t="s">
        <v>431</v>
      </c>
      <c r="K16" s="18" t="n">
        <v>1.01969951</v>
      </c>
      <c r="L16" s="20" t="n">
        <v>0.60845122</v>
      </c>
      <c r="M16" s="18" t="n">
        <v>0</v>
      </c>
      <c r="N16" s="20" t="n">
        <v>0</v>
      </c>
      <c r="O16" s="18" t="n">
        <v>0</v>
      </c>
      <c r="P16" s="20" t="n">
        <v>0</v>
      </c>
      <c r="Q16" s="18" t="n">
        <v>0.47359285</v>
      </c>
      <c r="R16" s="20" t="n">
        <v>0.33155127</v>
      </c>
    </row>
    <row r="17" spans="1:18">
      <c r="A17" s="15" t="s">
        <v>441</v>
      </c>
      <c r="B17" s="17" t="n">
        <v>3307</v>
      </c>
      <c r="C17" s="18">
        <f>(2907.0/B17*100)</f>
        <v/>
      </c>
      <c r="D17" s="19" t="n">
        <v>400</v>
      </c>
      <c r="E17" s="18" t="n">
        <v>5.38189226</v>
      </c>
      <c r="F17" s="20" t="n">
        <v>1.1845962</v>
      </c>
      <c r="G17" s="18" t="n">
        <v>94.14235325</v>
      </c>
      <c r="H17" s="20" t="n">
        <v>1.2465724</v>
      </c>
      <c r="I17" s="18" t="s">
        <v>431</v>
      </c>
      <c r="J17" s="20" t="s">
        <v>431</v>
      </c>
      <c r="K17" s="18" t="n">
        <v>0.29528592</v>
      </c>
      <c r="L17" s="20" t="n">
        <v>0.29317019</v>
      </c>
      <c r="M17" s="18" t="n">
        <v>0</v>
      </c>
      <c r="N17" s="20" t="n">
        <v>0</v>
      </c>
      <c r="O17" s="18" t="n">
        <v>0</v>
      </c>
      <c r="P17" s="20" t="n">
        <v>0</v>
      </c>
      <c r="Q17" s="18" t="n">
        <v>0.18046857</v>
      </c>
      <c r="R17" s="20" t="n">
        <v>0.1879053</v>
      </c>
    </row>
    <row r="18" spans="1:18">
      <c r="A18" s="15" t="s">
        <v>442</v>
      </c>
      <c r="B18" s="17" t="n">
        <v>2826</v>
      </c>
      <c r="C18" s="18">
        <f>(2482.0/B18*100)</f>
        <v/>
      </c>
      <c r="D18" s="19" t="n">
        <v>344</v>
      </c>
      <c r="E18" s="18" t="n">
        <v>16.45180618</v>
      </c>
      <c r="F18" s="20" t="n">
        <v>2.41355948</v>
      </c>
      <c r="G18" s="18" t="n">
        <v>82.70547606</v>
      </c>
      <c r="H18" s="20" t="n">
        <v>2.43259794</v>
      </c>
      <c r="I18" s="18" t="s">
        <v>431</v>
      </c>
      <c r="J18" s="20" t="s">
        <v>431</v>
      </c>
      <c r="K18" s="18" t="n">
        <v>0.14693927</v>
      </c>
      <c r="L18" s="20" t="n">
        <v>0.14770791</v>
      </c>
      <c r="M18" s="18" t="n">
        <v>0</v>
      </c>
      <c r="N18" s="20" t="n">
        <v>0</v>
      </c>
      <c r="O18" s="18" t="n">
        <v>0</v>
      </c>
      <c r="P18" s="20" t="n">
        <v>0</v>
      </c>
      <c r="Q18" s="18" t="n">
        <v>0.69577848</v>
      </c>
      <c r="R18" s="20" t="n">
        <v>0.4120285</v>
      </c>
    </row>
    <row r="19" spans="1:18">
      <c r="A19" s="15" t="s">
        <v>443</v>
      </c>
      <c r="B19" s="17" t="n">
        <v>2808</v>
      </c>
      <c r="C19" s="18">
        <f>(2459.0/B19*100)</f>
        <v/>
      </c>
      <c r="D19" s="19" t="n">
        <v>349</v>
      </c>
      <c r="E19" s="18" t="n">
        <v>9.30188272</v>
      </c>
      <c r="F19" s="20" t="n">
        <v>1.54512566</v>
      </c>
      <c r="G19" s="18" t="n">
        <v>90.69811728000001</v>
      </c>
      <c r="H19" s="20" t="n">
        <v>1.54512566</v>
      </c>
      <c r="I19" s="18" t="s">
        <v>431</v>
      </c>
      <c r="J19" s="20" t="s">
        <v>431</v>
      </c>
      <c r="K19" s="18" t="n">
        <v>0</v>
      </c>
      <c r="L19" s="20" t="n">
        <v>0</v>
      </c>
      <c r="M19" s="18" t="n">
        <v>0</v>
      </c>
      <c r="N19" s="20" t="n">
        <v>0</v>
      </c>
      <c r="O19" s="18" t="n">
        <v>0</v>
      </c>
      <c r="P19" s="20" t="n">
        <v>0</v>
      </c>
      <c r="Q19" s="18" t="n">
        <v>0</v>
      </c>
      <c r="R19" s="20" t="n">
        <v>0</v>
      </c>
    </row>
    <row r="20" spans="1:18">
      <c r="A20" s="15" t="s">
        <v>444</v>
      </c>
      <c r="B20" s="17" t="n">
        <v>1630</v>
      </c>
      <c r="C20" s="18">
        <f>(1436.0/B20*100)</f>
        <v/>
      </c>
      <c r="D20" s="19" t="n">
        <v>194</v>
      </c>
      <c r="E20" s="18" t="n">
        <v>8.5945342</v>
      </c>
      <c r="F20" s="20" t="n">
        <v>2.04559727</v>
      </c>
      <c r="G20" s="18" t="n">
        <v>89.37521852</v>
      </c>
      <c r="H20" s="20" t="n">
        <v>2.03752675</v>
      </c>
      <c r="I20" s="18" t="s">
        <v>431</v>
      </c>
      <c r="J20" s="20" t="s">
        <v>431</v>
      </c>
      <c r="K20" s="18" t="n">
        <v>0.58741228</v>
      </c>
      <c r="L20" s="20" t="n">
        <v>0.59515194</v>
      </c>
      <c r="M20" s="18" t="n">
        <v>0</v>
      </c>
      <c r="N20" s="20" t="n">
        <v>0</v>
      </c>
      <c r="O20" s="18" t="n">
        <v>0</v>
      </c>
      <c r="P20" s="20" t="n">
        <v>0</v>
      </c>
      <c r="Q20" s="18" t="n">
        <v>1.44283501</v>
      </c>
      <c r="R20" s="20" t="n">
        <v>0.79376624</v>
      </c>
    </row>
    <row r="21" spans="1:18">
      <c r="A21" s="15" t="s">
        <v>445</v>
      </c>
      <c r="B21" s="17" t="n">
        <v>2908</v>
      </c>
      <c r="C21" s="18">
        <f>(2422.0/B21*100)</f>
        <v/>
      </c>
      <c r="D21" s="19" t="n">
        <v>486</v>
      </c>
      <c r="E21" s="18" t="n">
        <v>3.62360518</v>
      </c>
      <c r="F21" s="20" t="n">
        <v>0.86508407</v>
      </c>
      <c r="G21" s="18" t="n">
        <v>96.37639482</v>
      </c>
      <c r="H21" s="20" t="n">
        <v>0.86508407</v>
      </c>
      <c r="I21" s="18" t="s">
        <v>431</v>
      </c>
      <c r="J21" s="20" t="s">
        <v>431</v>
      </c>
      <c r="K21" s="18" t="n">
        <v>0</v>
      </c>
      <c r="L21" s="20" t="n">
        <v>0</v>
      </c>
      <c r="M21" s="18" t="n">
        <v>0</v>
      </c>
      <c r="N21" s="20" t="n">
        <v>0</v>
      </c>
      <c r="O21" s="18" t="n">
        <v>0</v>
      </c>
      <c r="P21" s="20" t="n">
        <v>0</v>
      </c>
      <c r="Q21" s="18" t="n">
        <v>0</v>
      </c>
      <c r="R21" s="20" t="n">
        <v>0</v>
      </c>
    </row>
    <row r="22" spans="1:18">
      <c r="A22" s="15" t="s">
        <v>446</v>
      </c>
      <c r="B22" s="17" t="n">
        <v>2931</v>
      </c>
      <c r="C22" s="18">
        <f>(2565.0/B22*100)</f>
        <v/>
      </c>
      <c r="D22" s="19" t="n">
        <v>366</v>
      </c>
      <c r="E22" s="18" t="n">
        <v>11.73226496</v>
      </c>
      <c r="F22" s="20" t="n">
        <v>1.80746081</v>
      </c>
      <c r="G22" s="18" t="n">
        <v>87.07884505</v>
      </c>
      <c r="H22" s="20" t="n">
        <v>1.93305346</v>
      </c>
      <c r="I22" s="18" t="s">
        <v>431</v>
      </c>
      <c r="J22" s="20" t="s">
        <v>431</v>
      </c>
      <c r="K22" s="18" t="n">
        <v>0.95927748</v>
      </c>
      <c r="L22" s="20" t="n">
        <v>0.5225824999999999</v>
      </c>
      <c r="M22" s="18" t="n">
        <v>0</v>
      </c>
      <c r="N22" s="20" t="n">
        <v>0</v>
      </c>
      <c r="O22" s="18" t="n">
        <v>0</v>
      </c>
      <c r="P22" s="20" t="n">
        <v>0</v>
      </c>
      <c r="Q22" s="18" t="n">
        <v>0.2296125</v>
      </c>
      <c r="R22" s="20" t="n">
        <v>0.22794957</v>
      </c>
    </row>
    <row r="23" spans="1:18">
      <c r="A23" s="15" t="s">
        <v>447</v>
      </c>
      <c r="B23" s="17" t="n">
        <v>5791</v>
      </c>
      <c r="C23" s="18">
        <f>(5035.0/B23*100)</f>
        <v/>
      </c>
      <c r="D23" s="19" t="n">
        <v>756</v>
      </c>
      <c r="E23" s="18" t="n">
        <v>9.87668219</v>
      </c>
      <c r="F23" s="20" t="n">
        <v>1.73457225</v>
      </c>
      <c r="G23" s="18" t="n">
        <v>89.1679188</v>
      </c>
      <c r="H23" s="20" t="n">
        <v>1.858223</v>
      </c>
      <c r="I23" s="18" t="s">
        <v>431</v>
      </c>
      <c r="J23" s="20" t="s">
        <v>431</v>
      </c>
      <c r="K23" s="18" t="n">
        <v>0.07501594</v>
      </c>
      <c r="L23" s="20" t="n">
        <v>0.07693891999999999</v>
      </c>
      <c r="M23" s="18" t="n">
        <v>0</v>
      </c>
      <c r="N23" s="20" t="n">
        <v>0</v>
      </c>
      <c r="O23" s="18" t="n">
        <v>0</v>
      </c>
      <c r="P23" s="20" t="n">
        <v>0</v>
      </c>
      <c r="Q23" s="18" t="n">
        <v>0.88038307</v>
      </c>
      <c r="R23" s="20" t="n">
        <v>0.59701531</v>
      </c>
    </row>
    <row r="24" spans="1:18">
      <c r="A24" s="15" t="s">
        <v>448</v>
      </c>
      <c r="B24" s="17" t="n">
        <v>3338</v>
      </c>
      <c r="C24" s="18">
        <f>(2944.0/B24*100)</f>
        <v/>
      </c>
      <c r="D24" s="19" t="n">
        <v>394</v>
      </c>
      <c r="E24" s="18" t="n">
        <v>3.97417057</v>
      </c>
      <c r="F24" s="20" t="n">
        <v>1.1143702</v>
      </c>
      <c r="G24" s="18" t="n">
        <v>95.55879591999999</v>
      </c>
      <c r="H24" s="20" t="n">
        <v>1.11586671</v>
      </c>
      <c r="I24" s="18" t="s">
        <v>431</v>
      </c>
      <c r="J24" s="20" t="s">
        <v>431</v>
      </c>
      <c r="K24" s="18" t="n">
        <v>0</v>
      </c>
      <c r="L24" s="20" t="n">
        <v>0</v>
      </c>
      <c r="M24" s="18" t="n">
        <v>0</v>
      </c>
      <c r="N24" s="20" t="n">
        <v>0</v>
      </c>
      <c r="O24" s="18" t="n">
        <v>0</v>
      </c>
      <c r="P24" s="20" t="n">
        <v>0</v>
      </c>
      <c r="Q24" s="18" t="n">
        <v>0.4670335</v>
      </c>
      <c r="R24" s="20" t="n">
        <v>0.02779375</v>
      </c>
    </row>
    <row r="25" spans="1:18">
      <c r="A25" s="15" t="s">
        <v>449</v>
      </c>
      <c r="B25" s="17" t="n">
        <v>2912</v>
      </c>
      <c r="C25" s="18">
        <f>(2561.0/B25*100)</f>
        <v/>
      </c>
      <c r="D25" s="19" t="n">
        <v>351</v>
      </c>
      <c r="E25" s="18" t="n">
        <v>6.93316755</v>
      </c>
      <c r="F25" s="20" t="n">
        <v>1.43970617</v>
      </c>
      <c r="G25" s="18" t="n">
        <v>92.20431803</v>
      </c>
      <c r="H25" s="20" t="n">
        <v>1.46210483</v>
      </c>
      <c r="I25" s="18" t="s">
        <v>431</v>
      </c>
      <c r="J25" s="20" t="s">
        <v>431</v>
      </c>
      <c r="K25" s="18" t="n">
        <v>0.86251441</v>
      </c>
      <c r="L25" s="20" t="n">
        <v>0.50074527</v>
      </c>
      <c r="M25" s="18" t="n">
        <v>0</v>
      </c>
      <c r="N25" s="20" t="n">
        <v>0</v>
      </c>
      <c r="O25" s="18" t="n">
        <v>0</v>
      </c>
      <c r="P25" s="20" t="n">
        <v>0</v>
      </c>
      <c r="Q25" s="18" t="n">
        <v>0</v>
      </c>
      <c r="R25" s="20" t="n">
        <v>0</v>
      </c>
    </row>
    <row r="26" spans="1:18">
      <c r="A26" s="15" t="s">
        <v>450</v>
      </c>
      <c r="B26" s="17" t="n">
        <v>2450</v>
      </c>
      <c r="C26" s="18">
        <f>(2148.0/B26*100)</f>
        <v/>
      </c>
      <c r="D26" s="19" t="n">
        <v>302</v>
      </c>
      <c r="E26" s="18" t="n">
        <v>5.85046474</v>
      </c>
      <c r="F26" s="20" t="n">
        <v>1.44333141</v>
      </c>
      <c r="G26" s="18" t="n">
        <v>94.14953525999999</v>
      </c>
      <c r="H26" s="20" t="n">
        <v>1.44333141</v>
      </c>
      <c r="I26" s="18" t="s">
        <v>431</v>
      </c>
      <c r="J26" s="20" t="s">
        <v>431</v>
      </c>
      <c r="K26" s="18" t="n">
        <v>0</v>
      </c>
      <c r="L26" s="20" t="n">
        <v>0</v>
      </c>
      <c r="M26" s="18" t="n">
        <v>0</v>
      </c>
      <c r="N26" s="20" t="n">
        <v>0</v>
      </c>
      <c r="O26" s="18" t="n">
        <v>0</v>
      </c>
      <c r="P26" s="20" t="n">
        <v>0</v>
      </c>
      <c r="Q26" s="18" t="n">
        <v>0</v>
      </c>
      <c r="R26" s="20" t="n">
        <v>0</v>
      </c>
    </row>
    <row r="27" spans="1:18">
      <c r="A27" s="15" t="s">
        <v>451</v>
      </c>
      <c r="B27" s="17" t="n">
        <v>2616</v>
      </c>
      <c r="C27" s="18">
        <f>(2303.0/B27*100)</f>
        <v/>
      </c>
      <c r="D27" s="19" t="n">
        <v>313</v>
      </c>
      <c r="E27" s="18" t="n">
        <v>8.959237359999999</v>
      </c>
      <c r="F27" s="20" t="n">
        <v>1.37184764</v>
      </c>
      <c r="G27" s="18" t="n">
        <v>90.38838042</v>
      </c>
      <c r="H27" s="20" t="n">
        <v>1.40663222</v>
      </c>
      <c r="I27" s="18" t="s">
        <v>431</v>
      </c>
      <c r="J27" s="20" t="s">
        <v>431</v>
      </c>
      <c r="K27" s="18" t="n">
        <v>0.32885545</v>
      </c>
      <c r="L27" s="20" t="n">
        <v>0.32987708</v>
      </c>
      <c r="M27" s="18" t="n">
        <v>0</v>
      </c>
      <c r="N27" s="20" t="n">
        <v>0</v>
      </c>
      <c r="O27" s="18" t="n">
        <v>0</v>
      </c>
      <c r="P27" s="20" t="n">
        <v>0</v>
      </c>
      <c r="Q27" s="18" t="n">
        <v>0.32352677</v>
      </c>
      <c r="R27" s="20" t="n">
        <v>0.31752806</v>
      </c>
    </row>
    <row r="28" spans="1:18">
      <c r="A28" s="15" t="s">
        <v>452</v>
      </c>
      <c r="B28" s="17" t="n">
        <v>3765</v>
      </c>
      <c r="C28" s="18">
        <f>(3338.0/B28*100)</f>
        <v/>
      </c>
      <c r="D28" s="19" t="n">
        <v>427</v>
      </c>
      <c r="E28" s="18" t="n">
        <v>23.25039553</v>
      </c>
      <c r="F28" s="20" t="n">
        <v>2.27830845</v>
      </c>
      <c r="G28" s="18" t="n">
        <v>76.07864133</v>
      </c>
      <c r="H28" s="20" t="n">
        <v>2.29131944</v>
      </c>
      <c r="I28" s="18" t="s">
        <v>431</v>
      </c>
      <c r="J28" s="20" t="s">
        <v>431</v>
      </c>
      <c r="K28" s="18" t="n">
        <v>0.67096314</v>
      </c>
      <c r="L28" s="20" t="n">
        <v>0.50363761</v>
      </c>
      <c r="M28" s="18" t="n">
        <v>0</v>
      </c>
      <c r="N28" s="20" t="n">
        <v>0</v>
      </c>
      <c r="O28" s="18" t="n">
        <v>0</v>
      </c>
      <c r="P28" s="20" t="n">
        <v>0</v>
      </c>
      <c r="Q28" s="18" t="n">
        <v>0</v>
      </c>
      <c r="R28" s="20" t="n">
        <v>0</v>
      </c>
    </row>
    <row r="29" spans="1:18">
      <c r="A29" s="15" t="s">
        <v>453</v>
      </c>
      <c r="B29" s="17" t="n">
        <v>2685</v>
      </c>
      <c r="C29" s="18">
        <f>(2363.0/B29*100)</f>
        <v/>
      </c>
      <c r="D29" s="19" t="n">
        <v>322</v>
      </c>
      <c r="E29" s="18" t="n">
        <v>4.40731663</v>
      </c>
      <c r="F29" s="20" t="n">
        <v>1.28336398</v>
      </c>
      <c r="G29" s="18" t="n">
        <v>95.19468723</v>
      </c>
      <c r="H29" s="20" t="n">
        <v>1.44929452</v>
      </c>
      <c r="I29" s="18" t="s">
        <v>431</v>
      </c>
      <c r="J29" s="20" t="s">
        <v>431</v>
      </c>
      <c r="K29" s="18" t="n">
        <v>0.39799614</v>
      </c>
      <c r="L29" s="20" t="n">
        <v>0.39391798</v>
      </c>
      <c r="M29" s="18" t="n">
        <v>0</v>
      </c>
      <c r="N29" s="20" t="n">
        <v>0</v>
      </c>
      <c r="O29" s="18" t="n">
        <v>0</v>
      </c>
      <c r="P29" s="20" t="n">
        <v>0</v>
      </c>
      <c r="Q29" s="18" t="n">
        <v>0</v>
      </c>
      <c r="R29" s="20" t="n">
        <v>0</v>
      </c>
    </row>
    <row r="30" spans="1:18">
      <c r="A30" s="15" t="s">
        <v>454</v>
      </c>
      <c r="B30" s="17" t="n">
        <v>2263</v>
      </c>
      <c r="C30" s="18">
        <f>(1996.0/B30*100)</f>
        <v/>
      </c>
      <c r="D30" s="19" t="n">
        <v>267</v>
      </c>
      <c r="E30" s="18" t="n">
        <v>7.78895355</v>
      </c>
      <c r="F30" s="20" t="n">
        <v>1.91785339</v>
      </c>
      <c r="G30" s="18" t="n">
        <v>91.87261891999999</v>
      </c>
      <c r="H30" s="20" t="n">
        <v>1.94737022</v>
      </c>
      <c r="I30" s="18" t="s">
        <v>431</v>
      </c>
      <c r="J30" s="20" t="s">
        <v>431</v>
      </c>
      <c r="K30" s="18" t="n">
        <v>0.33842753</v>
      </c>
      <c r="L30" s="20" t="n">
        <v>0.35071664</v>
      </c>
      <c r="M30" s="18" t="n">
        <v>0</v>
      </c>
      <c r="N30" s="20" t="n">
        <v>0</v>
      </c>
      <c r="O30" s="18" t="n">
        <v>0</v>
      </c>
      <c r="P30" s="20" t="n">
        <v>0</v>
      </c>
      <c r="Q30" s="18" t="n">
        <v>0</v>
      </c>
      <c r="R30" s="20" t="n">
        <v>0</v>
      </c>
    </row>
    <row r="31" spans="1:18">
      <c r="A31" s="15" t="s">
        <v>455</v>
      </c>
      <c r="B31" s="17" t="n">
        <v>2750</v>
      </c>
      <c r="C31" s="18">
        <f>(2429.0/B31*100)</f>
        <v/>
      </c>
      <c r="D31" s="19" t="n">
        <v>321</v>
      </c>
      <c r="E31" s="18" t="n">
        <v>9.380477000000001</v>
      </c>
      <c r="F31" s="20" t="n">
        <v>1.33264465</v>
      </c>
      <c r="G31" s="18" t="n">
        <v>90.31665193000001</v>
      </c>
      <c r="H31" s="20" t="n">
        <v>1.36416789</v>
      </c>
      <c r="I31" s="18" t="s">
        <v>431</v>
      </c>
      <c r="J31" s="20" t="s">
        <v>431</v>
      </c>
      <c r="K31" s="18" t="n">
        <v>0.30287108</v>
      </c>
      <c r="L31" s="20" t="n">
        <v>0.31774754</v>
      </c>
      <c r="M31" s="18" t="n">
        <v>0</v>
      </c>
      <c r="N31" s="20" t="n">
        <v>0</v>
      </c>
      <c r="O31" s="18" t="n">
        <v>0</v>
      </c>
      <c r="P31" s="20" t="n">
        <v>0</v>
      </c>
      <c r="Q31" s="18" t="n">
        <v>0</v>
      </c>
      <c r="R31" s="20" t="n">
        <v>0</v>
      </c>
    </row>
    <row r="32" spans="1:18">
      <c r="A32" s="15" t="s">
        <v>456</v>
      </c>
      <c r="B32" s="17" t="n">
        <v>2269</v>
      </c>
      <c r="C32" s="18">
        <f>(1895.0/B32*100)</f>
        <v/>
      </c>
      <c r="D32" s="19" t="n">
        <v>374</v>
      </c>
      <c r="E32" s="18" t="n">
        <v>16.61933114</v>
      </c>
      <c r="F32" s="20" t="n">
        <v>2.02587876</v>
      </c>
      <c r="G32" s="18" t="n">
        <v>82.81143607</v>
      </c>
      <c r="H32" s="20" t="n">
        <v>2.00859522</v>
      </c>
      <c r="I32" s="18" t="s">
        <v>431</v>
      </c>
      <c r="J32" s="20" t="s">
        <v>431</v>
      </c>
      <c r="K32" s="18" t="n">
        <v>0.25671725</v>
      </c>
      <c r="L32" s="20" t="n">
        <v>0.24219836</v>
      </c>
      <c r="M32" s="18" t="n">
        <v>0</v>
      </c>
      <c r="N32" s="20" t="n">
        <v>0</v>
      </c>
      <c r="O32" s="18" t="n">
        <v>0</v>
      </c>
      <c r="P32" s="20" t="n">
        <v>0</v>
      </c>
      <c r="Q32" s="18" t="n">
        <v>0.31251555</v>
      </c>
      <c r="R32" s="20" t="n">
        <v>0.25716402</v>
      </c>
    </row>
    <row r="33" spans="1:18">
      <c r="A33" s="15" t="s">
        <v>457</v>
      </c>
      <c r="B33" s="17" t="n">
        <v>3674</v>
      </c>
      <c r="C33" s="18">
        <f>(3230.0/B33*100)</f>
        <v/>
      </c>
      <c r="D33" s="19" t="n">
        <v>444</v>
      </c>
      <c r="E33" s="18" t="n">
        <v>8.00714148</v>
      </c>
      <c r="F33" s="20" t="n">
        <v>1.2483991</v>
      </c>
      <c r="G33" s="18" t="n">
        <v>91.12189131</v>
      </c>
      <c r="H33" s="20" t="n">
        <v>1.41194453</v>
      </c>
      <c r="I33" s="18" t="s">
        <v>431</v>
      </c>
      <c r="J33" s="20" t="s">
        <v>431</v>
      </c>
      <c r="K33" s="18" t="n">
        <v>0</v>
      </c>
      <c r="L33" s="20" t="n">
        <v>0</v>
      </c>
      <c r="M33" s="18" t="n">
        <v>0</v>
      </c>
      <c r="N33" s="20" t="n">
        <v>0</v>
      </c>
      <c r="O33" s="18" t="n">
        <v>0</v>
      </c>
      <c r="P33" s="20" t="n">
        <v>0</v>
      </c>
      <c r="Q33" s="18" t="n">
        <v>0.87096721</v>
      </c>
      <c r="R33" s="20" t="n">
        <v>0.44416925</v>
      </c>
    </row>
    <row r="34" spans="1:18">
      <c r="A34" s="15" t="s">
        <v>458</v>
      </c>
      <c r="B34" s="17" t="n">
        <v>3315</v>
      </c>
      <c r="C34" s="18">
        <f>(2919.0/B34*100)</f>
        <v/>
      </c>
      <c r="D34" s="19" t="n">
        <v>396</v>
      </c>
      <c r="E34" s="18" t="n">
        <v>12.71178095</v>
      </c>
      <c r="F34" s="20" t="n">
        <v>1.87525791</v>
      </c>
      <c r="G34" s="18" t="n">
        <v>87.28821905</v>
      </c>
      <c r="H34" s="20" t="n">
        <v>1.87525791</v>
      </c>
      <c r="I34" s="18" t="s">
        <v>431</v>
      </c>
      <c r="J34" s="20" t="s">
        <v>431</v>
      </c>
      <c r="K34" s="18" t="n">
        <v>0</v>
      </c>
      <c r="L34" s="20" t="n">
        <v>0</v>
      </c>
      <c r="M34" s="18" t="n">
        <v>0</v>
      </c>
      <c r="N34" s="20" t="n">
        <v>0</v>
      </c>
      <c r="O34" s="18" t="n">
        <v>0</v>
      </c>
      <c r="P34" s="20" t="n">
        <v>0</v>
      </c>
      <c r="Q34" s="18" t="n">
        <v>0</v>
      </c>
      <c r="R34" s="20" t="n">
        <v>0</v>
      </c>
    </row>
    <row r="35" spans="1:18">
      <c r="A35" s="15" t="s">
        <v>459</v>
      </c>
      <c r="B35" s="17" t="n">
        <v>3505</v>
      </c>
      <c r="C35" s="18">
        <f>(3082.0/B35*100)</f>
        <v/>
      </c>
      <c r="D35" s="19" t="n">
        <v>423</v>
      </c>
      <c r="E35" s="18" t="n">
        <v>6.14301703</v>
      </c>
      <c r="F35" s="20" t="n">
        <v>1.24408789</v>
      </c>
      <c r="G35" s="18" t="n">
        <v>93.39986479</v>
      </c>
      <c r="H35" s="20" t="n">
        <v>1.29548763</v>
      </c>
      <c r="I35" s="18" t="s">
        <v>431</v>
      </c>
      <c r="J35" s="20" t="s">
        <v>431</v>
      </c>
      <c r="K35" s="18" t="n">
        <v>0</v>
      </c>
      <c r="L35" s="20" t="n">
        <v>0</v>
      </c>
      <c r="M35" s="18" t="n">
        <v>0</v>
      </c>
      <c r="N35" s="20" t="n">
        <v>0</v>
      </c>
      <c r="O35" s="18" t="n">
        <v>0</v>
      </c>
      <c r="P35" s="20" t="n">
        <v>0</v>
      </c>
      <c r="Q35" s="18" t="n">
        <v>0.45711818</v>
      </c>
      <c r="R35" s="20" t="n">
        <v>0.34005086</v>
      </c>
    </row>
    <row r="36" spans="1:18">
      <c r="A36" s="15" t="s">
        <v>460</v>
      </c>
      <c r="B36" s="17" t="n">
        <v>3332</v>
      </c>
      <c r="C36" s="18">
        <f>(2928.0/B36*100)</f>
        <v/>
      </c>
      <c r="D36" s="19" t="n">
        <v>404</v>
      </c>
      <c r="E36" s="18" t="n">
        <v>12.95682646</v>
      </c>
      <c r="F36" s="20" t="n">
        <v>1.98978379</v>
      </c>
      <c r="G36" s="18" t="n">
        <v>86.85490749</v>
      </c>
      <c r="H36" s="20" t="n">
        <v>1.99652766</v>
      </c>
      <c r="I36" s="18" t="s">
        <v>431</v>
      </c>
      <c r="J36" s="20" t="s">
        <v>431</v>
      </c>
      <c r="K36" s="18" t="n">
        <v>0.18826605</v>
      </c>
      <c r="L36" s="20" t="n">
        <v>0.18367542</v>
      </c>
      <c r="M36" s="18" t="n">
        <v>0</v>
      </c>
      <c r="N36" s="20" t="n">
        <v>0</v>
      </c>
      <c r="O36" s="18" t="n">
        <v>0</v>
      </c>
      <c r="P36" s="20" t="n">
        <v>0</v>
      </c>
      <c r="Q36" s="18" t="n">
        <v>0</v>
      </c>
      <c r="R36" s="20" t="n">
        <v>0</v>
      </c>
    </row>
    <row r="37" spans="1:18">
      <c r="A37" s="15" t="s">
        <v>461</v>
      </c>
      <c r="B37" s="17" t="n">
        <v>2727</v>
      </c>
      <c r="C37" s="18">
        <f>(2395.0/B37*100)</f>
        <v/>
      </c>
      <c r="D37" s="19" t="n">
        <v>332</v>
      </c>
      <c r="E37" s="18" t="n">
        <v>8.438792250000001</v>
      </c>
      <c r="F37" s="20" t="n">
        <v>1.60367168</v>
      </c>
      <c r="G37" s="18" t="n">
        <v>91.03743471999999</v>
      </c>
      <c r="H37" s="20" t="n">
        <v>1.59961969</v>
      </c>
      <c r="I37" s="18" t="s">
        <v>431</v>
      </c>
      <c r="J37" s="20" t="s">
        <v>431</v>
      </c>
      <c r="K37" s="18" t="n">
        <v>0.26391261</v>
      </c>
      <c r="L37" s="20" t="n">
        <v>0.37440368</v>
      </c>
      <c r="M37" s="18" t="n">
        <v>0</v>
      </c>
      <c r="N37" s="20" t="n">
        <v>0</v>
      </c>
      <c r="O37" s="18" t="n">
        <v>0</v>
      </c>
      <c r="P37" s="20" t="n">
        <v>0</v>
      </c>
      <c r="Q37" s="18" t="n">
        <v>0.25986042</v>
      </c>
      <c r="R37" s="20" t="n">
        <v>0.2571385</v>
      </c>
    </row>
    <row r="38" spans="1:18">
      <c r="A38" s="15" t="s">
        <v>462</v>
      </c>
      <c r="B38" s="17" t="n">
        <v>3053</v>
      </c>
      <c r="C38" s="18">
        <f>(2546.0/B38*100)</f>
        <v/>
      </c>
      <c r="D38" s="19" t="n">
        <v>507</v>
      </c>
      <c r="E38" s="18" t="n">
        <v>8.24856108</v>
      </c>
      <c r="F38" s="20" t="n">
        <v>1.66142232</v>
      </c>
      <c r="G38" s="18" t="n">
        <v>91.23715674</v>
      </c>
      <c r="H38" s="20" t="n">
        <v>1.6252417</v>
      </c>
      <c r="I38" s="18" t="s">
        <v>431</v>
      </c>
      <c r="J38" s="20" t="s">
        <v>431</v>
      </c>
      <c r="K38" s="18" t="n">
        <v>0</v>
      </c>
      <c r="L38" s="20" t="n">
        <v>0</v>
      </c>
      <c r="M38" s="18" t="n">
        <v>0</v>
      </c>
      <c r="N38" s="20" t="n">
        <v>0</v>
      </c>
      <c r="O38" s="18" t="n">
        <v>0</v>
      </c>
      <c r="P38" s="20" t="n">
        <v>0</v>
      </c>
      <c r="Q38" s="18" t="n">
        <v>0.51428218</v>
      </c>
      <c r="R38" s="20" t="n">
        <v>0.33227792</v>
      </c>
    </row>
    <row r="39" spans="1:18">
      <c r="A39" s="15" t="s">
        <v>463</v>
      </c>
      <c r="B39" s="17" t="n">
        <v>2957</v>
      </c>
      <c r="C39" s="18">
        <f>(2593.0/B39*100)</f>
        <v/>
      </c>
      <c r="D39" s="19" t="n">
        <v>364</v>
      </c>
      <c r="E39" s="18" t="n">
        <v>29.48714214</v>
      </c>
      <c r="F39" s="20" t="n">
        <v>2.50542403</v>
      </c>
      <c r="G39" s="18" t="n">
        <v>69.79933545</v>
      </c>
      <c r="H39" s="20" t="n">
        <v>2.42671555</v>
      </c>
      <c r="I39" s="18" t="s">
        <v>431</v>
      </c>
      <c r="J39" s="20" t="s">
        <v>431</v>
      </c>
      <c r="K39" s="18" t="n">
        <v>0.40355708</v>
      </c>
      <c r="L39" s="20" t="n">
        <v>0.40870534</v>
      </c>
      <c r="M39" s="18" t="n">
        <v>0</v>
      </c>
      <c r="N39" s="20" t="n">
        <v>0</v>
      </c>
      <c r="O39" s="18" t="n">
        <v>0</v>
      </c>
      <c r="P39" s="20" t="n">
        <v>0</v>
      </c>
      <c r="Q39" s="18" t="n">
        <v>0.30996534</v>
      </c>
      <c r="R39" s="20" t="n">
        <v>0.26353469</v>
      </c>
    </row>
    <row r="40" spans="1:18">
      <c r="A40" s="15" t="s">
        <v>464</v>
      </c>
      <c r="B40" s="17" t="n">
        <v>7235</v>
      </c>
      <c r="C40" s="18">
        <f>(6342.0/B40*100)</f>
        <v/>
      </c>
      <c r="D40" s="19" t="n">
        <v>893</v>
      </c>
      <c r="E40" s="18" t="n">
        <v>7.37466399</v>
      </c>
      <c r="F40" s="20" t="n">
        <v>1.44017262</v>
      </c>
      <c r="G40" s="18" t="n">
        <v>91.65235213</v>
      </c>
      <c r="H40" s="20" t="n">
        <v>1.40149984</v>
      </c>
      <c r="I40" s="18" t="s">
        <v>431</v>
      </c>
      <c r="J40" s="20" t="s">
        <v>431</v>
      </c>
      <c r="K40" s="18" t="n">
        <v>0.28739532</v>
      </c>
      <c r="L40" s="20" t="n">
        <v>0.16077486</v>
      </c>
      <c r="M40" s="18" t="n">
        <v>0</v>
      </c>
      <c r="N40" s="20" t="n">
        <v>0</v>
      </c>
      <c r="O40" s="18" t="n">
        <v>0</v>
      </c>
      <c r="P40" s="20" t="n">
        <v>0</v>
      </c>
      <c r="Q40" s="18" t="n">
        <v>0.68558856</v>
      </c>
      <c r="R40" s="20" t="n">
        <v>0.48029706</v>
      </c>
    </row>
    <row r="41" spans="1:18">
      <c r="A41" s="15" t="s">
        <v>465</v>
      </c>
      <c r="B41" s="17" t="n">
        <v>2858</v>
      </c>
      <c r="C41" s="18">
        <f>(2494.0/B41*100)</f>
        <v/>
      </c>
      <c r="D41" s="19" t="n">
        <v>364</v>
      </c>
      <c r="E41" s="18" t="n">
        <v>8.997114120000001</v>
      </c>
      <c r="F41" s="20" t="n">
        <v>1.57970345</v>
      </c>
      <c r="G41" s="18" t="n">
        <v>90.51556601</v>
      </c>
      <c r="H41" s="20" t="n">
        <v>1.54820767</v>
      </c>
      <c r="I41" s="18" t="s">
        <v>431</v>
      </c>
      <c r="J41" s="20" t="s">
        <v>431</v>
      </c>
      <c r="K41" s="18" t="n">
        <v>0</v>
      </c>
      <c r="L41" s="20" t="n">
        <v>0</v>
      </c>
      <c r="M41" s="18" t="n">
        <v>0</v>
      </c>
      <c r="N41" s="20" t="n">
        <v>0</v>
      </c>
      <c r="O41" s="18" t="n">
        <v>0</v>
      </c>
      <c r="P41" s="20" t="n">
        <v>0</v>
      </c>
      <c r="Q41" s="18" t="n">
        <v>0.48731987</v>
      </c>
      <c r="R41" s="20" t="n">
        <v>0.31615372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(9917.0/B46*100)</f>
        <v/>
      </c>
      <c r="D46" s="19" t="n">
        <v>1151</v>
      </c>
      <c r="E46" s="18" t="n">
        <v>22.18892834</v>
      </c>
      <c r="F46" s="20" t="n">
        <v>1.51429083</v>
      </c>
      <c r="G46" s="18" t="n">
        <v>76.17321754</v>
      </c>
      <c r="H46" s="20" t="n">
        <v>1.55068298</v>
      </c>
      <c r="I46" s="18" t="s">
        <v>431</v>
      </c>
      <c r="J46" s="20" t="s">
        <v>431</v>
      </c>
      <c r="K46" s="18" t="n">
        <v>0.9568411100000001</v>
      </c>
      <c r="L46" s="20" t="n">
        <v>0.26602323</v>
      </c>
      <c r="M46" s="18" t="n">
        <v>0</v>
      </c>
      <c r="N46" s="20" t="n">
        <v>0</v>
      </c>
      <c r="O46" s="18" t="n">
        <v>0</v>
      </c>
      <c r="P46" s="20" t="n">
        <v>0</v>
      </c>
      <c r="Q46" s="18" t="n">
        <v>0.681013</v>
      </c>
      <c r="R46" s="20" t="n">
        <v>0.26252608</v>
      </c>
    </row>
    <row r="47" spans="1:18">
      <c r="A47" s="15" t="s">
        <v>471</v>
      </c>
      <c r="B47" s="17" t="n">
        <v>3105</v>
      </c>
      <c r="C47" s="18">
        <f>(2720.0/B47*100)</f>
        <v/>
      </c>
      <c r="D47" s="19" t="n">
        <v>385</v>
      </c>
      <c r="E47" s="18" t="n">
        <v>31.09294089</v>
      </c>
      <c r="F47" s="20" t="n">
        <v>2.59976397</v>
      </c>
      <c r="G47" s="18" t="n">
        <v>68.41457698000001</v>
      </c>
      <c r="H47" s="20" t="n">
        <v>2.60819424</v>
      </c>
      <c r="I47" s="18" t="s">
        <v>431</v>
      </c>
      <c r="J47" s="20" t="s">
        <v>431</v>
      </c>
      <c r="K47" s="18" t="n">
        <v>0</v>
      </c>
      <c r="L47" s="20" t="n">
        <v>0</v>
      </c>
      <c r="M47" s="18" t="n">
        <v>0</v>
      </c>
      <c r="N47" s="20" t="n">
        <v>0</v>
      </c>
      <c r="O47" s="18" t="n">
        <v>0</v>
      </c>
      <c r="P47" s="20" t="n">
        <v>0</v>
      </c>
      <c r="Q47" s="18" t="n">
        <v>0.49248214</v>
      </c>
      <c r="R47" s="20" t="n">
        <v>0.29298818</v>
      </c>
    </row>
    <row r="48" spans="1:18">
      <c r="A48" s="15" t="s">
        <v>472</v>
      </c>
      <c r="B48" s="17" t="n">
        <v>5159</v>
      </c>
      <c r="C48" s="18">
        <f>(4548.0/B48*100)</f>
        <v/>
      </c>
      <c r="D48" s="19" t="n">
        <v>611</v>
      </c>
      <c r="E48" s="18" t="n">
        <v>9.03581142</v>
      </c>
      <c r="F48" s="20" t="n">
        <v>1.87008513</v>
      </c>
      <c r="G48" s="18" t="n">
        <v>89.65258351</v>
      </c>
      <c r="H48" s="20" t="n">
        <v>2.16680383</v>
      </c>
      <c r="I48" s="18" t="s">
        <v>431</v>
      </c>
      <c r="J48" s="20" t="s">
        <v>431</v>
      </c>
      <c r="K48" s="18" t="n">
        <v>1.249566</v>
      </c>
      <c r="L48" s="20" t="n">
        <v>0.63347508</v>
      </c>
      <c r="M48" s="18" t="n">
        <v>0</v>
      </c>
      <c r="N48" s="20" t="n">
        <v>0</v>
      </c>
      <c r="O48" s="18" t="n">
        <v>0</v>
      </c>
      <c r="P48" s="20" t="n">
        <v>0</v>
      </c>
      <c r="Q48" s="18" t="n">
        <v>0.06203907</v>
      </c>
      <c r="R48" s="20" t="n">
        <v>0.08969263</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(4964.0/B50*100)</f>
        <v/>
      </c>
      <c r="D50" s="19" t="n">
        <v>673</v>
      </c>
      <c r="E50" s="18" t="n">
        <v>24.48257969</v>
      </c>
      <c r="F50" s="20" t="n">
        <v>2.23071058</v>
      </c>
      <c r="G50" s="18" t="n">
        <v>72.12266452</v>
      </c>
      <c r="H50" s="20" t="n">
        <v>2.57127615</v>
      </c>
      <c r="I50" s="18" t="s">
        <v>431</v>
      </c>
      <c r="J50" s="20" t="s">
        <v>431</v>
      </c>
      <c r="K50" s="18" t="n">
        <v>2.14448701</v>
      </c>
      <c r="L50" s="20" t="n">
        <v>0.76284567</v>
      </c>
      <c r="M50" s="18" t="n">
        <v>0</v>
      </c>
      <c r="N50" s="20" t="n">
        <v>0</v>
      </c>
      <c r="O50" s="18" t="n">
        <v>0</v>
      </c>
      <c r="P50" s="20" t="n">
        <v>0</v>
      </c>
      <c r="Q50" s="18" t="n">
        <v>1.25026879</v>
      </c>
      <c r="R50" s="20" t="n">
        <v>1.26117241</v>
      </c>
    </row>
    <row r="51" spans="1:18">
      <c r="A51" s="15" t="s">
        <v>475</v>
      </c>
      <c r="B51" s="17" t="n">
        <v>3372</v>
      </c>
      <c r="C51" s="18">
        <f>(2998.0/B51*100)</f>
        <v/>
      </c>
      <c r="D51" s="19" t="n">
        <v>374</v>
      </c>
      <c r="E51" s="18" t="n">
        <v>22.498589</v>
      </c>
      <c r="F51" s="20" t="n">
        <v>2.28306601</v>
      </c>
      <c r="G51" s="18" t="n">
        <v>75.99008781000001</v>
      </c>
      <c r="H51" s="20" t="n">
        <v>2.38526509</v>
      </c>
      <c r="I51" s="18" t="s">
        <v>431</v>
      </c>
      <c r="J51" s="20" t="s">
        <v>431</v>
      </c>
      <c r="K51" s="18" t="n">
        <v>1.11853723</v>
      </c>
      <c r="L51" s="20" t="n">
        <v>0.58637536</v>
      </c>
      <c r="M51" s="18" t="n">
        <v>0</v>
      </c>
      <c r="N51" s="20" t="n">
        <v>0</v>
      </c>
      <c r="O51" s="18" t="n">
        <v>0</v>
      </c>
      <c r="P51" s="20" t="n">
        <v>0</v>
      </c>
      <c r="Q51" s="18" t="n">
        <v>0.39278597</v>
      </c>
      <c r="R51" s="20" t="n">
        <v>0.29114169</v>
      </c>
    </row>
    <row r="52" spans="1:18">
      <c r="A52" s="15" t="s">
        <v>476</v>
      </c>
      <c r="B52" s="17" t="n">
        <v>2796</v>
      </c>
      <c r="C52" s="18">
        <f>(2444.0/B52*100)</f>
        <v/>
      </c>
      <c r="D52" s="19" t="n">
        <v>352</v>
      </c>
      <c r="E52" s="18" t="n">
        <v>7.91064684</v>
      </c>
      <c r="F52" s="20" t="n">
        <v>1.34069741</v>
      </c>
      <c r="G52" s="18" t="n">
        <v>91.73308091</v>
      </c>
      <c r="H52" s="20" t="n">
        <v>1.31386815</v>
      </c>
      <c r="I52" s="18" t="s">
        <v>431</v>
      </c>
      <c r="J52" s="20" t="s">
        <v>431</v>
      </c>
      <c r="K52" s="18" t="n">
        <v>0.35627225</v>
      </c>
      <c r="L52" s="20" t="n">
        <v>0.36152979</v>
      </c>
      <c r="M52" s="18" t="n">
        <v>0</v>
      </c>
      <c r="N52" s="20" t="n">
        <v>0</v>
      </c>
      <c r="O52" s="18" t="n">
        <v>0</v>
      </c>
      <c r="P52" s="20" t="n">
        <v>0</v>
      </c>
      <c r="Q52" s="18" t="n">
        <v>0</v>
      </c>
      <c r="R52" s="20" t="n">
        <v>0</v>
      </c>
    </row>
    <row r="53" spans="1:18">
      <c r="A53" s="15" t="s">
        <v>477</v>
      </c>
      <c r="B53" s="17" t="n">
        <v>2811</v>
      </c>
      <c r="C53" s="18">
        <f>(2475.0/B53*100)</f>
        <v/>
      </c>
      <c r="D53" s="19" t="n">
        <v>336</v>
      </c>
      <c r="E53" s="18" t="n">
        <v>19.42240942</v>
      </c>
      <c r="F53" s="20" t="n">
        <v>2.14243756</v>
      </c>
      <c r="G53" s="18" t="n">
        <v>79.31579976</v>
      </c>
      <c r="H53" s="20" t="n">
        <v>2.16697374</v>
      </c>
      <c r="I53" s="18" t="s">
        <v>431</v>
      </c>
      <c r="J53" s="20" t="s">
        <v>431</v>
      </c>
      <c r="K53" s="18" t="n">
        <v>0.62013539</v>
      </c>
      <c r="L53" s="20" t="n">
        <v>0.41752187</v>
      </c>
      <c r="M53" s="18" t="n">
        <v>0</v>
      </c>
      <c r="N53" s="20" t="n">
        <v>0</v>
      </c>
      <c r="O53" s="18" t="n">
        <v>0</v>
      </c>
      <c r="P53" s="20" t="n">
        <v>0</v>
      </c>
      <c r="Q53" s="18" t="n">
        <v>0.64165543</v>
      </c>
      <c r="R53" s="20" t="n">
        <v>0.37203202</v>
      </c>
    </row>
    <row r="54" spans="1:18">
      <c r="A54" s="15" t="s">
        <v>478</v>
      </c>
      <c r="B54" s="17" t="n">
        <v>2266</v>
      </c>
      <c r="C54" s="18">
        <f>(1906.0/B54*100)</f>
        <v/>
      </c>
      <c r="D54" s="19" t="n">
        <v>360</v>
      </c>
      <c r="E54" s="18" t="n">
        <v>34.60797492</v>
      </c>
      <c r="F54" s="20" t="n">
        <v>2.95240882</v>
      </c>
      <c r="G54" s="18" t="n">
        <v>56.19951047</v>
      </c>
      <c r="H54" s="20" t="n">
        <v>2.84161241</v>
      </c>
      <c r="I54" s="18" t="s">
        <v>431</v>
      </c>
      <c r="J54" s="20" t="s">
        <v>431</v>
      </c>
      <c r="K54" s="18" t="n">
        <v>8.21574019</v>
      </c>
      <c r="L54" s="20" t="n">
        <v>1.69460706</v>
      </c>
      <c r="M54" s="18" t="n">
        <v>0</v>
      </c>
      <c r="N54" s="20" t="n">
        <v>0</v>
      </c>
      <c r="O54" s="18" t="n">
        <v>0</v>
      </c>
      <c r="P54" s="20" t="n">
        <v>0</v>
      </c>
      <c r="Q54" s="18" t="n">
        <v>0.97677441</v>
      </c>
      <c r="R54" s="20" t="n">
        <v>0.66430621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(2338.0/B56*100)</f>
        <v/>
      </c>
      <c r="D56" s="19" t="n">
        <v>346</v>
      </c>
      <c r="E56" s="18" t="n">
        <v>10.06648408</v>
      </c>
      <c r="F56" s="20" t="n">
        <v>1.60952228</v>
      </c>
      <c r="G56" s="18" t="n">
        <v>89.56199866999999</v>
      </c>
      <c r="H56" s="20" t="n">
        <v>1.64765462</v>
      </c>
      <c r="I56" s="18" t="s">
        <v>431</v>
      </c>
      <c r="J56" s="20" t="s">
        <v>431</v>
      </c>
      <c r="K56" s="18" t="n">
        <v>0.37151725</v>
      </c>
      <c r="L56" s="20" t="n">
        <v>0.31630863</v>
      </c>
      <c r="M56" s="18" t="n">
        <v>0</v>
      </c>
      <c r="N56" s="20" t="n">
        <v>0</v>
      </c>
      <c r="O56" s="18" t="n">
        <v>0</v>
      </c>
      <c r="P56" s="20" t="n">
        <v>0</v>
      </c>
      <c r="Q56" s="18" t="n">
        <v>0</v>
      </c>
      <c r="R56" s="20" t="n">
        <v>0</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(2914.0/B61*100)</f>
        <v/>
      </c>
      <c r="D61" s="19" t="n">
        <v>410</v>
      </c>
      <c r="E61" s="18" t="n">
        <v>19.86366766</v>
      </c>
      <c r="F61" s="20" t="n">
        <v>2.15742647</v>
      </c>
      <c r="G61" s="18" t="n">
        <v>79.24913934</v>
      </c>
      <c r="H61" s="20" t="n">
        <v>2.18202437</v>
      </c>
      <c r="I61" s="18" t="s">
        <v>431</v>
      </c>
      <c r="J61" s="20" t="s">
        <v>431</v>
      </c>
      <c r="K61" s="18" t="n">
        <v>0</v>
      </c>
      <c r="L61" s="20" t="n">
        <v>0</v>
      </c>
      <c r="M61" s="18" t="n">
        <v>0</v>
      </c>
      <c r="N61" s="20" t="n">
        <v>0</v>
      </c>
      <c r="O61" s="18" t="n">
        <v>0</v>
      </c>
      <c r="P61" s="20" t="n">
        <v>0</v>
      </c>
      <c r="Q61" s="18" t="n">
        <v>0.887193</v>
      </c>
      <c r="R61" s="20" t="n">
        <v>0.42413685</v>
      </c>
    </row>
    <row r="62" spans="1:18">
      <c r="A62" s="15" t="s">
        <v>486</v>
      </c>
      <c r="B62" s="17" t="n">
        <v>2246</v>
      </c>
      <c r="C62" s="18">
        <f>(1957.0/B62*100)</f>
        <v/>
      </c>
      <c r="D62" s="19" t="n">
        <v>289</v>
      </c>
      <c r="E62" s="18" t="n">
        <v>9.68165464</v>
      </c>
      <c r="F62" s="20" t="n">
        <v>1.90005972</v>
      </c>
      <c r="G62" s="18" t="n">
        <v>90.31834536</v>
      </c>
      <c r="H62" s="20" t="n">
        <v>1.90005972</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(2528.0/B66*100)</f>
        <v/>
      </c>
      <c r="D66" s="19" t="n">
        <v>366</v>
      </c>
      <c r="E66" s="18" t="n">
        <v>14.68720062</v>
      </c>
      <c r="F66" s="20" t="n">
        <v>1.82467526</v>
      </c>
      <c r="G66" s="18" t="n">
        <v>82.89107797</v>
      </c>
      <c r="H66" s="20" t="n">
        <v>1.95596714</v>
      </c>
      <c r="I66" s="18" t="s">
        <v>431</v>
      </c>
      <c r="J66" s="20" t="s">
        <v>431</v>
      </c>
      <c r="K66" s="18" t="n">
        <v>1.36188498</v>
      </c>
      <c r="L66" s="20" t="n">
        <v>0.6060202</v>
      </c>
      <c r="M66" s="18" t="n">
        <v>0</v>
      </c>
      <c r="N66" s="20" t="n">
        <v>0</v>
      </c>
      <c r="O66" s="18" t="n">
        <v>0</v>
      </c>
      <c r="P66" s="20" t="n">
        <v>0</v>
      </c>
      <c r="Q66" s="18" t="n">
        <v>1.05983644</v>
      </c>
      <c r="R66" s="20" t="n">
        <v>0.54075644</v>
      </c>
    </row>
    <row r="67" spans="1:18">
      <c r="A67" s="15" t="s">
        <v>491</v>
      </c>
      <c r="B67" s="17" t="n">
        <v>3511</v>
      </c>
      <c r="C67" s="18">
        <f>(3093.0/B67*100)</f>
        <v/>
      </c>
      <c r="D67" s="19" t="n">
        <v>418</v>
      </c>
      <c r="E67" s="18" t="n">
        <v>27.57547281</v>
      </c>
      <c r="F67" s="20" t="n">
        <v>2.08484698</v>
      </c>
      <c r="G67" s="18" t="n">
        <v>72.42452719000001</v>
      </c>
      <c r="H67" s="20" t="n">
        <v>2.08484698</v>
      </c>
      <c r="I67" s="18" t="s">
        <v>431</v>
      </c>
      <c r="J67" s="20" t="s">
        <v>431</v>
      </c>
      <c r="K67" s="18" t="n">
        <v>0</v>
      </c>
      <c r="L67" s="20" t="n">
        <v>0</v>
      </c>
      <c r="M67" s="18" t="n">
        <v>0</v>
      </c>
      <c r="N67" s="20" t="n">
        <v>0</v>
      </c>
      <c r="O67" s="18" t="n">
        <v>0</v>
      </c>
      <c r="P67" s="20" t="n">
        <v>0</v>
      </c>
      <c r="Q67" s="18" t="n">
        <v>0</v>
      </c>
      <c r="R67" s="20" t="n">
        <v>0</v>
      </c>
    </row>
    <row r="68" spans="1:18">
      <c r="A68" s="15" t="s">
        <v>492</v>
      </c>
      <c r="B68" s="17" t="n">
        <v>6049</v>
      </c>
      <c r="C68" s="18">
        <f>(5047.0/B68*100)</f>
        <v/>
      </c>
      <c r="D68" s="19" t="n">
        <v>1002</v>
      </c>
      <c r="E68" s="18" t="n">
        <v>22.81371705</v>
      </c>
      <c r="F68" s="20" t="n">
        <v>1.35385493</v>
      </c>
      <c r="G68" s="18" t="n">
        <v>34.99132542</v>
      </c>
      <c r="H68" s="20" t="n">
        <v>1.36193977</v>
      </c>
      <c r="I68" s="18" t="s">
        <v>431</v>
      </c>
      <c r="J68" s="20" t="s">
        <v>431</v>
      </c>
      <c r="K68" s="18" t="n">
        <v>1.58295355</v>
      </c>
      <c r="L68" s="20" t="n">
        <v>0.41904807</v>
      </c>
      <c r="M68" s="18" t="n">
        <v>39.54604517</v>
      </c>
      <c r="N68" s="20" t="n">
        <v>1.45641894</v>
      </c>
      <c r="O68" s="18" t="n">
        <v>0</v>
      </c>
      <c r="P68" s="20" t="n">
        <v>0</v>
      </c>
      <c r="Q68" s="18" t="n">
        <v>1.06595882</v>
      </c>
      <c r="R68" s="20" t="n">
        <v>0.33151703</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(2592.0/B70*100)</f>
        <v/>
      </c>
      <c r="D70" s="19" t="n">
        <v>337</v>
      </c>
      <c r="E70" s="18" t="n">
        <v>9.515207869999999</v>
      </c>
      <c r="F70" s="20" t="n">
        <v>1.5259509</v>
      </c>
      <c r="G70" s="18" t="n">
        <v>89.83548347999999</v>
      </c>
      <c r="H70" s="20" t="n">
        <v>1.53211134</v>
      </c>
      <c r="I70" s="18" t="s">
        <v>431</v>
      </c>
      <c r="J70" s="20" t="s">
        <v>431</v>
      </c>
      <c r="K70" s="18" t="n">
        <v>0.42347422</v>
      </c>
      <c r="L70" s="20" t="n">
        <v>0.30126866</v>
      </c>
      <c r="M70" s="18" t="n">
        <v>0</v>
      </c>
      <c r="N70" s="20" t="n">
        <v>0</v>
      </c>
      <c r="O70" s="18" t="n">
        <v>0</v>
      </c>
      <c r="P70" s="20" t="n">
        <v>0</v>
      </c>
      <c r="Q70" s="18" t="n">
        <v>0.22583443</v>
      </c>
      <c r="R70" s="20" t="n">
        <v>0.15808745</v>
      </c>
    </row>
    <row r="71" spans="1:18">
      <c r="A71" s="15" t="s">
        <v>495</v>
      </c>
      <c r="B71" s="17" t="n">
        <v>3142</v>
      </c>
      <c r="C71" s="18">
        <f>(2758.0/B71*100)</f>
        <v/>
      </c>
      <c r="D71" s="19" t="n">
        <v>384</v>
      </c>
      <c r="E71" s="18" t="n">
        <v>2.57402347</v>
      </c>
      <c r="F71" s="20" t="n">
        <v>1.00797698</v>
      </c>
      <c r="G71" s="18" t="n">
        <v>96.71828863</v>
      </c>
      <c r="H71" s="20" t="n">
        <v>1.08513794</v>
      </c>
      <c r="I71" s="18" t="s">
        <v>431</v>
      </c>
      <c r="J71" s="20" t="s">
        <v>431</v>
      </c>
      <c r="K71" s="18" t="n">
        <v>0.50709201</v>
      </c>
      <c r="L71" s="20" t="n">
        <v>0.35864634</v>
      </c>
      <c r="M71" s="18" t="n">
        <v>0</v>
      </c>
      <c r="N71" s="20" t="n">
        <v>0</v>
      </c>
      <c r="O71" s="18" t="n">
        <v>0</v>
      </c>
      <c r="P71" s="20" t="n">
        <v>0</v>
      </c>
      <c r="Q71" s="18" t="n">
        <v>0.20059588</v>
      </c>
      <c r="R71" s="20" t="n">
        <v>0.20443413</v>
      </c>
    </row>
    <row r="72" spans="1:18">
      <c r="A72" s="15" t="s">
        <v>496</v>
      </c>
      <c r="B72" s="17" t="n">
        <v>3889</v>
      </c>
      <c r="C72" s="18">
        <f>(3402.0/B72*100)</f>
        <v/>
      </c>
      <c r="D72" s="19" t="n">
        <v>487</v>
      </c>
      <c r="E72" s="18" t="n">
        <v>9.355450250000001</v>
      </c>
      <c r="F72" s="20" t="n">
        <v>1.26162436</v>
      </c>
      <c r="G72" s="18" t="n">
        <v>90.48288522</v>
      </c>
      <c r="H72" s="20" t="n">
        <v>1.31147659</v>
      </c>
      <c r="I72" s="18" t="s">
        <v>431</v>
      </c>
      <c r="J72" s="20" t="s">
        <v>431</v>
      </c>
      <c r="K72" s="18" t="n">
        <v>0.16166453</v>
      </c>
      <c r="L72" s="20" t="n">
        <v>0.16163413</v>
      </c>
      <c r="M72" s="18" t="n">
        <v>0</v>
      </c>
      <c r="N72" s="20" t="n">
        <v>0</v>
      </c>
      <c r="O72" s="18" t="n">
        <v>0</v>
      </c>
      <c r="P72" s="20" t="n">
        <v>0</v>
      </c>
      <c r="Q72" s="18" t="n">
        <v>0</v>
      </c>
      <c r="R72" s="20" t="n">
        <v>0</v>
      </c>
    </row>
    <row r="73" spans="1:18">
      <c r="A73" s="15" t="s">
        <v>497</v>
      </c>
      <c r="B73" s="17" t="n">
        <v>3597</v>
      </c>
      <c r="C73" s="18">
        <f>(3186.0/B73*100)</f>
        <v/>
      </c>
      <c r="D73" s="19" t="n">
        <v>411</v>
      </c>
      <c r="E73" s="18" t="n">
        <v>32.70446327</v>
      </c>
      <c r="F73" s="20" t="n">
        <v>2.53480202</v>
      </c>
      <c r="G73" s="18" t="n">
        <v>67.29553672999999</v>
      </c>
      <c r="H73" s="20" t="n">
        <v>2.53480202</v>
      </c>
      <c r="I73" s="18" t="s">
        <v>431</v>
      </c>
      <c r="J73" s="20" t="s">
        <v>431</v>
      </c>
      <c r="K73" s="18" t="n">
        <v>0</v>
      </c>
      <c r="L73" s="20" t="n">
        <v>0</v>
      </c>
      <c r="M73" s="18" t="n">
        <v>0</v>
      </c>
      <c r="N73" s="20" t="n">
        <v>0</v>
      </c>
      <c r="O73" s="18" t="n">
        <v>0</v>
      </c>
      <c r="P73" s="20" t="n">
        <v>0</v>
      </c>
      <c r="Q73" s="18" t="n">
        <v>0</v>
      </c>
      <c r="R73" s="20" t="n">
        <v>0</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(2134.0/B75*100)</f>
        <v/>
      </c>
      <c r="D75" s="19" t="n">
        <v>272</v>
      </c>
      <c r="E75" s="18" t="n">
        <v>22.82409548</v>
      </c>
      <c r="F75" s="20" t="n">
        <v>2.24456115</v>
      </c>
      <c r="G75" s="18" t="n">
        <v>73.6428701</v>
      </c>
      <c r="H75" s="20" t="n">
        <v>2.50304022</v>
      </c>
      <c r="I75" s="18" t="s">
        <v>431</v>
      </c>
      <c r="J75" s="20" t="s">
        <v>431</v>
      </c>
      <c r="K75" s="18" t="n">
        <v>2.46630763</v>
      </c>
      <c r="L75" s="20" t="n">
        <v>1.16490191</v>
      </c>
      <c r="M75" s="18" t="n">
        <v>0</v>
      </c>
      <c r="N75" s="20" t="n">
        <v>0</v>
      </c>
      <c r="O75" s="18" t="n">
        <v>0</v>
      </c>
      <c r="P75" s="20" t="n">
        <v>0</v>
      </c>
      <c r="Q75" s="18" t="n">
        <v>1.0667268</v>
      </c>
      <c r="R75" s="20" t="n">
        <v>0.61006856</v>
      </c>
    </row>
    <row r="76" spans="1:18">
      <c r="A76" s="15" t="s">
        <v>500</v>
      </c>
      <c r="B76" s="17" t="n">
        <v>7052</v>
      </c>
      <c r="C76" s="18">
        <f>(6185.0/B76*100)</f>
        <v/>
      </c>
      <c r="D76" s="19" t="n">
        <v>867</v>
      </c>
      <c r="E76" s="18" t="n">
        <v>25.31395993</v>
      </c>
      <c r="F76" s="20" t="n">
        <v>1.84356849</v>
      </c>
      <c r="G76" s="18" t="n">
        <v>73.2362227</v>
      </c>
      <c r="H76" s="20" t="n">
        <v>1.9003518</v>
      </c>
      <c r="I76" s="18" t="s">
        <v>431</v>
      </c>
      <c r="J76" s="20" t="s">
        <v>431</v>
      </c>
      <c r="K76" s="18" t="n">
        <v>0.66610098</v>
      </c>
      <c r="L76" s="20" t="n">
        <v>0.33758087</v>
      </c>
      <c r="M76" s="18" t="n">
        <v>0</v>
      </c>
      <c r="N76" s="20" t="n">
        <v>0</v>
      </c>
      <c r="O76" s="18" t="n">
        <v>0</v>
      </c>
      <c r="P76" s="20" t="n">
        <v>0</v>
      </c>
      <c r="Q76" s="18" t="n">
        <v>0.78371639</v>
      </c>
      <c r="R76" s="20" t="n">
        <v>0.33533115</v>
      </c>
    </row>
    <row r="77" spans="1:18">
      <c r="A77" s="15" t="s">
        <v>501</v>
      </c>
      <c r="B77" s="17" t="n">
        <v>2908</v>
      </c>
      <c r="C77" s="18">
        <f>(2576.0/B77*100)</f>
        <v/>
      </c>
      <c r="D77" s="19" t="n">
        <v>332</v>
      </c>
      <c r="E77" s="18" t="n">
        <v>23.67019815</v>
      </c>
      <c r="F77" s="20" t="n">
        <v>2.38645343</v>
      </c>
      <c r="G77" s="18" t="n">
        <v>74.67129058</v>
      </c>
      <c r="H77" s="20" t="n">
        <v>2.53654145</v>
      </c>
      <c r="I77" s="18" t="s">
        <v>431</v>
      </c>
      <c r="J77" s="20" t="s">
        <v>431</v>
      </c>
      <c r="K77" s="18" t="n">
        <v>1.20348001</v>
      </c>
      <c r="L77" s="20" t="n">
        <v>0.7163316199999999</v>
      </c>
      <c r="M77" s="18" t="n">
        <v>0</v>
      </c>
      <c r="N77" s="20" t="n">
        <v>0</v>
      </c>
      <c r="O77" s="18" t="n">
        <v>0</v>
      </c>
      <c r="P77" s="20" t="n">
        <v>0</v>
      </c>
      <c r="Q77" s="18" t="n">
        <v>0.45503126</v>
      </c>
      <c r="R77" s="20" t="n">
        <v>0.33147563</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(3656.0/B81*100)</f>
        <v/>
      </c>
      <c r="D81" s="19" t="n">
        <v>507</v>
      </c>
      <c r="E81" s="18" t="n">
        <v>16.65204107</v>
      </c>
      <c r="F81" s="20" t="n">
        <v>2.04445106</v>
      </c>
      <c r="G81" s="18" t="n">
        <v>82.80111513</v>
      </c>
      <c r="H81" s="20" t="n">
        <v>2.04794849</v>
      </c>
      <c r="I81" s="18" t="s">
        <v>431</v>
      </c>
      <c r="J81" s="20" t="s">
        <v>431</v>
      </c>
      <c r="K81" s="18" t="n">
        <v>0.2467533</v>
      </c>
      <c r="L81" s="20" t="n">
        <v>0.24572204</v>
      </c>
      <c r="M81" s="18" t="n">
        <v>0</v>
      </c>
      <c r="N81" s="20" t="n">
        <v>0</v>
      </c>
      <c r="O81" s="18" t="n">
        <v>0</v>
      </c>
      <c r="P81" s="20" t="n">
        <v>0</v>
      </c>
      <c r="Q81" s="18" t="n">
        <v>0.3000905</v>
      </c>
      <c r="R81" s="20" t="n">
        <v>0.2989931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(6476.0/B7*100)</f>
        <v/>
      </c>
      <c r="D7" s="19" t="n">
        <v>891</v>
      </c>
      <c r="E7" s="18" t="n">
        <v>21.55160463</v>
      </c>
      <c r="F7" s="20" t="n">
        <v>1.3788132</v>
      </c>
      <c r="G7" s="18" t="n">
        <v>75.58262876000001</v>
      </c>
      <c r="H7" s="20" t="n">
        <v>1.49078979</v>
      </c>
      <c r="I7" s="18" t="s">
        <v>431</v>
      </c>
      <c r="J7" s="20" t="s">
        <v>431</v>
      </c>
      <c r="K7" s="18" t="n">
        <v>0.45465695</v>
      </c>
      <c r="L7" s="20" t="n">
        <v>0.22796443</v>
      </c>
      <c r="M7" s="18" t="n">
        <v>0.06668229000000001</v>
      </c>
      <c r="N7" s="20" t="n">
        <v>0.03739093</v>
      </c>
      <c r="O7" s="18" t="n">
        <v>0</v>
      </c>
      <c r="P7" s="20" t="n">
        <v>0</v>
      </c>
      <c r="Q7" s="18" t="n">
        <v>2.34442737</v>
      </c>
      <c r="R7" s="20" t="n">
        <v>0.55935281</v>
      </c>
    </row>
    <row r="8" spans="1:18">
      <c r="A8" s="15" t="s">
        <v>432</v>
      </c>
      <c r="B8" s="17" t="n">
        <v>3564</v>
      </c>
      <c r="C8" s="18">
        <f>(3088.0/B8*100)</f>
        <v/>
      </c>
      <c r="D8" s="19" t="n">
        <v>476</v>
      </c>
      <c r="E8" s="18" t="n">
        <v>35.34201905</v>
      </c>
      <c r="F8" s="20" t="n">
        <v>2.24257044</v>
      </c>
      <c r="G8" s="18" t="n">
        <v>61.92289332</v>
      </c>
      <c r="H8" s="20" t="n">
        <v>2.23226727</v>
      </c>
      <c r="I8" s="18" t="s">
        <v>431</v>
      </c>
      <c r="J8" s="20" t="s">
        <v>431</v>
      </c>
      <c r="K8" s="18" t="n">
        <v>0</v>
      </c>
      <c r="L8" s="20" t="n">
        <v>0</v>
      </c>
      <c r="M8" s="18" t="n">
        <v>0</v>
      </c>
      <c r="N8" s="20" t="n">
        <v>0</v>
      </c>
      <c r="O8" s="18" t="n">
        <v>0</v>
      </c>
      <c r="P8" s="20" t="n">
        <v>0</v>
      </c>
      <c r="Q8" s="18" t="n">
        <v>2.73508763</v>
      </c>
      <c r="R8" s="20" t="n">
        <v>1.05222017</v>
      </c>
    </row>
    <row r="9" spans="1:18">
      <c r="A9" s="15" t="s">
        <v>433</v>
      </c>
      <c r="B9" s="17" t="n">
        <v>4899</v>
      </c>
      <c r="C9" s="18">
        <f>(4298.0/B9*100)</f>
        <v/>
      </c>
      <c r="D9" s="19" t="n">
        <v>601</v>
      </c>
      <c r="E9" s="18" t="n">
        <v>21.32476411</v>
      </c>
      <c r="F9" s="20" t="n">
        <v>1.9817635</v>
      </c>
      <c r="G9" s="18" t="n">
        <v>76.94104332000001</v>
      </c>
      <c r="H9" s="20" t="n">
        <v>1.98176695</v>
      </c>
      <c r="I9" s="18" t="s">
        <v>431</v>
      </c>
      <c r="J9" s="20" t="s">
        <v>431</v>
      </c>
      <c r="K9" s="18" t="n">
        <v>0</v>
      </c>
      <c r="L9" s="20" t="n">
        <v>0</v>
      </c>
      <c r="M9" s="18" t="n">
        <v>0.16689652</v>
      </c>
      <c r="N9" s="20" t="n">
        <v>0.16611403</v>
      </c>
      <c r="O9" s="18" t="n">
        <v>0</v>
      </c>
      <c r="P9" s="20" t="n">
        <v>0</v>
      </c>
      <c r="Q9" s="18" t="n">
        <v>1.56729604</v>
      </c>
      <c r="R9" s="20" t="n">
        <v>0.44974996</v>
      </c>
    </row>
    <row r="10" spans="1:18">
      <c r="A10" s="15" t="s">
        <v>434</v>
      </c>
      <c r="B10" s="17" t="n">
        <v>10036</v>
      </c>
      <c r="C10" s="18">
        <f>(8774.0/B10*100)</f>
        <v/>
      </c>
      <c r="D10" s="19" t="n">
        <v>1262</v>
      </c>
      <c r="E10" s="18" t="n">
        <v>20.42723687</v>
      </c>
      <c r="F10" s="20" t="n">
        <v>1.47131652</v>
      </c>
      <c r="G10" s="18" t="n">
        <v>77.37744637</v>
      </c>
      <c r="H10" s="20" t="n">
        <v>1.64062865</v>
      </c>
      <c r="I10" s="18" t="s">
        <v>431</v>
      </c>
      <c r="J10" s="20" t="s">
        <v>431</v>
      </c>
      <c r="K10" s="18" t="n">
        <v>0.50195041</v>
      </c>
      <c r="L10" s="20" t="n">
        <v>0.30760219</v>
      </c>
      <c r="M10" s="18" t="n">
        <v>0</v>
      </c>
      <c r="N10" s="20" t="n">
        <v>0</v>
      </c>
      <c r="O10" s="18" t="n">
        <v>0</v>
      </c>
      <c r="P10" s="20" t="n">
        <v>0</v>
      </c>
      <c r="Q10" s="18" t="n">
        <v>1.69336635</v>
      </c>
      <c r="R10" s="20" t="n">
        <v>0.53149214</v>
      </c>
    </row>
    <row r="11" spans="1:18">
      <c r="A11" s="15" t="s">
        <v>435</v>
      </c>
      <c r="B11" s="17" t="n">
        <v>3553</v>
      </c>
      <c r="C11" s="18">
        <f>(3108.0/B11*100)</f>
        <v/>
      </c>
      <c r="D11" s="19" t="n">
        <v>445</v>
      </c>
      <c r="E11" s="18" t="n">
        <v>36.87790409</v>
      </c>
      <c r="F11" s="20" t="n">
        <v>2.92025625</v>
      </c>
      <c r="G11" s="18" t="n">
        <v>57.06255506</v>
      </c>
      <c r="H11" s="20" t="n">
        <v>2.89576402</v>
      </c>
      <c r="I11" s="18" t="s">
        <v>431</v>
      </c>
      <c r="J11" s="20" t="s">
        <v>431</v>
      </c>
      <c r="K11" s="18" t="n">
        <v>1.07807313</v>
      </c>
      <c r="L11" s="20" t="n">
        <v>0.7009508</v>
      </c>
      <c r="M11" s="18" t="n">
        <v>0</v>
      </c>
      <c r="N11" s="20" t="n">
        <v>0</v>
      </c>
      <c r="O11" s="18" t="n">
        <v>0</v>
      </c>
      <c r="P11" s="20" t="n">
        <v>0</v>
      </c>
      <c r="Q11" s="18" t="n">
        <v>4.98146772</v>
      </c>
      <c r="R11" s="20" t="n">
        <v>1.07542982</v>
      </c>
    </row>
    <row r="12" spans="1:18">
      <c r="A12" s="15" t="s">
        <v>436</v>
      </c>
      <c r="B12" s="17" t="n">
        <v>3472</v>
      </c>
      <c r="C12" s="18">
        <f>(3058.0/B12*100)</f>
        <v/>
      </c>
      <c r="D12" s="19" t="n">
        <v>414</v>
      </c>
      <c r="E12" s="18" t="n">
        <v>34.77406687</v>
      </c>
      <c r="F12" s="20" t="n">
        <v>2.5141156</v>
      </c>
      <c r="G12" s="18" t="n">
        <v>62.86712383</v>
      </c>
      <c r="H12" s="20" t="n">
        <v>2.67982445</v>
      </c>
      <c r="I12" s="18" t="s">
        <v>431</v>
      </c>
      <c r="J12" s="20" t="s">
        <v>431</v>
      </c>
      <c r="K12" s="18" t="n">
        <v>0</v>
      </c>
      <c r="L12" s="20" t="n">
        <v>0</v>
      </c>
      <c r="M12" s="18" t="n">
        <v>0</v>
      </c>
      <c r="N12" s="20" t="n">
        <v>0</v>
      </c>
      <c r="O12" s="18" t="n">
        <v>0</v>
      </c>
      <c r="P12" s="20" t="n">
        <v>0</v>
      </c>
      <c r="Q12" s="18" t="n">
        <v>2.3588093</v>
      </c>
      <c r="R12" s="20" t="n">
        <v>0.92075005</v>
      </c>
    </row>
    <row r="13" spans="1:18">
      <c r="A13" s="15" t="s">
        <v>437</v>
      </c>
      <c r="B13" s="17" t="n">
        <v>3559</v>
      </c>
      <c r="C13" s="18">
        <f>(3144.0/B13*100)</f>
        <v/>
      </c>
      <c r="D13" s="19" t="n">
        <v>415</v>
      </c>
      <c r="E13" s="18" t="n">
        <v>20.56181595</v>
      </c>
      <c r="F13" s="20" t="n">
        <v>2.28475526</v>
      </c>
      <c r="G13" s="18" t="n">
        <v>77.73448046</v>
      </c>
      <c r="H13" s="20" t="n">
        <v>2.35309563</v>
      </c>
      <c r="I13" s="18" t="s">
        <v>431</v>
      </c>
      <c r="J13" s="20" t="s">
        <v>431</v>
      </c>
      <c r="K13" s="18" t="n">
        <v>0.50424479</v>
      </c>
      <c r="L13" s="20" t="n">
        <v>0.35903525</v>
      </c>
      <c r="M13" s="18" t="n">
        <v>0</v>
      </c>
      <c r="N13" s="20" t="n">
        <v>0</v>
      </c>
      <c r="O13" s="18" t="n">
        <v>0</v>
      </c>
      <c r="P13" s="20" t="n">
        <v>0</v>
      </c>
      <c r="Q13" s="18" t="n">
        <v>1.19945881</v>
      </c>
      <c r="R13" s="20" t="n">
        <v>0.52029985</v>
      </c>
    </row>
    <row r="14" spans="1:18">
      <c r="A14" s="15" t="s">
        <v>438</v>
      </c>
      <c r="B14" s="17" t="n">
        <v>2799</v>
      </c>
      <c r="C14" s="18">
        <f>(2458.0/B14*100)</f>
        <v/>
      </c>
      <c r="D14" s="19" t="n">
        <v>341</v>
      </c>
      <c r="E14" s="18" t="n">
        <v>17.50703326</v>
      </c>
      <c r="F14" s="20" t="n">
        <v>2.36112031</v>
      </c>
      <c r="G14" s="18" t="n">
        <v>81.79902937</v>
      </c>
      <c r="H14" s="20" t="n">
        <v>2.47297024</v>
      </c>
      <c r="I14" s="18" t="s">
        <v>431</v>
      </c>
      <c r="J14" s="20" t="s">
        <v>431</v>
      </c>
      <c r="K14" s="18" t="n">
        <v>0</v>
      </c>
      <c r="L14" s="20" t="n">
        <v>0</v>
      </c>
      <c r="M14" s="18" t="n">
        <v>0</v>
      </c>
      <c r="N14" s="20" t="n">
        <v>0</v>
      </c>
      <c r="O14" s="18" t="n">
        <v>0</v>
      </c>
      <c r="P14" s="20" t="n">
        <v>0</v>
      </c>
      <c r="Q14" s="18" t="n">
        <v>0.69393738</v>
      </c>
      <c r="R14" s="20" t="n">
        <v>0.49728348</v>
      </c>
    </row>
    <row r="15" spans="1:18">
      <c r="A15" s="15" t="s">
        <v>439</v>
      </c>
      <c r="B15" s="17" t="n">
        <v>3019</v>
      </c>
      <c r="C15" s="18">
        <f>(2648.0/B15*100)</f>
        <v/>
      </c>
      <c r="D15" s="19" t="n">
        <v>371</v>
      </c>
      <c r="E15" s="18" t="n">
        <v>22.1028319</v>
      </c>
      <c r="F15" s="20" t="n">
        <v>1.93142925</v>
      </c>
      <c r="G15" s="18" t="n">
        <v>75.45991434</v>
      </c>
      <c r="H15" s="20" t="n">
        <v>2.113382</v>
      </c>
      <c r="I15" s="18" t="s">
        <v>431</v>
      </c>
      <c r="J15" s="20" t="s">
        <v>431</v>
      </c>
      <c r="K15" s="18" t="n">
        <v>0.2505041</v>
      </c>
      <c r="L15" s="20" t="n">
        <v>0.25144761</v>
      </c>
      <c r="M15" s="18" t="n">
        <v>0</v>
      </c>
      <c r="N15" s="20" t="n">
        <v>0</v>
      </c>
      <c r="O15" s="18" t="n">
        <v>0</v>
      </c>
      <c r="P15" s="20" t="n">
        <v>0</v>
      </c>
      <c r="Q15" s="18" t="n">
        <v>2.18674966</v>
      </c>
      <c r="R15" s="20" t="n">
        <v>0.8398878</v>
      </c>
    </row>
    <row r="16" spans="1:18">
      <c r="A16" s="15" t="s">
        <v>440</v>
      </c>
      <c r="B16" s="17" t="n">
        <v>2997</v>
      </c>
      <c r="C16" s="18">
        <f>(2639.0/B16*100)</f>
        <v/>
      </c>
      <c r="D16" s="19" t="n">
        <v>358</v>
      </c>
      <c r="E16" s="18" t="n">
        <v>30.9070657</v>
      </c>
      <c r="F16" s="20" t="n">
        <v>2.27649016</v>
      </c>
      <c r="G16" s="18" t="n">
        <v>64.11508028</v>
      </c>
      <c r="H16" s="20" t="n">
        <v>2.58270476</v>
      </c>
      <c r="I16" s="18" t="s">
        <v>431</v>
      </c>
      <c r="J16" s="20" t="s">
        <v>431</v>
      </c>
      <c r="K16" s="18" t="n">
        <v>1.64662686</v>
      </c>
      <c r="L16" s="20" t="n">
        <v>0.74217045</v>
      </c>
      <c r="M16" s="18" t="n">
        <v>0</v>
      </c>
      <c r="N16" s="20" t="n">
        <v>0</v>
      </c>
      <c r="O16" s="18" t="n">
        <v>0</v>
      </c>
      <c r="P16" s="20" t="n">
        <v>0</v>
      </c>
      <c r="Q16" s="18" t="n">
        <v>3.33122716</v>
      </c>
      <c r="R16" s="20" t="n">
        <v>0.90695539</v>
      </c>
    </row>
    <row r="17" spans="1:18">
      <c r="A17" s="15" t="s">
        <v>441</v>
      </c>
      <c r="B17" s="17" t="n">
        <v>3307</v>
      </c>
      <c r="C17" s="18">
        <f>(2907.0/B17*100)</f>
        <v/>
      </c>
      <c r="D17" s="19" t="n">
        <v>400</v>
      </c>
      <c r="E17" s="18" t="n">
        <v>17.3390534</v>
      </c>
      <c r="F17" s="20" t="n">
        <v>1.92088321</v>
      </c>
      <c r="G17" s="18" t="n">
        <v>79.08528431000001</v>
      </c>
      <c r="H17" s="20" t="n">
        <v>1.86357061</v>
      </c>
      <c r="I17" s="18" t="s">
        <v>431</v>
      </c>
      <c r="J17" s="20" t="s">
        <v>431</v>
      </c>
      <c r="K17" s="18" t="n">
        <v>0.67770456</v>
      </c>
      <c r="L17" s="20" t="n">
        <v>0.39657927</v>
      </c>
      <c r="M17" s="18" t="n">
        <v>0</v>
      </c>
      <c r="N17" s="20" t="n">
        <v>0</v>
      </c>
      <c r="O17" s="18" t="n">
        <v>0</v>
      </c>
      <c r="P17" s="20" t="n">
        <v>0</v>
      </c>
      <c r="Q17" s="18" t="n">
        <v>2.89795773</v>
      </c>
      <c r="R17" s="20" t="n">
        <v>1.00034654</v>
      </c>
    </row>
    <row r="18" spans="1:18">
      <c r="A18" s="15" t="s">
        <v>442</v>
      </c>
      <c r="B18" s="17" t="n">
        <v>2826</v>
      </c>
      <c r="C18" s="18">
        <f>(2482.0/B18*100)</f>
        <v/>
      </c>
      <c r="D18" s="19" t="n">
        <v>344</v>
      </c>
      <c r="E18" s="18" t="n">
        <v>40.55253418</v>
      </c>
      <c r="F18" s="20" t="n">
        <v>3.13412259</v>
      </c>
      <c r="G18" s="18" t="n">
        <v>54.28519946</v>
      </c>
      <c r="H18" s="20" t="n">
        <v>3.46270821</v>
      </c>
      <c r="I18" s="18" t="s">
        <v>431</v>
      </c>
      <c r="J18" s="20" t="s">
        <v>431</v>
      </c>
      <c r="K18" s="18" t="n">
        <v>0.14693927</v>
      </c>
      <c r="L18" s="20" t="n">
        <v>0.14770791</v>
      </c>
      <c r="M18" s="18" t="n">
        <v>0</v>
      </c>
      <c r="N18" s="20" t="n">
        <v>0</v>
      </c>
      <c r="O18" s="18" t="n">
        <v>0</v>
      </c>
      <c r="P18" s="20" t="n">
        <v>0</v>
      </c>
      <c r="Q18" s="18" t="n">
        <v>5.01532709</v>
      </c>
      <c r="R18" s="20" t="n">
        <v>1.41600591</v>
      </c>
    </row>
    <row r="19" spans="1:18">
      <c r="A19" s="15" t="s">
        <v>443</v>
      </c>
      <c r="B19" s="17" t="n">
        <v>2808</v>
      </c>
      <c r="C19" s="18">
        <f>(2459.0/B19*100)</f>
        <v/>
      </c>
      <c r="D19" s="19" t="n">
        <v>349</v>
      </c>
      <c r="E19" s="18" t="n">
        <v>30.71608479</v>
      </c>
      <c r="F19" s="20" t="n">
        <v>2.36725222</v>
      </c>
      <c r="G19" s="18" t="n">
        <v>66.00278117000001</v>
      </c>
      <c r="H19" s="20" t="n">
        <v>2.23393539</v>
      </c>
      <c r="I19" s="18" t="s">
        <v>431</v>
      </c>
      <c r="J19" s="20" t="s">
        <v>431</v>
      </c>
      <c r="K19" s="18" t="n">
        <v>0</v>
      </c>
      <c r="L19" s="20" t="n">
        <v>0</v>
      </c>
      <c r="M19" s="18" t="n">
        <v>0</v>
      </c>
      <c r="N19" s="20" t="n">
        <v>0</v>
      </c>
      <c r="O19" s="18" t="n">
        <v>0</v>
      </c>
      <c r="P19" s="20" t="n">
        <v>0</v>
      </c>
      <c r="Q19" s="18" t="n">
        <v>3.28113403</v>
      </c>
      <c r="R19" s="20" t="n">
        <v>1.1830317</v>
      </c>
    </row>
    <row r="20" spans="1:18">
      <c r="A20" s="15" t="s">
        <v>444</v>
      </c>
      <c r="B20" s="17" t="n">
        <v>1630</v>
      </c>
      <c r="C20" s="18">
        <f>(1436.0/B20*100)</f>
        <v/>
      </c>
      <c r="D20" s="19" t="n">
        <v>194</v>
      </c>
      <c r="E20" s="18" t="n">
        <v>30.70055521</v>
      </c>
      <c r="F20" s="20" t="n">
        <v>3.72127635</v>
      </c>
      <c r="G20" s="18" t="n">
        <v>65.42769507</v>
      </c>
      <c r="H20" s="20" t="n">
        <v>4.01907689</v>
      </c>
      <c r="I20" s="18" t="s">
        <v>431</v>
      </c>
      <c r="J20" s="20" t="s">
        <v>431</v>
      </c>
      <c r="K20" s="18" t="n">
        <v>0.58741228</v>
      </c>
      <c r="L20" s="20" t="n">
        <v>0.59515194</v>
      </c>
      <c r="M20" s="18" t="n">
        <v>0.79712779</v>
      </c>
      <c r="N20" s="20" t="n">
        <v>0.56578231</v>
      </c>
      <c r="O20" s="18" t="n">
        <v>0</v>
      </c>
      <c r="P20" s="20" t="n">
        <v>0</v>
      </c>
      <c r="Q20" s="18" t="n">
        <v>2.48720965</v>
      </c>
      <c r="R20" s="20" t="n">
        <v>1.28466394</v>
      </c>
    </row>
    <row r="21" spans="1:18">
      <c r="A21" s="15" t="s">
        <v>445</v>
      </c>
      <c r="B21" s="17" t="n">
        <v>2908</v>
      </c>
      <c r="C21" s="18">
        <f>(2420.0/B21*100)</f>
        <v/>
      </c>
      <c r="D21" s="19" t="n">
        <v>488</v>
      </c>
      <c r="E21" s="18" t="n">
        <v>25.03880205</v>
      </c>
      <c r="F21" s="20" t="n">
        <v>2.06456242</v>
      </c>
      <c r="G21" s="18" t="n">
        <v>73.78989847</v>
      </c>
      <c r="H21" s="20" t="n">
        <v>2.22098459</v>
      </c>
      <c r="I21" s="18" t="s">
        <v>431</v>
      </c>
      <c r="J21" s="20" t="s">
        <v>431</v>
      </c>
      <c r="K21" s="18" t="n">
        <v>0</v>
      </c>
      <c r="L21" s="20" t="n">
        <v>0</v>
      </c>
      <c r="M21" s="18" t="n">
        <v>0</v>
      </c>
      <c r="N21" s="20" t="n">
        <v>0</v>
      </c>
      <c r="O21" s="18" t="n">
        <v>0</v>
      </c>
      <c r="P21" s="20" t="n">
        <v>0</v>
      </c>
      <c r="Q21" s="18" t="n">
        <v>1.17129948</v>
      </c>
      <c r="R21" s="20" t="n">
        <v>0.46505368</v>
      </c>
    </row>
    <row r="22" spans="1:18">
      <c r="A22" s="15" t="s">
        <v>446</v>
      </c>
      <c r="B22" s="17" t="n">
        <v>2931</v>
      </c>
      <c r="C22" s="18">
        <f>(2565.0/B22*100)</f>
        <v/>
      </c>
      <c r="D22" s="19" t="n">
        <v>366</v>
      </c>
      <c r="E22" s="18" t="n">
        <v>39.6489507</v>
      </c>
      <c r="F22" s="20" t="n">
        <v>2.92446179</v>
      </c>
      <c r="G22" s="18" t="n">
        <v>55.93471751</v>
      </c>
      <c r="H22" s="20" t="n">
        <v>2.76996497</v>
      </c>
      <c r="I22" s="18" t="s">
        <v>431</v>
      </c>
      <c r="J22" s="20" t="s">
        <v>431</v>
      </c>
      <c r="K22" s="18" t="n">
        <v>1.19204924</v>
      </c>
      <c r="L22" s="20" t="n">
        <v>0.56952296</v>
      </c>
      <c r="M22" s="18" t="n">
        <v>0</v>
      </c>
      <c r="N22" s="20" t="n">
        <v>0</v>
      </c>
      <c r="O22" s="18" t="n">
        <v>0</v>
      </c>
      <c r="P22" s="20" t="n">
        <v>0</v>
      </c>
      <c r="Q22" s="18" t="n">
        <v>3.22428254</v>
      </c>
      <c r="R22" s="20" t="n">
        <v>0.85186266</v>
      </c>
    </row>
    <row r="23" spans="1:18">
      <c r="A23" s="15" t="s">
        <v>447</v>
      </c>
      <c r="B23" s="17" t="n">
        <v>5791</v>
      </c>
      <c r="C23" s="18">
        <f>(5035.0/B23*100)</f>
        <v/>
      </c>
      <c r="D23" s="19" t="n">
        <v>756</v>
      </c>
      <c r="E23" s="18" t="n">
        <v>33.54108877</v>
      </c>
      <c r="F23" s="20" t="n">
        <v>2.40370894</v>
      </c>
      <c r="G23" s="18" t="n">
        <v>60.49415951</v>
      </c>
      <c r="H23" s="20" t="n">
        <v>2.43014029</v>
      </c>
      <c r="I23" s="18" t="s">
        <v>431</v>
      </c>
      <c r="J23" s="20" t="s">
        <v>431</v>
      </c>
      <c r="K23" s="18" t="n">
        <v>0.07501594</v>
      </c>
      <c r="L23" s="20" t="n">
        <v>0.07693891999999999</v>
      </c>
      <c r="M23" s="18" t="n">
        <v>0.63279813</v>
      </c>
      <c r="N23" s="20" t="n">
        <v>0.37338989</v>
      </c>
      <c r="O23" s="18" t="n">
        <v>0</v>
      </c>
      <c r="P23" s="20" t="n">
        <v>0</v>
      </c>
      <c r="Q23" s="18" t="n">
        <v>5.25693764</v>
      </c>
      <c r="R23" s="20" t="n">
        <v>1.42507644</v>
      </c>
    </row>
    <row r="24" spans="1:18">
      <c r="A24" s="15" t="s">
        <v>448</v>
      </c>
      <c r="B24" s="17" t="n">
        <v>3338</v>
      </c>
      <c r="C24" s="18">
        <f>(2944.0/B24*100)</f>
        <v/>
      </c>
      <c r="D24" s="19" t="n">
        <v>394</v>
      </c>
      <c r="E24" s="18" t="n">
        <v>9.97987994</v>
      </c>
      <c r="F24" s="20" t="n">
        <v>1.78036518</v>
      </c>
      <c r="G24" s="18" t="n">
        <v>86.40768872</v>
      </c>
      <c r="H24" s="20" t="n">
        <v>2.10994335</v>
      </c>
      <c r="I24" s="18" t="s">
        <v>431</v>
      </c>
      <c r="J24" s="20" t="s">
        <v>431</v>
      </c>
      <c r="K24" s="18" t="n">
        <v>0.23877843</v>
      </c>
      <c r="L24" s="20" t="n">
        <v>0.23906419</v>
      </c>
      <c r="M24" s="18" t="n">
        <v>0</v>
      </c>
      <c r="N24" s="20" t="n">
        <v>0</v>
      </c>
      <c r="O24" s="18" t="n">
        <v>0</v>
      </c>
      <c r="P24" s="20" t="n">
        <v>0</v>
      </c>
      <c r="Q24" s="18" t="n">
        <v>3.37365291</v>
      </c>
      <c r="R24" s="20" t="n">
        <v>0.92790759</v>
      </c>
    </row>
    <row r="25" spans="1:18">
      <c r="A25" s="15" t="s">
        <v>449</v>
      </c>
      <c r="B25" s="17" t="n">
        <v>2912</v>
      </c>
      <c r="C25" s="18">
        <f>(2561.0/B25*100)</f>
        <v/>
      </c>
      <c r="D25" s="19" t="n">
        <v>351</v>
      </c>
      <c r="E25" s="18" t="n">
        <v>15.90411917</v>
      </c>
      <c r="F25" s="20" t="n">
        <v>2.12774592</v>
      </c>
      <c r="G25" s="18" t="n">
        <v>80.5395453</v>
      </c>
      <c r="H25" s="20" t="n">
        <v>2.4324528</v>
      </c>
      <c r="I25" s="18" t="s">
        <v>431</v>
      </c>
      <c r="J25" s="20" t="s">
        <v>431</v>
      </c>
      <c r="K25" s="18" t="n">
        <v>0.86251441</v>
      </c>
      <c r="L25" s="20" t="n">
        <v>0.50074527</v>
      </c>
      <c r="M25" s="18" t="n">
        <v>0</v>
      </c>
      <c r="N25" s="20" t="n">
        <v>0</v>
      </c>
      <c r="O25" s="18" t="n">
        <v>0</v>
      </c>
      <c r="P25" s="20" t="n">
        <v>0</v>
      </c>
      <c r="Q25" s="18" t="n">
        <v>2.69382111</v>
      </c>
      <c r="R25" s="20" t="n">
        <v>0.9955494</v>
      </c>
    </row>
    <row r="26" spans="1:18">
      <c r="A26" s="15" t="s">
        <v>450</v>
      </c>
      <c r="B26" s="17" t="n">
        <v>2450</v>
      </c>
      <c r="C26" s="18">
        <f>(2148.0/B26*100)</f>
        <v/>
      </c>
      <c r="D26" s="19" t="n">
        <v>302</v>
      </c>
      <c r="E26" s="18" t="n">
        <v>21.02519038</v>
      </c>
      <c r="F26" s="20" t="n">
        <v>2.09478652</v>
      </c>
      <c r="G26" s="18" t="n">
        <v>78.11772645000001</v>
      </c>
      <c r="H26" s="20" t="n">
        <v>2.06885355</v>
      </c>
      <c r="I26" s="18" t="s">
        <v>431</v>
      </c>
      <c r="J26" s="20" t="s">
        <v>431</v>
      </c>
      <c r="K26" s="18" t="n">
        <v>0</v>
      </c>
      <c r="L26" s="20" t="n">
        <v>0</v>
      </c>
      <c r="M26" s="18" t="n">
        <v>0.23222581</v>
      </c>
      <c r="N26" s="20" t="n">
        <v>0.23302492</v>
      </c>
      <c r="O26" s="18" t="n">
        <v>0</v>
      </c>
      <c r="P26" s="20" t="n">
        <v>0</v>
      </c>
      <c r="Q26" s="18" t="n">
        <v>0.62485737</v>
      </c>
      <c r="R26" s="20" t="n">
        <v>0.45547007</v>
      </c>
    </row>
    <row r="27" spans="1:18">
      <c r="A27" s="15" t="s">
        <v>451</v>
      </c>
      <c r="B27" s="17" t="n">
        <v>2616</v>
      </c>
      <c r="C27" s="18">
        <f>(2303.0/B27*100)</f>
        <v/>
      </c>
      <c r="D27" s="19" t="n">
        <v>313</v>
      </c>
      <c r="E27" s="18" t="n">
        <v>33.65719201</v>
      </c>
      <c r="F27" s="20" t="n">
        <v>2.43305107</v>
      </c>
      <c r="G27" s="18" t="n">
        <v>61.71902426</v>
      </c>
      <c r="H27" s="20" t="n">
        <v>2.5326655</v>
      </c>
      <c r="I27" s="18" t="s">
        <v>431</v>
      </c>
      <c r="J27" s="20" t="s">
        <v>431</v>
      </c>
      <c r="K27" s="18" t="n">
        <v>0.32885545</v>
      </c>
      <c r="L27" s="20" t="n">
        <v>0.32987708</v>
      </c>
      <c r="M27" s="18" t="n">
        <v>0</v>
      </c>
      <c r="N27" s="20" t="n">
        <v>0</v>
      </c>
      <c r="O27" s="18" t="n">
        <v>0</v>
      </c>
      <c r="P27" s="20" t="n">
        <v>0</v>
      </c>
      <c r="Q27" s="18" t="n">
        <v>4.29492828</v>
      </c>
      <c r="R27" s="20" t="n">
        <v>1.13288676</v>
      </c>
    </row>
    <row r="28" spans="1:18">
      <c r="A28" s="15" t="s">
        <v>452</v>
      </c>
      <c r="B28" s="17" t="n">
        <v>3765</v>
      </c>
      <c r="C28" s="18">
        <f>(3338.0/B28*100)</f>
        <v/>
      </c>
      <c r="D28" s="19" t="n">
        <v>427</v>
      </c>
      <c r="E28" s="18" t="n">
        <v>40.90525094</v>
      </c>
      <c r="F28" s="20" t="n">
        <v>2.86613429</v>
      </c>
      <c r="G28" s="18" t="n">
        <v>55.83056573</v>
      </c>
      <c r="H28" s="20" t="n">
        <v>2.75816964</v>
      </c>
      <c r="I28" s="18" t="s">
        <v>431</v>
      </c>
      <c r="J28" s="20" t="s">
        <v>431</v>
      </c>
      <c r="K28" s="18" t="n">
        <v>0.90220109</v>
      </c>
      <c r="L28" s="20" t="n">
        <v>0.55080286</v>
      </c>
      <c r="M28" s="18" t="n">
        <v>0</v>
      </c>
      <c r="N28" s="20" t="n">
        <v>0</v>
      </c>
      <c r="O28" s="18" t="n">
        <v>0</v>
      </c>
      <c r="P28" s="20" t="n">
        <v>0</v>
      </c>
      <c r="Q28" s="18" t="n">
        <v>2.36198224</v>
      </c>
      <c r="R28" s="20" t="n">
        <v>0.8477792</v>
      </c>
    </row>
    <row r="29" spans="1:18">
      <c r="A29" s="15" t="s">
        <v>453</v>
      </c>
      <c r="B29" s="17" t="n">
        <v>2685</v>
      </c>
      <c r="C29" s="18">
        <f>(2363.0/B29*100)</f>
        <v/>
      </c>
      <c r="D29" s="19" t="n">
        <v>322</v>
      </c>
      <c r="E29" s="18" t="n">
        <v>18.11564535</v>
      </c>
      <c r="F29" s="20" t="n">
        <v>2.16507095</v>
      </c>
      <c r="G29" s="18" t="n">
        <v>80.92580526</v>
      </c>
      <c r="H29" s="20" t="n">
        <v>2.281306</v>
      </c>
      <c r="I29" s="18" t="s">
        <v>431</v>
      </c>
      <c r="J29" s="20" t="s">
        <v>431</v>
      </c>
      <c r="K29" s="18" t="n">
        <v>0.39799614</v>
      </c>
      <c r="L29" s="20" t="n">
        <v>0.39391798</v>
      </c>
      <c r="M29" s="18" t="n">
        <v>0</v>
      </c>
      <c r="N29" s="20" t="n">
        <v>0</v>
      </c>
      <c r="O29" s="18" t="n">
        <v>0</v>
      </c>
      <c r="P29" s="20" t="n">
        <v>0</v>
      </c>
      <c r="Q29" s="18" t="n">
        <v>0.56055325</v>
      </c>
      <c r="R29" s="20" t="n">
        <v>0.40992411</v>
      </c>
    </row>
    <row r="30" spans="1:18">
      <c r="A30" s="15" t="s">
        <v>454</v>
      </c>
      <c r="B30" s="17" t="n">
        <v>2263</v>
      </c>
      <c r="C30" s="18">
        <f>(1996.0/B30*100)</f>
        <v/>
      </c>
      <c r="D30" s="19" t="n">
        <v>267</v>
      </c>
      <c r="E30" s="18" t="n">
        <v>19.7738464</v>
      </c>
      <c r="F30" s="20" t="n">
        <v>2.41016412</v>
      </c>
      <c r="G30" s="18" t="n">
        <v>77.28458345999999</v>
      </c>
      <c r="H30" s="20" t="n">
        <v>2.34680801</v>
      </c>
      <c r="I30" s="18" t="s">
        <v>431</v>
      </c>
      <c r="J30" s="20" t="s">
        <v>431</v>
      </c>
      <c r="K30" s="18" t="n">
        <v>0.33842753</v>
      </c>
      <c r="L30" s="20" t="n">
        <v>0.35071664</v>
      </c>
      <c r="M30" s="18" t="n">
        <v>0</v>
      </c>
      <c r="N30" s="20" t="n">
        <v>0</v>
      </c>
      <c r="O30" s="18" t="n">
        <v>0</v>
      </c>
      <c r="P30" s="20" t="n">
        <v>0</v>
      </c>
      <c r="Q30" s="18" t="n">
        <v>2.60314261</v>
      </c>
      <c r="R30" s="20" t="n">
        <v>1.09054048</v>
      </c>
    </row>
    <row r="31" spans="1:18">
      <c r="A31" s="15" t="s">
        <v>455</v>
      </c>
      <c r="B31" s="17" t="n">
        <v>2750</v>
      </c>
      <c r="C31" s="18">
        <f>(2429.0/B31*100)</f>
        <v/>
      </c>
      <c r="D31" s="19" t="n">
        <v>321</v>
      </c>
      <c r="E31" s="18" t="n">
        <v>21.19332762</v>
      </c>
      <c r="F31" s="20" t="n">
        <v>2.44295394</v>
      </c>
      <c r="G31" s="18" t="n">
        <v>76.06260217000001</v>
      </c>
      <c r="H31" s="20" t="n">
        <v>2.38237351</v>
      </c>
      <c r="I31" s="18" t="s">
        <v>431</v>
      </c>
      <c r="J31" s="20" t="s">
        <v>431</v>
      </c>
      <c r="K31" s="18" t="n">
        <v>0.30287108</v>
      </c>
      <c r="L31" s="20" t="n">
        <v>0.31774754</v>
      </c>
      <c r="M31" s="18" t="n">
        <v>0</v>
      </c>
      <c r="N31" s="20" t="n">
        <v>0</v>
      </c>
      <c r="O31" s="18" t="n">
        <v>0</v>
      </c>
      <c r="P31" s="20" t="n">
        <v>0</v>
      </c>
      <c r="Q31" s="18" t="n">
        <v>2.44119913</v>
      </c>
      <c r="R31" s="20" t="n">
        <v>0.99425366</v>
      </c>
    </row>
    <row r="32" spans="1:18">
      <c r="A32" s="15" t="s">
        <v>456</v>
      </c>
      <c r="B32" s="17" t="n">
        <v>2269</v>
      </c>
      <c r="C32" s="18">
        <f>(1895.0/B32*100)</f>
        <v/>
      </c>
      <c r="D32" s="19" t="n">
        <v>374</v>
      </c>
      <c r="E32" s="18" t="n">
        <v>25.52618453</v>
      </c>
      <c r="F32" s="20" t="n">
        <v>2.63003041</v>
      </c>
      <c r="G32" s="18" t="n">
        <v>70.71876899999999</v>
      </c>
      <c r="H32" s="20" t="n">
        <v>2.704309</v>
      </c>
      <c r="I32" s="18" t="s">
        <v>431</v>
      </c>
      <c r="J32" s="20" t="s">
        <v>431</v>
      </c>
      <c r="K32" s="18" t="n">
        <v>0.25671725</v>
      </c>
      <c r="L32" s="20" t="n">
        <v>0.24219836</v>
      </c>
      <c r="M32" s="18" t="n">
        <v>0.25011242</v>
      </c>
      <c r="N32" s="20" t="n">
        <v>0.24979579</v>
      </c>
      <c r="O32" s="18" t="n">
        <v>0</v>
      </c>
      <c r="P32" s="20" t="n">
        <v>0</v>
      </c>
      <c r="Q32" s="18" t="n">
        <v>3.2482168</v>
      </c>
      <c r="R32" s="20" t="n">
        <v>0.95218307</v>
      </c>
    </row>
    <row r="33" spans="1:18">
      <c r="A33" s="15" t="s">
        <v>457</v>
      </c>
      <c r="B33" s="17" t="n">
        <v>3674</v>
      </c>
      <c r="C33" s="18">
        <f>(3230.0/B33*100)</f>
        <v/>
      </c>
      <c r="D33" s="19" t="n">
        <v>444</v>
      </c>
      <c r="E33" s="18" t="n">
        <v>27.22836377</v>
      </c>
      <c r="F33" s="20" t="n">
        <v>2.28157837</v>
      </c>
      <c r="G33" s="18" t="n">
        <v>70.67694882000001</v>
      </c>
      <c r="H33" s="20" t="n">
        <v>2.36819181</v>
      </c>
      <c r="I33" s="18" t="s">
        <v>431</v>
      </c>
      <c r="J33" s="20" t="s">
        <v>431</v>
      </c>
      <c r="K33" s="18" t="n">
        <v>0.36877233</v>
      </c>
      <c r="L33" s="20" t="n">
        <v>0.25844826</v>
      </c>
      <c r="M33" s="18" t="n">
        <v>0</v>
      </c>
      <c r="N33" s="20" t="n">
        <v>0</v>
      </c>
      <c r="O33" s="18" t="n">
        <v>0</v>
      </c>
      <c r="P33" s="20" t="n">
        <v>0</v>
      </c>
      <c r="Q33" s="18" t="n">
        <v>1.72591508</v>
      </c>
      <c r="R33" s="20" t="n">
        <v>0.66103319</v>
      </c>
    </row>
    <row r="34" spans="1:18">
      <c r="A34" s="15" t="s">
        <v>458</v>
      </c>
      <c r="B34" s="17" t="n">
        <v>3315</v>
      </c>
      <c r="C34" s="18">
        <f>(2919.0/B34*100)</f>
        <v/>
      </c>
      <c r="D34" s="19" t="n">
        <v>396</v>
      </c>
      <c r="E34" s="18" t="n">
        <v>39.6065933</v>
      </c>
      <c r="F34" s="20" t="n">
        <v>2.80366445</v>
      </c>
      <c r="G34" s="18" t="n">
        <v>56.54482434</v>
      </c>
      <c r="H34" s="20" t="n">
        <v>2.7950601</v>
      </c>
      <c r="I34" s="18" t="s">
        <v>431</v>
      </c>
      <c r="J34" s="20" t="s">
        <v>431</v>
      </c>
      <c r="K34" s="18" t="n">
        <v>0</v>
      </c>
      <c r="L34" s="20" t="n">
        <v>0</v>
      </c>
      <c r="M34" s="18" t="n">
        <v>0.22767955</v>
      </c>
      <c r="N34" s="20" t="n">
        <v>0.22894972</v>
      </c>
      <c r="O34" s="18" t="n">
        <v>0</v>
      </c>
      <c r="P34" s="20" t="n">
        <v>0</v>
      </c>
      <c r="Q34" s="18" t="n">
        <v>3.62090281</v>
      </c>
      <c r="R34" s="20" t="n">
        <v>0.84671137</v>
      </c>
    </row>
    <row r="35" spans="1:18">
      <c r="A35" s="15" t="s">
        <v>459</v>
      </c>
      <c r="B35" s="17" t="n">
        <v>3505</v>
      </c>
      <c r="C35" s="18">
        <f>(3082.0/B35*100)</f>
        <v/>
      </c>
      <c r="D35" s="19" t="n">
        <v>423</v>
      </c>
      <c r="E35" s="18" t="n">
        <v>41.37134191</v>
      </c>
      <c r="F35" s="20" t="n">
        <v>2.90446692</v>
      </c>
      <c r="G35" s="18" t="n">
        <v>53.96320968</v>
      </c>
      <c r="H35" s="20" t="n">
        <v>3.31198931</v>
      </c>
      <c r="I35" s="18" t="s">
        <v>431</v>
      </c>
      <c r="J35" s="20" t="s">
        <v>431</v>
      </c>
      <c r="K35" s="18" t="n">
        <v>0</v>
      </c>
      <c r="L35" s="20" t="n">
        <v>0</v>
      </c>
      <c r="M35" s="18" t="n">
        <v>0.44501133</v>
      </c>
      <c r="N35" s="20" t="n">
        <v>0.4466762</v>
      </c>
      <c r="O35" s="18" t="n">
        <v>0</v>
      </c>
      <c r="P35" s="20" t="n">
        <v>0</v>
      </c>
      <c r="Q35" s="18" t="n">
        <v>4.22043708</v>
      </c>
      <c r="R35" s="20" t="n">
        <v>1.54674233</v>
      </c>
    </row>
    <row r="36" spans="1:18">
      <c r="A36" s="15" t="s">
        <v>460</v>
      </c>
      <c r="B36" s="17" t="n">
        <v>3332</v>
      </c>
      <c r="C36" s="18">
        <f>(2928.0/B36*100)</f>
        <v/>
      </c>
      <c r="D36" s="19" t="n">
        <v>404</v>
      </c>
      <c r="E36" s="18" t="n">
        <v>36.36926086</v>
      </c>
      <c r="F36" s="20" t="n">
        <v>2.69006518</v>
      </c>
      <c r="G36" s="18" t="n">
        <v>60.96622714</v>
      </c>
      <c r="H36" s="20" t="n">
        <v>2.79605286</v>
      </c>
      <c r="I36" s="18" t="s">
        <v>431</v>
      </c>
      <c r="J36" s="20" t="s">
        <v>431</v>
      </c>
      <c r="K36" s="18" t="n">
        <v>0.18826605</v>
      </c>
      <c r="L36" s="20" t="n">
        <v>0.18367542</v>
      </c>
      <c r="M36" s="18" t="n">
        <v>0</v>
      </c>
      <c r="N36" s="20" t="n">
        <v>0</v>
      </c>
      <c r="O36" s="18" t="n">
        <v>0</v>
      </c>
      <c r="P36" s="20" t="n">
        <v>0</v>
      </c>
      <c r="Q36" s="18" t="n">
        <v>2.47624595</v>
      </c>
      <c r="R36" s="20" t="n">
        <v>0.90853849</v>
      </c>
    </row>
    <row r="37" spans="1:18">
      <c r="A37" s="15" t="s">
        <v>461</v>
      </c>
      <c r="B37" s="17" t="n">
        <v>2727</v>
      </c>
      <c r="C37" s="18">
        <f>(2396.0/B37*100)</f>
        <v/>
      </c>
      <c r="D37" s="19" t="n">
        <v>331</v>
      </c>
      <c r="E37" s="18" t="n">
        <v>27.97468801</v>
      </c>
      <c r="F37" s="20" t="n">
        <v>2.62171488</v>
      </c>
      <c r="G37" s="18" t="n">
        <v>66.44981679999999</v>
      </c>
      <c r="H37" s="20" t="n">
        <v>2.76811214</v>
      </c>
      <c r="I37" s="18" t="s">
        <v>431</v>
      </c>
      <c r="J37" s="20" t="s">
        <v>431</v>
      </c>
      <c r="K37" s="18" t="n">
        <v>0.58678427</v>
      </c>
      <c r="L37" s="20" t="n">
        <v>0.49440729</v>
      </c>
      <c r="M37" s="18" t="n">
        <v>0</v>
      </c>
      <c r="N37" s="20" t="n">
        <v>0</v>
      </c>
      <c r="O37" s="18" t="n">
        <v>0</v>
      </c>
      <c r="P37" s="20" t="n">
        <v>0</v>
      </c>
      <c r="Q37" s="18" t="n">
        <v>4.98871093</v>
      </c>
      <c r="R37" s="20" t="n">
        <v>1.16700218</v>
      </c>
    </row>
    <row r="38" spans="1:18">
      <c r="A38" s="15" t="s">
        <v>462</v>
      </c>
      <c r="B38" s="17" t="n">
        <v>3053</v>
      </c>
      <c r="C38" s="18">
        <f>(2546.0/B38*100)</f>
        <v/>
      </c>
      <c r="D38" s="19" t="n">
        <v>507</v>
      </c>
      <c r="E38" s="18" t="n">
        <v>30.84219958</v>
      </c>
      <c r="F38" s="20" t="n">
        <v>2.06840073</v>
      </c>
      <c r="G38" s="18" t="n">
        <v>63.44083086</v>
      </c>
      <c r="H38" s="20" t="n">
        <v>2.07893561</v>
      </c>
      <c r="I38" s="18" t="s">
        <v>431</v>
      </c>
      <c r="J38" s="20" t="s">
        <v>431</v>
      </c>
      <c r="K38" s="18" t="n">
        <v>0.44784888</v>
      </c>
      <c r="L38" s="20" t="n">
        <v>0.33432731</v>
      </c>
      <c r="M38" s="18" t="n">
        <v>0</v>
      </c>
      <c r="N38" s="20" t="n">
        <v>0</v>
      </c>
      <c r="O38" s="18" t="n">
        <v>0</v>
      </c>
      <c r="P38" s="20" t="n">
        <v>0</v>
      </c>
      <c r="Q38" s="18" t="n">
        <v>5.26912068</v>
      </c>
      <c r="R38" s="20" t="n">
        <v>1.27096527</v>
      </c>
    </row>
    <row r="39" spans="1:18">
      <c r="A39" s="15" t="s">
        <v>463</v>
      </c>
      <c r="B39" s="17" t="n">
        <v>2957</v>
      </c>
      <c r="C39" s="18">
        <f>(2593.0/B39*100)</f>
        <v/>
      </c>
      <c r="D39" s="19" t="n">
        <v>364</v>
      </c>
      <c r="E39" s="18" t="n">
        <v>52.72104292</v>
      </c>
      <c r="F39" s="20" t="n">
        <v>2.66051052</v>
      </c>
      <c r="G39" s="18" t="n">
        <v>42.25268189</v>
      </c>
      <c r="H39" s="20" t="n">
        <v>2.53813211</v>
      </c>
      <c r="I39" s="18" t="s">
        <v>431</v>
      </c>
      <c r="J39" s="20" t="s">
        <v>431</v>
      </c>
      <c r="K39" s="18" t="n">
        <v>0.53520276</v>
      </c>
      <c r="L39" s="20" t="n">
        <v>0.43247808</v>
      </c>
      <c r="M39" s="18" t="n">
        <v>0.12337222</v>
      </c>
      <c r="N39" s="20" t="n">
        <v>0.08820533999999999</v>
      </c>
      <c r="O39" s="18" t="n">
        <v>0</v>
      </c>
      <c r="P39" s="20" t="n">
        <v>0</v>
      </c>
      <c r="Q39" s="18" t="n">
        <v>4.36770021</v>
      </c>
      <c r="R39" s="20" t="n">
        <v>1.47917864</v>
      </c>
    </row>
    <row r="40" spans="1:18">
      <c r="A40" s="15" t="s">
        <v>464</v>
      </c>
      <c r="B40" s="17" t="n">
        <v>7235</v>
      </c>
      <c r="C40" s="18">
        <f>(6342.0/B40*100)</f>
        <v/>
      </c>
      <c r="D40" s="19" t="n">
        <v>893</v>
      </c>
      <c r="E40" s="18" t="n">
        <v>23.68732907</v>
      </c>
      <c r="F40" s="20" t="n">
        <v>2.19659083</v>
      </c>
      <c r="G40" s="18" t="n">
        <v>72.2545288</v>
      </c>
      <c r="H40" s="20" t="n">
        <v>2.42122989</v>
      </c>
      <c r="I40" s="18" t="s">
        <v>431</v>
      </c>
      <c r="J40" s="20" t="s">
        <v>431</v>
      </c>
      <c r="K40" s="18" t="n">
        <v>0.57296289</v>
      </c>
      <c r="L40" s="20" t="n">
        <v>0.34050476</v>
      </c>
      <c r="M40" s="18" t="n">
        <v>0.55633016</v>
      </c>
      <c r="N40" s="20" t="n">
        <v>0.43707217</v>
      </c>
      <c r="O40" s="18" t="n">
        <v>0</v>
      </c>
      <c r="P40" s="20" t="n">
        <v>0</v>
      </c>
      <c r="Q40" s="18" t="n">
        <v>2.92884908</v>
      </c>
      <c r="R40" s="20" t="n">
        <v>0.80388267</v>
      </c>
    </row>
    <row r="41" spans="1:18">
      <c r="A41" s="15" t="s">
        <v>465</v>
      </c>
      <c r="B41" s="17" t="n">
        <v>2858</v>
      </c>
      <c r="C41" s="18">
        <f>(2494.0/B41*100)</f>
        <v/>
      </c>
      <c r="D41" s="19" t="n">
        <v>364</v>
      </c>
      <c r="E41" s="18" t="n">
        <v>20.8990859</v>
      </c>
      <c r="F41" s="20" t="n">
        <v>2.1565208</v>
      </c>
      <c r="G41" s="18" t="n">
        <v>77.6033611</v>
      </c>
      <c r="H41" s="20" t="n">
        <v>2.3472105</v>
      </c>
      <c r="I41" s="18" t="s">
        <v>431</v>
      </c>
      <c r="J41" s="20" t="s">
        <v>431</v>
      </c>
      <c r="K41" s="18" t="n">
        <v>0</v>
      </c>
      <c r="L41" s="20" t="n">
        <v>0</v>
      </c>
      <c r="M41" s="18" t="n">
        <v>0</v>
      </c>
      <c r="N41" s="20" t="n">
        <v>0</v>
      </c>
      <c r="O41" s="18" t="n">
        <v>0</v>
      </c>
      <c r="P41" s="20" t="n">
        <v>0</v>
      </c>
      <c r="Q41" s="18" t="n">
        <v>1.497553</v>
      </c>
      <c r="R41" s="20" t="n">
        <v>0.5792112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(9913.0/B46*100)</f>
        <v/>
      </c>
      <c r="D46" s="19" t="n">
        <v>1155</v>
      </c>
      <c r="E46" s="18" t="n">
        <v>47.97534687</v>
      </c>
      <c r="F46" s="20" t="n">
        <v>2.15231484</v>
      </c>
      <c r="G46" s="18" t="n">
        <v>44.64413634</v>
      </c>
      <c r="H46" s="20" t="n">
        <v>2.19837421</v>
      </c>
      <c r="I46" s="18" t="s">
        <v>431</v>
      </c>
      <c r="J46" s="20" t="s">
        <v>431</v>
      </c>
      <c r="K46" s="18" t="n">
        <v>1.13894918</v>
      </c>
      <c r="L46" s="20" t="n">
        <v>0.30157171</v>
      </c>
      <c r="M46" s="18" t="n">
        <v>0.3111865</v>
      </c>
      <c r="N46" s="20" t="n">
        <v>0.18570718</v>
      </c>
      <c r="O46" s="18" t="n">
        <v>0</v>
      </c>
      <c r="P46" s="20" t="n">
        <v>0</v>
      </c>
      <c r="Q46" s="18" t="n">
        <v>5.93038111</v>
      </c>
      <c r="R46" s="20" t="n">
        <v>0.78429348</v>
      </c>
    </row>
    <row r="47" spans="1:18">
      <c r="A47" s="15" t="s">
        <v>471</v>
      </c>
      <c r="B47" s="17" t="n">
        <v>3105</v>
      </c>
      <c r="C47" s="18">
        <f>(2720.0/B47*100)</f>
        <v/>
      </c>
      <c r="D47" s="19" t="n">
        <v>385</v>
      </c>
      <c r="E47" s="18" t="n">
        <v>47.10189091</v>
      </c>
      <c r="F47" s="20" t="n">
        <v>2.83001141</v>
      </c>
      <c r="G47" s="18" t="n">
        <v>45.19974471</v>
      </c>
      <c r="H47" s="20" t="n">
        <v>2.77748022</v>
      </c>
      <c r="I47" s="18" t="s">
        <v>431</v>
      </c>
      <c r="J47" s="20" t="s">
        <v>431</v>
      </c>
      <c r="K47" s="18" t="n">
        <v>0</v>
      </c>
      <c r="L47" s="20" t="n">
        <v>0</v>
      </c>
      <c r="M47" s="18" t="n">
        <v>0</v>
      </c>
      <c r="N47" s="20" t="n">
        <v>0</v>
      </c>
      <c r="O47" s="18" t="n">
        <v>0</v>
      </c>
      <c r="P47" s="20" t="n">
        <v>0</v>
      </c>
      <c r="Q47" s="18" t="n">
        <v>7.69836438</v>
      </c>
      <c r="R47" s="20" t="n">
        <v>1.53223687</v>
      </c>
    </row>
    <row r="48" spans="1:18">
      <c r="A48" s="15" t="s">
        <v>472</v>
      </c>
      <c r="B48" s="17" t="n">
        <v>5159</v>
      </c>
      <c r="C48" s="18">
        <f>(4548.0/B48*100)</f>
        <v/>
      </c>
      <c r="D48" s="19" t="n">
        <v>611</v>
      </c>
      <c r="E48" s="18" t="n">
        <v>29.62672649</v>
      </c>
      <c r="F48" s="20" t="n">
        <v>2.33554778</v>
      </c>
      <c r="G48" s="18" t="n">
        <v>65.70338409999999</v>
      </c>
      <c r="H48" s="20" t="n">
        <v>2.71713344</v>
      </c>
      <c r="I48" s="18" t="s">
        <v>431</v>
      </c>
      <c r="J48" s="20" t="s">
        <v>431</v>
      </c>
      <c r="K48" s="18" t="n">
        <v>1.249566</v>
      </c>
      <c r="L48" s="20" t="n">
        <v>0.63347508</v>
      </c>
      <c r="M48" s="18" t="n">
        <v>0</v>
      </c>
      <c r="N48" s="20" t="n">
        <v>0</v>
      </c>
      <c r="O48" s="18" t="n">
        <v>0</v>
      </c>
      <c r="P48" s="20" t="n">
        <v>0</v>
      </c>
      <c r="Q48" s="18" t="n">
        <v>3.42032341</v>
      </c>
      <c r="R48" s="20" t="n">
        <v>0.9235056699999999</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(4964.0/B50*100)</f>
        <v/>
      </c>
      <c r="D50" s="19" t="n">
        <v>673</v>
      </c>
      <c r="E50" s="18" t="n">
        <v>32.76791805</v>
      </c>
      <c r="F50" s="20" t="n">
        <v>2.58435163</v>
      </c>
      <c r="G50" s="18" t="n">
        <v>63.07920685</v>
      </c>
      <c r="H50" s="20" t="n">
        <v>2.69577929</v>
      </c>
      <c r="I50" s="18" t="s">
        <v>431</v>
      </c>
      <c r="J50" s="20" t="s">
        <v>431</v>
      </c>
      <c r="K50" s="18" t="n">
        <v>2.14448701</v>
      </c>
      <c r="L50" s="20" t="n">
        <v>0.76284567</v>
      </c>
      <c r="M50" s="18" t="n">
        <v>0</v>
      </c>
      <c r="N50" s="20" t="n">
        <v>0</v>
      </c>
      <c r="O50" s="18" t="n">
        <v>0</v>
      </c>
      <c r="P50" s="20" t="n">
        <v>0</v>
      </c>
      <c r="Q50" s="18" t="n">
        <v>2.00838809</v>
      </c>
      <c r="R50" s="20" t="n">
        <v>1.3129791</v>
      </c>
    </row>
    <row r="51" spans="1:18">
      <c r="A51" s="15" t="s">
        <v>475</v>
      </c>
      <c r="B51" s="17" t="n">
        <v>3372</v>
      </c>
      <c r="C51" s="18">
        <f>(2998.0/B51*100)</f>
        <v/>
      </c>
      <c r="D51" s="19" t="n">
        <v>374</v>
      </c>
      <c r="E51" s="18" t="n">
        <v>48.1697783</v>
      </c>
      <c r="F51" s="20" t="n">
        <v>2.72855379</v>
      </c>
      <c r="G51" s="18" t="n">
        <v>48.50866205</v>
      </c>
      <c r="H51" s="20" t="n">
        <v>2.86351061</v>
      </c>
      <c r="I51" s="18" t="s">
        <v>431</v>
      </c>
      <c r="J51" s="20" t="s">
        <v>431</v>
      </c>
      <c r="K51" s="18" t="n">
        <v>1.11853723</v>
      </c>
      <c r="L51" s="20" t="n">
        <v>0.58637536</v>
      </c>
      <c r="M51" s="18" t="n">
        <v>0</v>
      </c>
      <c r="N51" s="20" t="n">
        <v>0</v>
      </c>
      <c r="O51" s="18" t="n">
        <v>0</v>
      </c>
      <c r="P51" s="20" t="n">
        <v>0</v>
      </c>
      <c r="Q51" s="18" t="n">
        <v>2.20302242</v>
      </c>
      <c r="R51" s="20" t="n">
        <v>0.64584104</v>
      </c>
    </row>
    <row r="52" spans="1:18">
      <c r="A52" s="15" t="s">
        <v>476</v>
      </c>
      <c r="B52" s="17" t="n">
        <v>2796</v>
      </c>
      <c r="C52" s="18">
        <f>(2444.0/B52*100)</f>
        <v/>
      </c>
      <c r="D52" s="19" t="n">
        <v>352</v>
      </c>
      <c r="E52" s="18" t="n">
        <v>38.05584141</v>
      </c>
      <c r="F52" s="20" t="n">
        <v>2.90019485</v>
      </c>
      <c r="G52" s="18" t="n">
        <v>58.91628202</v>
      </c>
      <c r="H52" s="20" t="n">
        <v>3.05387988</v>
      </c>
      <c r="I52" s="18" t="s">
        <v>431</v>
      </c>
      <c r="J52" s="20" t="s">
        <v>431</v>
      </c>
      <c r="K52" s="18" t="n">
        <v>0.35627225</v>
      </c>
      <c r="L52" s="20" t="n">
        <v>0.36152979</v>
      </c>
      <c r="M52" s="18" t="n">
        <v>0</v>
      </c>
      <c r="N52" s="20" t="n">
        <v>0</v>
      </c>
      <c r="O52" s="18" t="n">
        <v>0</v>
      </c>
      <c r="P52" s="20" t="n">
        <v>0</v>
      </c>
      <c r="Q52" s="18" t="n">
        <v>2.67160432</v>
      </c>
      <c r="R52" s="20" t="n">
        <v>0.89909467</v>
      </c>
    </row>
    <row r="53" spans="1:18">
      <c r="A53" s="15" t="s">
        <v>477</v>
      </c>
      <c r="B53" s="17" t="n">
        <v>2811</v>
      </c>
      <c r="C53" s="18">
        <f>(2475.0/B53*100)</f>
        <v/>
      </c>
      <c r="D53" s="19" t="n">
        <v>336</v>
      </c>
      <c r="E53" s="18" t="n">
        <v>34.70744546</v>
      </c>
      <c r="F53" s="20" t="n">
        <v>2.51316805</v>
      </c>
      <c r="G53" s="18" t="n">
        <v>55.74522648</v>
      </c>
      <c r="H53" s="20" t="n">
        <v>2.55254084</v>
      </c>
      <c r="I53" s="18" t="s">
        <v>431</v>
      </c>
      <c r="J53" s="20" t="s">
        <v>431</v>
      </c>
      <c r="K53" s="18" t="n">
        <v>0.81903302</v>
      </c>
      <c r="L53" s="20" t="n">
        <v>0.46823587</v>
      </c>
      <c r="M53" s="18" t="n">
        <v>0</v>
      </c>
      <c r="N53" s="20" t="n">
        <v>0</v>
      </c>
      <c r="O53" s="18" t="n">
        <v>0</v>
      </c>
      <c r="P53" s="20" t="n">
        <v>0</v>
      </c>
      <c r="Q53" s="18" t="n">
        <v>8.728295040000001</v>
      </c>
      <c r="R53" s="20" t="n">
        <v>1.48892633</v>
      </c>
    </row>
    <row r="54" spans="1:18">
      <c r="A54" s="15" t="s">
        <v>478</v>
      </c>
      <c r="B54" s="17" t="n">
        <v>2266</v>
      </c>
      <c r="C54" s="18">
        <f>(1905.0/B54*100)</f>
        <v/>
      </c>
      <c r="D54" s="19" t="n">
        <v>361</v>
      </c>
      <c r="E54" s="18" t="n">
        <v>51.58434498</v>
      </c>
      <c r="F54" s="20" t="n">
        <v>2.85252501</v>
      </c>
      <c r="G54" s="18" t="n">
        <v>34.32547883</v>
      </c>
      <c r="H54" s="20" t="n">
        <v>2.46950653</v>
      </c>
      <c r="I54" s="18" t="s">
        <v>431</v>
      </c>
      <c r="J54" s="20" t="s">
        <v>431</v>
      </c>
      <c r="K54" s="18" t="n">
        <v>8.51037754</v>
      </c>
      <c r="L54" s="20" t="n">
        <v>1.67780263</v>
      </c>
      <c r="M54" s="18" t="n">
        <v>0.54385823</v>
      </c>
      <c r="N54" s="20" t="n">
        <v>0.37882085</v>
      </c>
      <c r="O54" s="18" t="n">
        <v>0</v>
      </c>
      <c r="P54" s="20" t="n">
        <v>0</v>
      </c>
      <c r="Q54" s="18" t="n">
        <v>5.03594042</v>
      </c>
      <c r="R54" s="20" t="n">
        <v>1.28325725</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(2338.0/B56*100)</f>
        <v/>
      </c>
      <c r="D56" s="19" t="n">
        <v>346</v>
      </c>
      <c r="E56" s="18" t="n">
        <v>17.64823608</v>
      </c>
      <c r="F56" s="20" t="n">
        <v>2.12688659</v>
      </c>
      <c r="G56" s="18" t="n">
        <v>80.33042904</v>
      </c>
      <c r="H56" s="20" t="n">
        <v>2.31351032</v>
      </c>
      <c r="I56" s="18" t="s">
        <v>431</v>
      </c>
      <c r="J56" s="20" t="s">
        <v>431</v>
      </c>
      <c r="K56" s="18" t="n">
        <v>0.37151725</v>
      </c>
      <c r="L56" s="20" t="n">
        <v>0.31630863</v>
      </c>
      <c r="M56" s="18" t="n">
        <v>0</v>
      </c>
      <c r="N56" s="20" t="n">
        <v>0</v>
      </c>
      <c r="O56" s="18" t="n">
        <v>0</v>
      </c>
      <c r="P56" s="20" t="n">
        <v>0</v>
      </c>
      <c r="Q56" s="18" t="n">
        <v>1.64981763</v>
      </c>
      <c r="R56" s="20" t="n">
        <v>0.69133898</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(2914.0/B61*100)</f>
        <v/>
      </c>
      <c r="D61" s="19" t="n">
        <v>410</v>
      </c>
      <c r="E61" s="18" t="n">
        <v>35.24883489</v>
      </c>
      <c r="F61" s="20" t="n">
        <v>2.70806662</v>
      </c>
      <c r="G61" s="18" t="n">
        <v>60.02123104</v>
      </c>
      <c r="H61" s="20" t="n">
        <v>2.91219206</v>
      </c>
      <c r="I61" s="18" t="s">
        <v>431</v>
      </c>
      <c r="J61" s="20" t="s">
        <v>431</v>
      </c>
      <c r="K61" s="18" t="n">
        <v>0.17160414</v>
      </c>
      <c r="L61" s="20" t="n">
        <v>0.1314127</v>
      </c>
      <c r="M61" s="18" t="n">
        <v>0</v>
      </c>
      <c r="N61" s="20" t="n">
        <v>0</v>
      </c>
      <c r="O61" s="18" t="n">
        <v>0</v>
      </c>
      <c r="P61" s="20" t="n">
        <v>0</v>
      </c>
      <c r="Q61" s="18" t="n">
        <v>4.55832993</v>
      </c>
      <c r="R61" s="20" t="n">
        <v>1.12438285</v>
      </c>
    </row>
    <row r="62" spans="1:18">
      <c r="A62" s="15" t="s">
        <v>486</v>
      </c>
      <c r="B62" s="17" t="n">
        <v>2246</v>
      </c>
      <c r="C62" s="18">
        <f>(1957.0/B62*100)</f>
        <v/>
      </c>
      <c r="D62" s="19" t="n">
        <v>289</v>
      </c>
      <c r="E62" s="18" t="n">
        <v>25.65124584</v>
      </c>
      <c r="F62" s="20" t="n">
        <v>2.20952865</v>
      </c>
      <c r="G62" s="18" t="n">
        <v>73.65857995</v>
      </c>
      <c r="H62" s="20" t="n">
        <v>2.26871789</v>
      </c>
      <c r="I62" s="18" t="s">
        <v>431</v>
      </c>
      <c r="J62" s="20" t="s">
        <v>431</v>
      </c>
      <c r="K62" s="18" t="n">
        <v>0</v>
      </c>
      <c r="L62" s="20" t="n">
        <v>0</v>
      </c>
      <c r="M62" s="18" t="n">
        <v>0</v>
      </c>
      <c r="N62" s="20" t="n">
        <v>0</v>
      </c>
      <c r="O62" s="18" t="n">
        <v>0</v>
      </c>
      <c r="P62" s="20" t="n">
        <v>0</v>
      </c>
      <c r="Q62" s="18" t="n">
        <v>0.69017421</v>
      </c>
      <c r="R62" s="20" t="n">
        <v>0.48847863</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(2528.0/B66*100)</f>
        <v/>
      </c>
      <c r="D66" s="19" t="n">
        <v>366</v>
      </c>
      <c r="E66" s="18" t="n">
        <v>42.12177946</v>
      </c>
      <c r="F66" s="20" t="n">
        <v>2.53159675</v>
      </c>
      <c r="G66" s="18" t="n">
        <v>43.30453423</v>
      </c>
      <c r="H66" s="20" t="n">
        <v>2.39346702</v>
      </c>
      <c r="I66" s="18" t="s">
        <v>431</v>
      </c>
      <c r="J66" s="20" t="s">
        <v>431</v>
      </c>
      <c r="K66" s="18" t="n">
        <v>1.63553857</v>
      </c>
      <c r="L66" s="20" t="n">
        <v>0.7534691</v>
      </c>
      <c r="M66" s="18" t="n">
        <v>0.45732889</v>
      </c>
      <c r="N66" s="20" t="n">
        <v>0.45808999</v>
      </c>
      <c r="O66" s="18" t="n">
        <v>0</v>
      </c>
      <c r="P66" s="20" t="n">
        <v>0</v>
      </c>
      <c r="Q66" s="18" t="n">
        <v>12.48081885</v>
      </c>
      <c r="R66" s="20" t="n">
        <v>1.66343791</v>
      </c>
    </row>
    <row r="67" spans="1:18">
      <c r="A67" s="15" t="s">
        <v>491</v>
      </c>
      <c r="B67" s="17" t="n">
        <v>3511</v>
      </c>
      <c r="C67" s="18">
        <f>(3091.0/B67*100)</f>
        <v/>
      </c>
      <c r="D67" s="19" t="n">
        <v>420</v>
      </c>
      <c r="E67" s="18" t="n">
        <v>49.60857293</v>
      </c>
      <c r="F67" s="20" t="n">
        <v>2.83801939</v>
      </c>
      <c r="G67" s="18" t="n">
        <v>47.19565016</v>
      </c>
      <c r="H67" s="20" t="n">
        <v>2.85516652</v>
      </c>
      <c r="I67" s="18" t="s">
        <v>431</v>
      </c>
      <c r="J67" s="20" t="s">
        <v>431</v>
      </c>
      <c r="K67" s="18" t="n">
        <v>0</v>
      </c>
      <c r="L67" s="20" t="n">
        <v>0</v>
      </c>
      <c r="M67" s="18" t="n">
        <v>0.26092554</v>
      </c>
      <c r="N67" s="20" t="n">
        <v>0.26272667</v>
      </c>
      <c r="O67" s="18" t="n">
        <v>0</v>
      </c>
      <c r="P67" s="20" t="n">
        <v>0</v>
      </c>
      <c r="Q67" s="18" t="n">
        <v>2.93485137</v>
      </c>
      <c r="R67" s="20" t="n">
        <v>0.93873246</v>
      </c>
    </row>
    <row r="68" spans="1:18">
      <c r="A68" s="15" t="s">
        <v>492</v>
      </c>
      <c r="B68" s="17" t="n">
        <v>6049</v>
      </c>
      <c r="C68" s="18">
        <f>(5045.0/B68*100)</f>
        <v/>
      </c>
      <c r="D68" s="19" t="n">
        <v>1004</v>
      </c>
      <c r="E68" s="18" t="n">
        <v>49.12597471</v>
      </c>
      <c r="F68" s="20" t="n">
        <v>1.59075839</v>
      </c>
      <c r="G68" s="18" t="n">
        <v>40.28465908</v>
      </c>
      <c r="H68" s="20" t="n">
        <v>1.48585151</v>
      </c>
      <c r="I68" s="18" t="s">
        <v>431</v>
      </c>
      <c r="J68" s="20" t="s">
        <v>431</v>
      </c>
      <c r="K68" s="18" t="n">
        <v>2.67938093</v>
      </c>
      <c r="L68" s="20" t="n">
        <v>0.49617646</v>
      </c>
      <c r="M68" s="18" t="n">
        <v>0</v>
      </c>
      <c r="N68" s="20" t="n">
        <v>0</v>
      </c>
      <c r="O68" s="18" t="n">
        <v>0</v>
      </c>
      <c r="P68" s="20" t="n">
        <v>0</v>
      </c>
      <c r="Q68" s="18" t="n">
        <v>7.90998528</v>
      </c>
      <c r="R68" s="20" t="n">
        <v>0.77233666</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(2592.0/B70*100)</f>
        <v/>
      </c>
      <c r="D70" s="19" t="n">
        <v>337</v>
      </c>
      <c r="E70" s="18" t="n">
        <v>35.31370349</v>
      </c>
      <c r="F70" s="20" t="n">
        <v>3.17265728</v>
      </c>
      <c r="G70" s="18" t="n">
        <v>62.00153006</v>
      </c>
      <c r="H70" s="20" t="n">
        <v>3.44633782</v>
      </c>
      <c r="I70" s="18" t="s">
        <v>431</v>
      </c>
      <c r="J70" s="20" t="s">
        <v>431</v>
      </c>
      <c r="K70" s="18" t="n">
        <v>0.55848045</v>
      </c>
      <c r="L70" s="20" t="n">
        <v>0.33190301</v>
      </c>
      <c r="M70" s="18" t="n">
        <v>0</v>
      </c>
      <c r="N70" s="20" t="n">
        <v>0</v>
      </c>
      <c r="O70" s="18" t="n">
        <v>0</v>
      </c>
      <c r="P70" s="20" t="n">
        <v>0</v>
      </c>
      <c r="Q70" s="18" t="n">
        <v>2.126286</v>
      </c>
      <c r="R70" s="20" t="n">
        <v>0.75453583</v>
      </c>
    </row>
    <row r="71" spans="1:18">
      <c r="A71" s="15" t="s">
        <v>495</v>
      </c>
      <c r="B71" s="17" t="n">
        <v>3142</v>
      </c>
      <c r="C71" s="18">
        <f>(2758.0/B71*100)</f>
        <v/>
      </c>
      <c r="D71" s="19" t="n">
        <v>384</v>
      </c>
      <c r="E71" s="18" t="n">
        <v>14.57054481</v>
      </c>
      <c r="F71" s="20" t="n">
        <v>1.71076782</v>
      </c>
      <c r="G71" s="18" t="n">
        <v>84.09848753999999</v>
      </c>
      <c r="H71" s="20" t="n">
        <v>1.86629526</v>
      </c>
      <c r="I71" s="18" t="s">
        <v>431</v>
      </c>
      <c r="J71" s="20" t="s">
        <v>431</v>
      </c>
      <c r="K71" s="18" t="n">
        <v>0.50709201</v>
      </c>
      <c r="L71" s="20" t="n">
        <v>0.35864634</v>
      </c>
      <c r="M71" s="18" t="n">
        <v>0</v>
      </c>
      <c r="N71" s="20" t="n">
        <v>0</v>
      </c>
      <c r="O71" s="18" t="n">
        <v>0</v>
      </c>
      <c r="P71" s="20" t="n">
        <v>0</v>
      </c>
      <c r="Q71" s="18" t="n">
        <v>0.82387564</v>
      </c>
      <c r="R71" s="20" t="n">
        <v>0.47930918</v>
      </c>
    </row>
    <row r="72" spans="1:18">
      <c r="A72" s="15" t="s">
        <v>496</v>
      </c>
      <c r="B72" s="17" t="n">
        <v>3889</v>
      </c>
      <c r="C72" s="18">
        <f>(3402.0/B72*100)</f>
        <v/>
      </c>
      <c r="D72" s="19" t="n">
        <v>487</v>
      </c>
      <c r="E72" s="18" t="n">
        <v>21.05478257</v>
      </c>
      <c r="F72" s="20" t="n">
        <v>1.91848311</v>
      </c>
      <c r="G72" s="18" t="n">
        <v>76.83732372999999</v>
      </c>
      <c r="H72" s="20" t="n">
        <v>1.7498307</v>
      </c>
      <c r="I72" s="18" t="s">
        <v>431</v>
      </c>
      <c r="J72" s="20" t="s">
        <v>431</v>
      </c>
      <c r="K72" s="18" t="n">
        <v>0.16166453</v>
      </c>
      <c r="L72" s="20" t="n">
        <v>0.16163413</v>
      </c>
      <c r="M72" s="18" t="n">
        <v>0</v>
      </c>
      <c r="N72" s="20" t="n">
        <v>0</v>
      </c>
      <c r="O72" s="18" t="n">
        <v>0</v>
      </c>
      <c r="P72" s="20" t="n">
        <v>0</v>
      </c>
      <c r="Q72" s="18" t="n">
        <v>1.94622916</v>
      </c>
      <c r="R72" s="20" t="n">
        <v>0.67078278</v>
      </c>
    </row>
    <row r="73" spans="1:18">
      <c r="A73" s="15" t="s">
        <v>497</v>
      </c>
      <c r="B73" s="17" t="n">
        <v>3597</v>
      </c>
      <c r="C73" s="18">
        <f>(3185.0/B73*100)</f>
        <v/>
      </c>
      <c r="D73" s="19" t="n">
        <v>412</v>
      </c>
      <c r="E73" s="18" t="n">
        <v>40.87455596</v>
      </c>
      <c r="F73" s="20" t="n">
        <v>3.31840534</v>
      </c>
      <c r="G73" s="18" t="n">
        <v>57.41280571</v>
      </c>
      <c r="H73" s="20" t="n">
        <v>3.45552295</v>
      </c>
      <c r="I73" s="18" t="s">
        <v>431</v>
      </c>
      <c r="J73" s="20" t="s">
        <v>431</v>
      </c>
      <c r="K73" s="18" t="n">
        <v>0</v>
      </c>
      <c r="L73" s="20" t="n">
        <v>0</v>
      </c>
      <c r="M73" s="18" t="n">
        <v>0.64993382</v>
      </c>
      <c r="N73" s="20" t="n">
        <v>0.60187576</v>
      </c>
      <c r="O73" s="18" t="n">
        <v>0</v>
      </c>
      <c r="P73" s="20" t="n">
        <v>0</v>
      </c>
      <c r="Q73" s="18" t="n">
        <v>1.0627045</v>
      </c>
      <c r="R73" s="20" t="n">
        <v>0.49372244</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(2134.0/B75*100)</f>
        <v/>
      </c>
      <c r="D75" s="19" t="n">
        <v>272</v>
      </c>
      <c r="E75" s="18" t="n">
        <v>59.28017796</v>
      </c>
      <c r="F75" s="20" t="n">
        <v>3.23849364</v>
      </c>
      <c r="G75" s="18" t="n">
        <v>27.25665826</v>
      </c>
      <c r="H75" s="20" t="n">
        <v>3.02227685</v>
      </c>
      <c r="I75" s="18" t="s">
        <v>431</v>
      </c>
      <c r="J75" s="20" t="s">
        <v>431</v>
      </c>
      <c r="K75" s="18" t="n">
        <v>2.8783483</v>
      </c>
      <c r="L75" s="20" t="n">
        <v>1.26217348</v>
      </c>
      <c r="M75" s="18" t="n">
        <v>0.83066997</v>
      </c>
      <c r="N75" s="20" t="n">
        <v>0.59688096</v>
      </c>
      <c r="O75" s="18" t="n">
        <v>0</v>
      </c>
      <c r="P75" s="20" t="n">
        <v>0</v>
      </c>
      <c r="Q75" s="18" t="n">
        <v>9.754145510000001</v>
      </c>
      <c r="R75" s="20" t="n">
        <v>1.93423071</v>
      </c>
    </row>
    <row r="76" spans="1:18">
      <c r="A76" s="15" t="s">
        <v>500</v>
      </c>
      <c r="B76" s="17" t="n">
        <v>7052</v>
      </c>
      <c r="C76" s="18">
        <f>(6184.0/B76*100)</f>
        <v/>
      </c>
      <c r="D76" s="19" t="n">
        <v>868</v>
      </c>
      <c r="E76" s="18" t="n">
        <v>45.50123794</v>
      </c>
      <c r="F76" s="20" t="n">
        <v>2.21103148</v>
      </c>
      <c r="G76" s="18" t="n">
        <v>49.55084493</v>
      </c>
      <c r="H76" s="20" t="n">
        <v>2.2221288</v>
      </c>
      <c r="I76" s="18" t="s">
        <v>431</v>
      </c>
      <c r="J76" s="20" t="s">
        <v>431</v>
      </c>
      <c r="K76" s="18" t="n">
        <v>0.664204</v>
      </c>
      <c r="L76" s="20" t="n">
        <v>0.33671488</v>
      </c>
      <c r="M76" s="18" t="n">
        <v>0.17672938</v>
      </c>
      <c r="N76" s="20" t="n">
        <v>0.17575807</v>
      </c>
      <c r="O76" s="18" t="n">
        <v>0</v>
      </c>
      <c r="P76" s="20" t="n">
        <v>0</v>
      </c>
      <c r="Q76" s="18" t="n">
        <v>4.10698376</v>
      </c>
      <c r="R76" s="20" t="n">
        <v>0.99396462</v>
      </c>
    </row>
    <row r="77" spans="1:18">
      <c r="A77" s="15" t="s">
        <v>501</v>
      </c>
      <c r="B77" s="17" t="n">
        <v>2908</v>
      </c>
      <c r="C77" s="18">
        <f>(2576.0/B77*100)</f>
        <v/>
      </c>
      <c r="D77" s="19" t="n">
        <v>332</v>
      </c>
      <c r="E77" s="18" t="n">
        <v>38.77310427</v>
      </c>
      <c r="F77" s="20" t="n">
        <v>2.90771864</v>
      </c>
      <c r="G77" s="18" t="n">
        <v>51.59821746</v>
      </c>
      <c r="H77" s="20" t="n">
        <v>3.16614306</v>
      </c>
      <c r="I77" s="18" t="s">
        <v>431</v>
      </c>
      <c r="J77" s="20" t="s">
        <v>431</v>
      </c>
      <c r="K77" s="18" t="n">
        <v>1.53177652</v>
      </c>
      <c r="L77" s="20" t="n">
        <v>0.78888181</v>
      </c>
      <c r="M77" s="18" t="n">
        <v>0</v>
      </c>
      <c r="N77" s="20" t="n">
        <v>0</v>
      </c>
      <c r="O77" s="18" t="n">
        <v>0</v>
      </c>
      <c r="P77" s="20" t="n">
        <v>0</v>
      </c>
      <c r="Q77" s="18" t="n">
        <v>8.096901750000001</v>
      </c>
      <c r="R77" s="20" t="n">
        <v>1.44297079</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(3656.0/B81*100)</f>
        <v/>
      </c>
      <c r="D81" s="19" t="n">
        <v>507</v>
      </c>
      <c r="E81" s="18" t="n">
        <v>33.86599895</v>
      </c>
      <c r="F81" s="20" t="n">
        <v>2.81918821</v>
      </c>
      <c r="G81" s="18" t="n">
        <v>64.42513717999999</v>
      </c>
      <c r="H81" s="20" t="n">
        <v>2.89168837</v>
      </c>
      <c r="I81" s="18" t="s">
        <v>431</v>
      </c>
      <c r="J81" s="20" t="s">
        <v>431</v>
      </c>
      <c r="K81" s="18" t="n">
        <v>0.2467533</v>
      </c>
      <c r="L81" s="20" t="n">
        <v>0.24572204</v>
      </c>
      <c r="M81" s="18" t="n">
        <v>0</v>
      </c>
      <c r="N81" s="20" t="n">
        <v>0</v>
      </c>
      <c r="O81" s="18" t="n">
        <v>0</v>
      </c>
      <c r="P81" s="20" t="n">
        <v>0</v>
      </c>
      <c r="Q81" s="18" t="n">
        <v>1.46211056</v>
      </c>
      <c r="R81" s="20" t="n">
        <v>0.64638914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(6484.0/B7*100)</f>
        <v/>
      </c>
      <c r="D7" s="19" t="n">
        <v>883</v>
      </c>
      <c r="E7" s="18" t="n">
        <v>10.92064299</v>
      </c>
      <c r="F7" s="20" t="n">
        <v>1.21188689</v>
      </c>
      <c r="G7" s="18" t="n">
        <v>86.17640904</v>
      </c>
      <c r="H7" s="20" t="n">
        <v>1.31007435</v>
      </c>
      <c r="I7" s="18" t="s">
        <v>431</v>
      </c>
      <c r="J7" s="20" t="s">
        <v>431</v>
      </c>
      <c r="K7" s="18" t="n">
        <v>0.45847928</v>
      </c>
      <c r="L7" s="20" t="n">
        <v>0.22984594</v>
      </c>
      <c r="M7" s="18" t="n">
        <v>0.06724289</v>
      </c>
      <c r="N7" s="20" t="n">
        <v>0.03771895</v>
      </c>
      <c r="O7" s="18" t="n">
        <v>0</v>
      </c>
      <c r="P7" s="20" t="n">
        <v>0</v>
      </c>
      <c r="Q7" s="18" t="n">
        <v>2.3772258</v>
      </c>
      <c r="R7" s="20" t="n">
        <v>0.61506834</v>
      </c>
    </row>
    <row r="8" spans="1:18">
      <c r="A8" s="15" t="s">
        <v>432</v>
      </c>
      <c r="B8" s="17" t="n">
        <v>3564</v>
      </c>
      <c r="C8" s="18">
        <f>(3090.0/B8*100)</f>
        <v/>
      </c>
      <c r="D8" s="19" t="n">
        <v>474</v>
      </c>
      <c r="E8" s="18" t="n">
        <v>19.54197411</v>
      </c>
      <c r="F8" s="20" t="n">
        <v>2.21340547</v>
      </c>
      <c r="G8" s="18" t="n">
        <v>76.82819895999999</v>
      </c>
      <c r="H8" s="20" t="n">
        <v>2.0875471</v>
      </c>
      <c r="I8" s="18" t="s">
        <v>431</v>
      </c>
      <c r="J8" s="20" t="s">
        <v>431</v>
      </c>
      <c r="K8" s="18" t="n">
        <v>0.16833874</v>
      </c>
      <c r="L8" s="20" t="n">
        <v>0.2888955</v>
      </c>
      <c r="M8" s="18" t="n">
        <v>0</v>
      </c>
      <c r="N8" s="20" t="n">
        <v>0</v>
      </c>
      <c r="O8" s="18" t="n">
        <v>0</v>
      </c>
      <c r="P8" s="20" t="n">
        <v>0</v>
      </c>
      <c r="Q8" s="18" t="n">
        <v>3.46148818</v>
      </c>
      <c r="R8" s="20" t="n">
        <v>0.84758707</v>
      </c>
    </row>
    <row r="9" spans="1:18">
      <c r="A9" s="15" t="s">
        <v>433</v>
      </c>
      <c r="B9" s="17" t="n">
        <v>4899</v>
      </c>
      <c r="C9" s="18">
        <f>(4304.0/B9*100)</f>
        <v/>
      </c>
      <c r="D9" s="19" t="n">
        <v>595</v>
      </c>
      <c r="E9" s="18" t="n">
        <v>14.8404504</v>
      </c>
      <c r="F9" s="20" t="n">
        <v>1.7033581</v>
      </c>
      <c r="G9" s="18" t="n">
        <v>83.67463415</v>
      </c>
      <c r="H9" s="20" t="n">
        <v>1.68958398</v>
      </c>
      <c r="I9" s="18" t="s">
        <v>431</v>
      </c>
      <c r="J9" s="20" t="s">
        <v>431</v>
      </c>
      <c r="K9" s="18" t="n">
        <v>0</v>
      </c>
      <c r="L9" s="20" t="n">
        <v>0</v>
      </c>
      <c r="M9" s="18" t="n">
        <v>0.16830153</v>
      </c>
      <c r="N9" s="20" t="n">
        <v>0.16751416</v>
      </c>
      <c r="O9" s="18" t="n">
        <v>0</v>
      </c>
      <c r="P9" s="20" t="n">
        <v>0</v>
      </c>
      <c r="Q9" s="18" t="n">
        <v>1.31661392</v>
      </c>
      <c r="R9" s="20" t="n">
        <v>0.47473433</v>
      </c>
    </row>
    <row r="10" spans="1:18">
      <c r="A10" s="15" t="s">
        <v>434</v>
      </c>
      <c r="B10" s="17" t="n">
        <v>10036</v>
      </c>
      <c r="C10" s="18">
        <f>(8780.0/B10*100)</f>
        <v/>
      </c>
      <c r="D10" s="19" t="n">
        <v>1256</v>
      </c>
      <c r="E10" s="18" t="n">
        <v>10.04730422</v>
      </c>
      <c r="F10" s="20" t="n">
        <v>1.17855083</v>
      </c>
      <c r="G10" s="18" t="n">
        <v>88.33752869</v>
      </c>
      <c r="H10" s="20" t="n">
        <v>1.34361131</v>
      </c>
      <c r="I10" s="18" t="s">
        <v>431</v>
      </c>
      <c r="J10" s="20" t="s">
        <v>431</v>
      </c>
      <c r="K10" s="18" t="n">
        <v>0.5061903</v>
      </c>
      <c r="L10" s="20" t="n">
        <v>0.3119309</v>
      </c>
      <c r="M10" s="18" t="n">
        <v>0</v>
      </c>
      <c r="N10" s="20" t="n">
        <v>0</v>
      </c>
      <c r="O10" s="18" t="n">
        <v>0</v>
      </c>
      <c r="P10" s="20" t="n">
        <v>0</v>
      </c>
      <c r="Q10" s="18" t="n">
        <v>1.10897679</v>
      </c>
      <c r="R10" s="20" t="n">
        <v>0.44661704</v>
      </c>
    </row>
    <row r="11" spans="1:18">
      <c r="A11" s="15" t="s">
        <v>435</v>
      </c>
      <c r="B11" s="17" t="n">
        <v>3553</v>
      </c>
      <c r="C11" s="18">
        <f>(3115.0/B11*100)</f>
        <v/>
      </c>
      <c r="D11" s="19" t="n">
        <v>438</v>
      </c>
      <c r="E11" s="18" t="n">
        <v>22.49013736</v>
      </c>
      <c r="F11" s="20" t="n">
        <v>2.62817244</v>
      </c>
      <c r="G11" s="18" t="n">
        <v>71.35241799000001</v>
      </c>
      <c r="H11" s="20" t="n">
        <v>2.83966487</v>
      </c>
      <c r="I11" s="18" t="s">
        <v>431</v>
      </c>
      <c r="J11" s="20" t="s">
        <v>431</v>
      </c>
      <c r="K11" s="18" t="n">
        <v>1.41477277</v>
      </c>
      <c r="L11" s="20" t="n">
        <v>0.7728220099999999</v>
      </c>
      <c r="M11" s="18" t="n">
        <v>0.83862641</v>
      </c>
      <c r="N11" s="20" t="n">
        <v>0.54876177</v>
      </c>
      <c r="O11" s="18" t="n">
        <v>0</v>
      </c>
      <c r="P11" s="20" t="n">
        <v>0</v>
      </c>
      <c r="Q11" s="18" t="n">
        <v>3.90404547</v>
      </c>
      <c r="R11" s="20" t="n">
        <v>1.15071027</v>
      </c>
    </row>
    <row r="12" spans="1:18">
      <c r="A12" s="15" t="s">
        <v>436</v>
      </c>
      <c r="B12" s="17" t="n">
        <v>3472</v>
      </c>
      <c r="C12" s="18">
        <f>(3058.0/B12*100)</f>
        <v/>
      </c>
      <c r="D12" s="19" t="n">
        <v>414</v>
      </c>
      <c r="E12" s="18" t="n">
        <v>8.0213435</v>
      </c>
      <c r="F12" s="20" t="n">
        <v>1.43847881</v>
      </c>
      <c r="G12" s="18" t="n">
        <v>88.58163249</v>
      </c>
      <c r="H12" s="20" t="n">
        <v>1.90881022</v>
      </c>
      <c r="I12" s="18" t="s">
        <v>431</v>
      </c>
      <c r="J12" s="20" t="s">
        <v>431</v>
      </c>
      <c r="K12" s="18" t="n">
        <v>0</v>
      </c>
      <c r="L12" s="20" t="n">
        <v>0</v>
      </c>
      <c r="M12" s="18" t="n">
        <v>0</v>
      </c>
      <c r="N12" s="20" t="n">
        <v>0</v>
      </c>
      <c r="O12" s="18" t="n">
        <v>0</v>
      </c>
      <c r="P12" s="20" t="n">
        <v>0</v>
      </c>
      <c r="Q12" s="18" t="n">
        <v>3.39702401</v>
      </c>
      <c r="R12" s="20" t="n">
        <v>1.00662992</v>
      </c>
    </row>
    <row r="13" spans="1:18">
      <c r="A13" s="15" t="s">
        <v>437</v>
      </c>
      <c r="B13" s="17" t="n">
        <v>3559</v>
      </c>
      <c r="C13" s="18">
        <f>(3144.0/B13*100)</f>
        <v/>
      </c>
      <c r="D13" s="19" t="n">
        <v>415</v>
      </c>
      <c r="E13" s="18" t="n">
        <v>10.59015597</v>
      </c>
      <c r="F13" s="20" t="n">
        <v>1.78703386</v>
      </c>
      <c r="G13" s="18" t="n">
        <v>86.83196436</v>
      </c>
      <c r="H13" s="20" t="n">
        <v>1.99529174</v>
      </c>
      <c r="I13" s="18" t="s">
        <v>431</v>
      </c>
      <c r="J13" s="20" t="s">
        <v>431</v>
      </c>
      <c r="K13" s="18" t="n">
        <v>0.50424479</v>
      </c>
      <c r="L13" s="20" t="n">
        <v>0.35903525</v>
      </c>
      <c r="M13" s="18" t="n">
        <v>0</v>
      </c>
      <c r="N13" s="20" t="n">
        <v>0</v>
      </c>
      <c r="O13" s="18" t="n">
        <v>0</v>
      </c>
      <c r="P13" s="20" t="n">
        <v>0</v>
      </c>
      <c r="Q13" s="18" t="n">
        <v>2.07363488</v>
      </c>
      <c r="R13" s="20" t="n">
        <v>1.00815473</v>
      </c>
    </row>
    <row r="14" spans="1:18">
      <c r="A14" s="15" t="s">
        <v>438</v>
      </c>
      <c r="B14" s="17" t="n">
        <v>2799</v>
      </c>
      <c r="C14" s="18">
        <f>(2459.0/B14*100)</f>
        <v/>
      </c>
      <c r="D14" s="19" t="n">
        <v>340</v>
      </c>
      <c r="E14" s="18" t="n">
        <v>9.615671470000001</v>
      </c>
      <c r="F14" s="20" t="n">
        <v>1.54566368</v>
      </c>
      <c r="G14" s="18" t="n">
        <v>89.85330249</v>
      </c>
      <c r="H14" s="20" t="n">
        <v>1.64156727</v>
      </c>
      <c r="I14" s="18" t="s">
        <v>431</v>
      </c>
      <c r="J14" s="20" t="s">
        <v>431</v>
      </c>
      <c r="K14" s="18" t="n">
        <v>0</v>
      </c>
      <c r="L14" s="20" t="n">
        <v>0</v>
      </c>
      <c r="M14" s="18" t="n">
        <v>0</v>
      </c>
      <c r="N14" s="20" t="n">
        <v>0</v>
      </c>
      <c r="O14" s="18" t="n">
        <v>0</v>
      </c>
      <c r="P14" s="20" t="n">
        <v>0</v>
      </c>
      <c r="Q14" s="18" t="n">
        <v>0.53102604</v>
      </c>
      <c r="R14" s="20" t="n">
        <v>0.34691512</v>
      </c>
    </row>
    <row r="15" spans="1:18">
      <c r="A15" s="15" t="s">
        <v>439</v>
      </c>
      <c r="B15" s="17" t="n">
        <v>3019</v>
      </c>
      <c r="C15" s="18">
        <f>(2651.0/B15*100)</f>
        <v/>
      </c>
      <c r="D15" s="19" t="n">
        <v>368</v>
      </c>
      <c r="E15" s="18" t="n">
        <v>9.266592449999999</v>
      </c>
      <c r="F15" s="20" t="n">
        <v>1.43752539</v>
      </c>
      <c r="G15" s="18" t="n">
        <v>89.31195129</v>
      </c>
      <c r="H15" s="20" t="n">
        <v>1.51111312</v>
      </c>
      <c r="I15" s="18" t="s">
        <v>431</v>
      </c>
      <c r="J15" s="20" t="s">
        <v>431</v>
      </c>
      <c r="K15" s="18" t="n">
        <v>0.25242391</v>
      </c>
      <c r="L15" s="20" t="n">
        <v>0.25338698</v>
      </c>
      <c r="M15" s="18" t="n">
        <v>0</v>
      </c>
      <c r="N15" s="20" t="n">
        <v>0</v>
      </c>
      <c r="O15" s="18" t="n">
        <v>0</v>
      </c>
      <c r="P15" s="20" t="n">
        <v>0</v>
      </c>
      <c r="Q15" s="18" t="n">
        <v>1.16903235</v>
      </c>
      <c r="R15" s="20" t="n">
        <v>0.60567382</v>
      </c>
    </row>
    <row r="16" spans="1:18">
      <c r="A16" s="15" t="s">
        <v>440</v>
      </c>
      <c r="B16" s="17" t="n">
        <v>2997</v>
      </c>
      <c r="C16" s="18">
        <f>(2644.0/B16*100)</f>
        <v/>
      </c>
      <c r="D16" s="19" t="n">
        <v>353</v>
      </c>
      <c r="E16" s="18" t="n">
        <v>10.85853858</v>
      </c>
      <c r="F16" s="20" t="n">
        <v>1.73399762</v>
      </c>
      <c r="G16" s="18" t="n">
        <v>83.17630201</v>
      </c>
      <c r="H16" s="20" t="n">
        <v>2.38306484</v>
      </c>
      <c r="I16" s="18" t="s">
        <v>431</v>
      </c>
      <c r="J16" s="20" t="s">
        <v>431</v>
      </c>
      <c r="K16" s="18" t="n">
        <v>1.66934042</v>
      </c>
      <c r="L16" s="20" t="n">
        <v>0.75219928</v>
      </c>
      <c r="M16" s="18" t="n">
        <v>0</v>
      </c>
      <c r="N16" s="20" t="n">
        <v>0</v>
      </c>
      <c r="O16" s="18" t="n">
        <v>0</v>
      </c>
      <c r="P16" s="20" t="n">
        <v>0</v>
      </c>
      <c r="Q16" s="18" t="n">
        <v>4.29581899</v>
      </c>
      <c r="R16" s="20" t="n">
        <v>1.19261577</v>
      </c>
    </row>
    <row r="17" spans="1:18">
      <c r="A17" s="15" t="s">
        <v>441</v>
      </c>
      <c r="B17" s="17" t="n">
        <v>3307</v>
      </c>
      <c r="C17" s="18">
        <f>(2910.0/B17*100)</f>
        <v/>
      </c>
      <c r="D17" s="19" t="n">
        <v>397</v>
      </c>
      <c r="E17" s="18" t="n">
        <v>13.51127004</v>
      </c>
      <c r="F17" s="20" t="n">
        <v>1.92244921</v>
      </c>
      <c r="G17" s="18" t="n">
        <v>83.85649084000001</v>
      </c>
      <c r="H17" s="20" t="n">
        <v>2.0512599</v>
      </c>
      <c r="I17" s="18" t="s">
        <v>431</v>
      </c>
      <c r="J17" s="20" t="s">
        <v>431</v>
      </c>
      <c r="K17" s="18" t="n">
        <v>0.6829426199999999</v>
      </c>
      <c r="L17" s="20" t="n">
        <v>0.39955141</v>
      </c>
      <c r="M17" s="18" t="n">
        <v>0</v>
      </c>
      <c r="N17" s="20" t="n">
        <v>0</v>
      </c>
      <c r="O17" s="18" t="n">
        <v>0</v>
      </c>
      <c r="P17" s="20" t="n">
        <v>0</v>
      </c>
      <c r="Q17" s="18" t="n">
        <v>1.9492965</v>
      </c>
      <c r="R17" s="20" t="n">
        <v>0.62358197</v>
      </c>
    </row>
    <row r="18" spans="1:18">
      <c r="A18" s="15" t="s">
        <v>442</v>
      </c>
      <c r="B18" s="17" t="n">
        <v>2826</v>
      </c>
      <c r="C18" s="18">
        <f>(2482.0/B18*100)</f>
        <v/>
      </c>
      <c r="D18" s="19" t="n">
        <v>344</v>
      </c>
      <c r="E18" s="18" t="n">
        <v>21.29369046</v>
      </c>
      <c r="F18" s="20" t="n">
        <v>2.16657941</v>
      </c>
      <c r="G18" s="18" t="n">
        <v>73.62407122</v>
      </c>
      <c r="H18" s="20" t="n">
        <v>2.4315113</v>
      </c>
      <c r="I18" s="18" t="s">
        <v>431</v>
      </c>
      <c r="J18" s="20" t="s">
        <v>431</v>
      </c>
      <c r="K18" s="18" t="n">
        <v>0.53336951</v>
      </c>
      <c r="L18" s="20" t="n">
        <v>0.41120682</v>
      </c>
      <c r="M18" s="18" t="n">
        <v>0</v>
      </c>
      <c r="N18" s="20" t="n">
        <v>0</v>
      </c>
      <c r="O18" s="18" t="n">
        <v>0</v>
      </c>
      <c r="P18" s="20" t="n">
        <v>0</v>
      </c>
      <c r="Q18" s="18" t="n">
        <v>4.54886882</v>
      </c>
      <c r="R18" s="20" t="n">
        <v>1.34995419</v>
      </c>
    </row>
    <row r="19" spans="1:18">
      <c r="A19" s="15" t="s">
        <v>443</v>
      </c>
      <c r="B19" s="17" t="n">
        <v>2808</v>
      </c>
      <c r="C19" s="18">
        <f>(2462.0/B19*100)</f>
        <v/>
      </c>
      <c r="D19" s="19" t="n">
        <v>346</v>
      </c>
      <c r="E19" s="18" t="n">
        <v>12.35747812</v>
      </c>
      <c r="F19" s="20" t="n">
        <v>2.11396305</v>
      </c>
      <c r="G19" s="18" t="n">
        <v>84.96656840999999</v>
      </c>
      <c r="H19" s="20" t="n">
        <v>2.44957467</v>
      </c>
      <c r="I19" s="18" t="s">
        <v>431</v>
      </c>
      <c r="J19" s="20" t="s">
        <v>431</v>
      </c>
      <c r="K19" s="18" t="n">
        <v>0.59628293</v>
      </c>
      <c r="L19" s="20" t="n">
        <v>0.64575976</v>
      </c>
      <c r="M19" s="18" t="n">
        <v>0</v>
      </c>
      <c r="N19" s="20" t="n">
        <v>0</v>
      </c>
      <c r="O19" s="18" t="n">
        <v>0</v>
      </c>
      <c r="P19" s="20" t="n">
        <v>0</v>
      </c>
      <c r="Q19" s="18" t="n">
        <v>2.07967054</v>
      </c>
      <c r="R19" s="20" t="n">
        <v>0.95551807</v>
      </c>
    </row>
    <row r="20" spans="1:18">
      <c r="A20" s="15" t="s">
        <v>444</v>
      </c>
      <c r="B20" s="17" t="n">
        <v>1630</v>
      </c>
      <c r="C20" s="18">
        <f>(1439.0/B20*100)</f>
        <v/>
      </c>
      <c r="D20" s="19" t="n">
        <v>191</v>
      </c>
      <c r="E20" s="18" t="n">
        <v>13.30217257</v>
      </c>
      <c r="F20" s="20" t="n">
        <v>2.3810549</v>
      </c>
      <c r="G20" s="18" t="n">
        <v>82.70957819</v>
      </c>
      <c r="H20" s="20" t="n">
        <v>2.67156931</v>
      </c>
      <c r="I20" s="18" t="s">
        <v>431</v>
      </c>
      <c r="J20" s="20" t="s">
        <v>431</v>
      </c>
      <c r="K20" s="18" t="n">
        <v>1.2260116</v>
      </c>
      <c r="L20" s="20" t="n">
        <v>0.84863447</v>
      </c>
      <c r="M20" s="18" t="n">
        <v>0.81055712</v>
      </c>
      <c r="N20" s="20" t="n">
        <v>0.57567195</v>
      </c>
      <c r="O20" s="18" t="n">
        <v>0</v>
      </c>
      <c r="P20" s="20" t="n">
        <v>0</v>
      </c>
      <c r="Q20" s="18" t="n">
        <v>1.95168052</v>
      </c>
      <c r="R20" s="20" t="n">
        <v>0.9560182</v>
      </c>
    </row>
    <row r="21" spans="1:18">
      <c r="A21" s="15" t="s">
        <v>445</v>
      </c>
      <c r="B21" s="17" t="n">
        <v>2908</v>
      </c>
      <c r="C21" s="18">
        <f>(2422.0/B21*100)</f>
        <v/>
      </c>
      <c r="D21" s="19" t="n">
        <v>486</v>
      </c>
      <c r="E21" s="18" t="n">
        <v>6.89475128</v>
      </c>
      <c r="F21" s="20" t="n">
        <v>1.18153822</v>
      </c>
      <c r="G21" s="18" t="n">
        <v>92.57953916</v>
      </c>
      <c r="H21" s="20" t="n">
        <v>1.2220894</v>
      </c>
      <c r="I21" s="18" t="s">
        <v>431</v>
      </c>
      <c r="J21" s="20" t="s">
        <v>431</v>
      </c>
      <c r="K21" s="18" t="n">
        <v>0</v>
      </c>
      <c r="L21" s="20" t="n">
        <v>0</v>
      </c>
      <c r="M21" s="18" t="n">
        <v>0</v>
      </c>
      <c r="N21" s="20" t="n">
        <v>0</v>
      </c>
      <c r="O21" s="18" t="n">
        <v>0</v>
      </c>
      <c r="P21" s="20" t="n">
        <v>0</v>
      </c>
      <c r="Q21" s="18" t="n">
        <v>0.52570957</v>
      </c>
      <c r="R21" s="20" t="n">
        <v>0.28211241</v>
      </c>
    </row>
    <row r="22" spans="1:18">
      <c r="A22" s="15" t="s">
        <v>446</v>
      </c>
      <c r="B22" s="17" t="n">
        <v>2931</v>
      </c>
      <c r="C22" s="18">
        <f>(2580.0/B22*100)</f>
        <v/>
      </c>
      <c r="D22" s="19" t="n">
        <v>351</v>
      </c>
      <c r="E22" s="18" t="n">
        <v>26.70335258</v>
      </c>
      <c r="F22" s="20" t="n">
        <v>2.52585789</v>
      </c>
      <c r="G22" s="18" t="n">
        <v>67.45599224999999</v>
      </c>
      <c r="H22" s="20" t="n">
        <v>2.78995425</v>
      </c>
      <c r="I22" s="18" t="s">
        <v>431</v>
      </c>
      <c r="J22" s="20" t="s">
        <v>431</v>
      </c>
      <c r="K22" s="18" t="n">
        <v>1.84068134</v>
      </c>
      <c r="L22" s="20" t="n">
        <v>0.79028278</v>
      </c>
      <c r="M22" s="18" t="n">
        <v>0</v>
      </c>
      <c r="N22" s="20" t="n">
        <v>0</v>
      </c>
      <c r="O22" s="18" t="n">
        <v>0</v>
      </c>
      <c r="P22" s="20" t="n">
        <v>0</v>
      </c>
      <c r="Q22" s="18" t="n">
        <v>3.99997383</v>
      </c>
      <c r="R22" s="20" t="n">
        <v>1.14961942</v>
      </c>
    </row>
    <row r="23" spans="1:18">
      <c r="A23" s="15" t="s">
        <v>447</v>
      </c>
      <c r="B23" s="17" t="n">
        <v>5791</v>
      </c>
      <c r="C23" s="18">
        <f>(5046.0/B23*100)</f>
        <v/>
      </c>
      <c r="D23" s="19" t="n">
        <v>745</v>
      </c>
      <c r="E23" s="18" t="n">
        <v>11.11041644</v>
      </c>
      <c r="F23" s="20" t="n">
        <v>1.8095294</v>
      </c>
      <c r="G23" s="18" t="n">
        <v>83.90006854000001</v>
      </c>
      <c r="H23" s="20" t="n">
        <v>2.18878781</v>
      </c>
      <c r="I23" s="18" t="s">
        <v>431</v>
      </c>
      <c r="J23" s="20" t="s">
        <v>431</v>
      </c>
      <c r="K23" s="18" t="n">
        <v>0.17996464</v>
      </c>
      <c r="L23" s="20" t="n">
        <v>0.12559245</v>
      </c>
      <c r="M23" s="18" t="n">
        <v>0.35633276</v>
      </c>
      <c r="N23" s="20" t="n">
        <v>0.22947644</v>
      </c>
      <c r="O23" s="18" t="n">
        <v>0</v>
      </c>
      <c r="P23" s="20" t="n">
        <v>0</v>
      </c>
      <c r="Q23" s="18" t="n">
        <v>4.45321762</v>
      </c>
      <c r="R23" s="20" t="n">
        <v>1.74090362</v>
      </c>
    </row>
    <row r="24" spans="1:18">
      <c r="A24" s="15" t="s">
        <v>448</v>
      </c>
      <c r="B24" s="17" t="n">
        <v>3338</v>
      </c>
      <c r="C24" s="18">
        <f>(2951.0/B24*100)</f>
        <v/>
      </c>
      <c r="D24" s="19" t="n">
        <v>387</v>
      </c>
      <c r="E24" s="18" t="n">
        <v>10.30899664</v>
      </c>
      <c r="F24" s="20" t="n">
        <v>1.65291756</v>
      </c>
      <c r="G24" s="18" t="n">
        <v>87.28859547</v>
      </c>
      <c r="H24" s="20" t="n">
        <v>1.88994458</v>
      </c>
      <c r="I24" s="18" t="s">
        <v>431</v>
      </c>
      <c r="J24" s="20" t="s">
        <v>431</v>
      </c>
      <c r="K24" s="18" t="n">
        <v>0.49404586</v>
      </c>
      <c r="L24" s="20" t="n">
        <v>0.34977137</v>
      </c>
      <c r="M24" s="18" t="n">
        <v>0</v>
      </c>
      <c r="N24" s="20" t="n">
        <v>0</v>
      </c>
      <c r="O24" s="18" t="n">
        <v>0</v>
      </c>
      <c r="P24" s="20" t="n">
        <v>0</v>
      </c>
      <c r="Q24" s="18" t="n">
        <v>1.90836202</v>
      </c>
      <c r="R24" s="20" t="n">
        <v>0.68146662</v>
      </c>
    </row>
    <row r="25" spans="1:18">
      <c r="A25" s="15" t="s">
        <v>449</v>
      </c>
      <c r="B25" s="17" t="n">
        <v>2912</v>
      </c>
      <c r="C25" s="18">
        <f>(2561.0/B25*100)</f>
        <v/>
      </c>
      <c r="D25" s="19" t="n">
        <v>351</v>
      </c>
      <c r="E25" s="18" t="n">
        <v>24.46781659</v>
      </c>
      <c r="F25" s="20" t="n">
        <v>2.16138859</v>
      </c>
      <c r="G25" s="18" t="n">
        <v>72.69945645</v>
      </c>
      <c r="H25" s="20" t="n">
        <v>2.48739784</v>
      </c>
      <c r="I25" s="18" t="s">
        <v>431</v>
      </c>
      <c r="J25" s="20" t="s">
        <v>431</v>
      </c>
      <c r="K25" s="18" t="n">
        <v>0.86251441</v>
      </c>
      <c r="L25" s="20" t="n">
        <v>0.50074527</v>
      </c>
      <c r="M25" s="18" t="n">
        <v>0</v>
      </c>
      <c r="N25" s="20" t="n">
        <v>0</v>
      </c>
      <c r="O25" s="18" t="n">
        <v>0</v>
      </c>
      <c r="P25" s="20" t="n">
        <v>0</v>
      </c>
      <c r="Q25" s="18" t="n">
        <v>1.97021254</v>
      </c>
      <c r="R25" s="20" t="n">
        <v>0.8576399</v>
      </c>
    </row>
    <row r="26" spans="1:18">
      <c r="A26" s="15" t="s">
        <v>450</v>
      </c>
      <c r="B26" s="17" t="n">
        <v>2450</v>
      </c>
      <c r="C26" s="18">
        <f>(2149.0/B26*100)</f>
        <v/>
      </c>
      <c r="D26" s="19" t="n">
        <v>301</v>
      </c>
      <c r="E26" s="18" t="n">
        <v>11.88884543</v>
      </c>
      <c r="F26" s="20" t="n">
        <v>1.94870417</v>
      </c>
      <c r="G26" s="18" t="n">
        <v>86.74578988</v>
      </c>
      <c r="H26" s="20" t="n">
        <v>2.05582878</v>
      </c>
      <c r="I26" s="18" t="s">
        <v>431</v>
      </c>
      <c r="J26" s="20" t="s">
        <v>431</v>
      </c>
      <c r="K26" s="18" t="n">
        <v>0</v>
      </c>
      <c r="L26" s="20" t="n">
        <v>0</v>
      </c>
      <c r="M26" s="18" t="n">
        <v>0.23283737</v>
      </c>
      <c r="N26" s="20" t="n">
        <v>0.2336545</v>
      </c>
      <c r="O26" s="18" t="n">
        <v>0</v>
      </c>
      <c r="P26" s="20" t="n">
        <v>0</v>
      </c>
      <c r="Q26" s="18" t="n">
        <v>1.13252732</v>
      </c>
      <c r="R26" s="20" t="n">
        <v>0.57546995</v>
      </c>
    </row>
    <row r="27" spans="1:18">
      <c r="A27" s="15" t="s">
        <v>451</v>
      </c>
      <c r="B27" s="17" t="n">
        <v>2616</v>
      </c>
      <c r="C27" s="18">
        <f>(2308.0/B27*100)</f>
        <v/>
      </c>
      <c r="D27" s="19" t="n">
        <v>308</v>
      </c>
      <c r="E27" s="18" t="n">
        <v>22.66126094</v>
      </c>
      <c r="F27" s="20" t="n">
        <v>2.72435699</v>
      </c>
      <c r="G27" s="18" t="n">
        <v>73.65009071</v>
      </c>
      <c r="H27" s="20" t="n">
        <v>2.80496107</v>
      </c>
      <c r="I27" s="18" t="s">
        <v>431</v>
      </c>
      <c r="J27" s="20" t="s">
        <v>431</v>
      </c>
      <c r="K27" s="18" t="n">
        <v>0.6630636</v>
      </c>
      <c r="L27" s="20" t="n">
        <v>0.47504862</v>
      </c>
      <c r="M27" s="18" t="n">
        <v>0</v>
      </c>
      <c r="N27" s="20" t="n">
        <v>0</v>
      </c>
      <c r="O27" s="18" t="n">
        <v>0</v>
      </c>
      <c r="P27" s="20" t="n">
        <v>0</v>
      </c>
      <c r="Q27" s="18" t="n">
        <v>3.02558475</v>
      </c>
      <c r="R27" s="20" t="n">
        <v>1.01120084</v>
      </c>
    </row>
    <row r="28" spans="1:18">
      <c r="A28" s="15" t="s">
        <v>452</v>
      </c>
      <c r="B28" s="17" t="n">
        <v>3765</v>
      </c>
      <c r="C28" s="18">
        <f>(3353.0/B28*100)</f>
        <v/>
      </c>
      <c r="D28" s="19" t="n">
        <v>412</v>
      </c>
      <c r="E28" s="18" t="n">
        <v>50.39464017</v>
      </c>
      <c r="F28" s="20" t="n">
        <v>2.97146952</v>
      </c>
      <c r="G28" s="18" t="n">
        <v>46.62005141</v>
      </c>
      <c r="H28" s="20" t="n">
        <v>3.00511273</v>
      </c>
      <c r="I28" s="18" t="s">
        <v>431</v>
      </c>
      <c r="J28" s="20" t="s">
        <v>431</v>
      </c>
      <c r="K28" s="18" t="n">
        <v>1.15003131</v>
      </c>
      <c r="L28" s="20" t="n">
        <v>0.60763203</v>
      </c>
      <c r="M28" s="18" t="n">
        <v>0</v>
      </c>
      <c r="N28" s="20" t="n">
        <v>0</v>
      </c>
      <c r="O28" s="18" t="n">
        <v>0</v>
      </c>
      <c r="P28" s="20" t="n">
        <v>0</v>
      </c>
      <c r="Q28" s="18" t="n">
        <v>1.83527711</v>
      </c>
      <c r="R28" s="20" t="n">
        <v>0.76518282</v>
      </c>
    </row>
    <row r="29" spans="1:18">
      <c r="A29" s="15" t="s">
        <v>453</v>
      </c>
      <c r="B29" s="17" t="n">
        <v>2685</v>
      </c>
      <c r="C29" s="18">
        <f>(2363.0/B29*100)</f>
        <v/>
      </c>
      <c r="D29" s="19" t="n">
        <v>322</v>
      </c>
      <c r="E29" s="18" t="n">
        <v>8.240287690000001</v>
      </c>
      <c r="F29" s="20" t="n">
        <v>1.81665883</v>
      </c>
      <c r="G29" s="18" t="n">
        <v>90.58602087</v>
      </c>
      <c r="H29" s="20" t="n">
        <v>1.95994976</v>
      </c>
      <c r="I29" s="18" t="s">
        <v>431</v>
      </c>
      <c r="J29" s="20" t="s">
        <v>431</v>
      </c>
      <c r="K29" s="18" t="n">
        <v>0.39799614</v>
      </c>
      <c r="L29" s="20" t="n">
        <v>0.39391798</v>
      </c>
      <c r="M29" s="18" t="n">
        <v>0</v>
      </c>
      <c r="N29" s="20" t="n">
        <v>0</v>
      </c>
      <c r="O29" s="18" t="n">
        <v>0</v>
      </c>
      <c r="P29" s="20" t="n">
        <v>0</v>
      </c>
      <c r="Q29" s="18" t="n">
        <v>0.77569531</v>
      </c>
      <c r="R29" s="20" t="n">
        <v>0.53525393</v>
      </c>
    </row>
    <row r="30" spans="1:18">
      <c r="A30" s="15" t="s">
        <v>454</v>
      </c>
      <c r="B30" s="17" t="n">
        <v>2263</v>
      </c>
      <c r="C30" s="18">
        <f>(1996.0/B30*100)</f>
        <v/>
      </c>
      <c r="D30" s="19" t="n">
        <v>267</v>
      </c>
      <c r="E30" s="18" t="n">
        <v>13.72726418</v>
      </c>
      <c r="F30" s="20" t="n">
        <v>1.72224613</v>
      </c>
      <c r="G30" s="18" t="n">
        <v>83.08741676</v>
      </c>
      <c r="H30" s="20" t="n">
        <v>2.32102589</v>
      </c>
      <c r="I30" s="18" t="s">
        <v>431</v>
      </c>
      <c r="J30" s="20" t="s">
        <v>431</v>
      </c>
      <c r="K30" s="18" t="n">
        <v>0.67673339</v>
      </c>
      <c r="L30" s="20" t="n">
        <v>0.48782578</v>
      </c>
      <c r="M30" s="18" t="n">
        <v>0</v>
      </c>
      <c r="N30" s="20" t="n">
        <v>0</v>
      </c>
      <c r="O30" s="18" t="n">
        <v>0</v>
      </c>
      <c r="P30" s="20" t="n">
        <v>0</v>
      </c>
      <c r="Q30" s="18" t="n">
        <v>2.50858567</v>
      </c>
      <c r="R30" s="20" t="n">
        <v>1.05251846</v>
      </c>
    </row>
    <row r="31" spans="1:18">
      <c r="A31" s="15" t="s">
        <v>455</v>
      </c>
      <c r="B31" s="17" t="n">
        <v>2750</v>
      </c>
      <c r="C31" s="18">
        <f>(2430.0/B31*100)</f>
        <v/>
      </c>
      <c r="D31" s="19" t="n">
        <v>320</v>
      </c>
      <c r="E31" s="18" t="n">
        <v>13.0709213</v>
      </c>
      <c r="F31" s="20" t="n">
        <v>1.98918316</v>
      </c>
      <c r="G31" s="18" t="n">
        <v>83.00242193</v>
      </c>
      <c r="H31" s="20" t="n">
        <v>2.04801959</v>
      </c>
      <c r="I31" s="18" t="s">
        <v>431</v>
      </c>
      <c r="J31" s="20" t="s">
        <v>431</v>
      </c>
      <c r="K31" s="18" t="n">
        <v>0.62874257</v>
      </c>
      <c r="L31" s="20" t="n">
        <v>0.45534188</v>
      </c>
      <c r="M31" s="18" t="n">
        <v>0</v>
      </c>
      <c r="N31" s="20" t="n">
        <v>0</v>
      </c>
      <c r="O31" s="18" t="n">
        <v>0</v>
      </c>
      <c r="P31" s="20" t="n">
        <v>0</v>
      </c>
      <c r="Q31" s="18" t="n">
        <v>3.2979142</v>
      </c>
      <c r="R31" s="20" t="n">
        <v>0.92091342</v>
      </c>
    </row>
    <row r="32" spans="1:18">
      <c r="A32" s="15" t="s">
        <v>456</v>
      </c>
      <c r="B32" s="17" t="n">
        <v>2269</v>
      </c>
      <c r="C32" s="18">
        <f>(1895.0/B32*100)</f>
        <v/>
      </c>
      <c r="D32" s="19" t="n">
        <v>374</v>
      </c>
      <c r="E32" s="18" t="n">
        <v>6.9211276</v>
      </c>
      <c r="F32" s="20" t="n">
        <v>1.40411097</v>
      </c>
      <c r="G32" s="18" t="n">
        <v>90.81456636</v>
      </c>
      <c r="H32" s="20" t="n">
        <v>1.65540631</v>
      </c>
      <c r="I32" s="18" t="s">
        <v>431</v>
      </c>
      <c r="J32" s="20" t="s">
        <v>431</v>
      </c>
      <c r="K32" s="18" t="n">
        <v>0.25671725</v>
      </c>
      <c r="L32" s="20" t="n">
        <v>0.24219836</v>
      </c>
      <c r="M32" s="18" t="n">
        <v>0.25011242</v>
      </c>
      <c r="N32" s="20" t="n">
        <v>0.24979579</v>
      </c>
      <c r="O32" s="18" t="n">
        <v>0</v>
      </c>
      <c r="P32" s="20" t="n">
        <v>0</v>
      </c>
      <c r="Q32" s="18" t="n">
        <v>1.75747638</v>
      </c>
      <c r="R32" s="20" t="n">
        <v>0.70399705</v>
      </c>
    </row>
    <row r="33" spans="1:18">
      <c r="A33" s="15" t="s">
        <v>457</v>
      </c>
      <c r="B33" s="17" t="n">
        <v>3674</v>
      </c>
      <c r="C33" s="18">
        <f>(3240.0/B33*100)</f>
        <v/>
      </c>
      <c r="D33" s="19" t="n">
        <v>434</v>
      </c>
      <c r="E33" s="18" t="n">
        <v>15.14189754</v>
      </c>
      <c r="F33" s="20" t="n">
        <v>1.97144347</v>
      </c>
      <c r="G33" s="18" t="n">
        <v>81.10249046</v>
      </c>
      <c r="H33" s="20" t="n">
        <v>2.23610525</v>
      </c>
      <c r="I33" s="18" t="s">
        <v>431</v>
      </c>
      <c r="J33" s="20" t="s">
        <v>431</v>
      </c>
      <c r="K33" s="18" t="n">
        <v>0.65834516</v>
      </c>
      <c r="L33" s="20" t="n">
        <v>0.35997515</v>
      </c>
      <c r="M33" s="18" t="n">
        <v>0</v>
      </c>
      <c r="N33" s="20" t="n">
        <v>0</v>
      </c>
      <c r="O33" s="18" t="n">
        <v>0</v>
      </c>
      <c r="P33" s="20" t="n">
        <v>0</v>
      </c>
      <c r="Q33" s="18" t="n">
        <v>3.09726684</v>
      </c>
      <c r="R33" s="20" t="n">
        <v>0.90249887</v>
      </c>
    </row>
    <row r="34" spans="1:18">
      <c r="A34" s="15" t="s">
        <v>458</v>
      </c>
      <c r="B34" s="17" t="n">
        <v>3315</v>
      </c>
      <c r="C34" s="18">
        <f>(2922.0/B34*100)</f>
        <v/>
      </c>
      <c r="D34" s="19" t="n">
        <v>393</v>
      </c>
      <c r="E34" s="18" t="n">
        <v>14.05533344</v>
      </c>
      <c r="F34" s="20" t="n">
        <v>1.83464657</v>
      </c>
      <c r="G34" s="18" t="n">
        <v>83.73316454</v>
      </c>
      <c r="H34" s="20" t="n">
        <v>2.09161644</v>
      </c>
      <c r="I34" s="18" t="s">
        <v>431</v>
      </c>
      <c r="J34" s="20" t="s">
        <v>431</v>
      </c>
      <c r="K34" s="18" t="n">
        <v>0</v>
      </c>
      <c r="L34" s="20" t="n">
        <v>0</v>
      </c>
      <c r="M34" s="18" t="n">
        <v>0.22911425</v>
      </c>
      <c r="N34" s="20" t="n">
        <v>0.2303973</v>
      </c>
      <c r="O34" s="18" t="n">
        <v>0</v>
      </c>
      <c r="P34" s="20" t="n">
        <v>0</v>
      </c>
      <c r="Q34" s="18" t="n">
        <v>1.98238777</v>
      </c>
      <c r="R34" s="20" t="n">
        <v>0.80975225</v>
      </c>
    </row>
    <row r="35" spans="1:18">
      <c r="A35" s="15" t="s">
        <v>459</v>
      </c>
      <c r="B35" s="17" t="n">
        <v>3505</v>
      </c>
      <c r="C35" s="18">
        <f>(3082.0/B35*100)</f>
        <v/>
      </c>
      <c r="D35" s="19" t="n">
        <v>423</v>
      </c>
      <c r="E35" s="18" t="n">
        <v>13.96215777</v>
      </c>
      <c r="F35" s="20" t="n">
        <v>1.86181548</v>
      </c>
      <c r="G35" s="18" t="n">
        <v>83.35728724000001</v>
      </c>
      <c r="H35" s="20" t="n">
        <v>2.18967003</v>
      </c>
      <c r="I35" s="18" t="s">
        <v>431</v>
      </c>
      <c r="J35" s="20" t="s">
        <v>431</v>
      </c>
      <c r="K35" s="18" t="n">
        <v>0</v>
      </c>
      <c r="L35" s="20" t="n">
        <v>0</v>
      </c>
      <c r="M35" s="18" t="n">
        <v>0.44501133</v>
      </c>
      <c r="N35" s="20" t="n">
        <v>0.4466762</v>
      </c>
      <c r="O35" s="18" t="n">
        <v>0</v>
      </c>
      <c r="P35" s="20" t="n">
        <v>0</v>
      </c>
      <c r="Q35" s="18" t="n">
        <v>2.23554365</v>
      </c>
      <c r="R35" s="20" t="n">
        <v>1.34789701</v>
      </c>
    </row>
    <row r="36" spans="1:18">
      <c r="A36" s="15" t="s">
        <v>460</v>
      </c>
      <c r="B36" s="17" t="n">
        <v>3332</v>
      </c>
      <c r="C36" s="18">
        <f>(2932.0/B36*100)</f>
        <v/>
      </c>
      <c r="D36" s="19" t="n">
        <v>400</v>
      </c>
      <c r="E36" s="18" t="n">
        <v>18.22217869</v>
      </c>
      <c r="F36" s="20" t="n">
        <v>2.25952152</v>
      </c>
      <c r="G36" s="18" t="n">
        <v>77.28319377</v>
      </c>
      <c r="H36" s="20" t="n">
        <v>2.56463179</v>
      </c>
      <c r="I36" s="18" t="s">
        <v>431</v>
      </c>
      <c r="J36" s="20" t="s">
        <v>431</v>
      </c>
      <c r="K36" s="18" t="n">
        <v>0.19038066</v>
      </c>
      <c r="L36" s="20" t="n">
        <v>0.18574762</v>
      </c>
      <c r="M36" s="18" t="n">
        <v>0</v>
      </c>
      <c r="N36" s="20" t="n">
        <v>0</v>
      </c>
      <c r="O36" s="18" t="n">
        <v>0</v>
      </c>
      <c r="P36" s="20" t="n">
        <v>0</v>
      </c>
      <c r="Q36" s="18" t="n">
        <v>4.30424688</v>
      </c>
      <c r="R36" s="20" t="n">
        <v>1.28611894</v>
      </c>
    </row>
    <row r="37" spans="1:18">
      <c r="A37" s="15" t="s">
        <v>461</v>
      </c>
      <c r="B37" s="17" t="n">
        <v>2727</v>
      </c>
      <c r="C37" s="18">
        <f>(2399.0/B37*100)</f>
        <v/>
      </c>
      <c r="D37" s="19" t="n">
        <v>328</v>
      </c>
      <c r="E37" s="18" t="n">
        <v>16.22693463</v>
      </c>
      <c r="F37" s="20" t="n">
        <v>2.07645806</v>
      </c>
      <c r="G37" s="18" t="n">
        <v>79.81096413</v>
      </c>
      <c r="H37" s="20" t="n">
        <v>2.05291203</v>
      </c>
      <c r="I37" s="18" t="s">
        <v>431</v>
      </c>
      <c r="J37" s="20" t="s">
        <v>431</v>
      </c>
      <c r="K37" s="18" t="n">
        <v>0.86793807</v>
      </c>
      <c r="L37" s="20" t="n">
        <v>0.56047734</v>
      </c>
      <c r="M37" s="18" t="n">
        <v>0</v>
      </c>
      <c r="N37" s="20" t="n">
        <v>0</v>
      </c>
      <c r="O37" s="18" t="n">
        <v>0</v>
      </c>
      <c r="P37" s="20" t="n">
        <v>0</v>
      </c>
      <c r="Q37" s="18" t="n">
        <v>3.09416317</v>
      </c>
      <c r="R37" s="20" t="n">
        <v>0.86999613</v>
      </c>
    </row>
    <row r="38" spans="1:18">
      <c r="A38" s="15" t="s">
        <v>462</v>
      </c>
      <c r="B38" s="17" t="n">
        <v>3053</v>
      </c>
      <c r="C38" s="18">
        <f>(2550.0/B38*100)</f>
        <v/>
      </c>
      <c r="D38" s="19" t="n">
        <v>503</v>
      </c>
      <c r="E38" s="18" t="n">
        <v>21.17036428</v>
      </c>
      <c r="F38" s="20" t="n">
        <v>2.39903276</v>
      </c>
      <c r="G38" s="18" t="n">
        <v>75.48237655</v>
      </c>
      <c r="H38" s="20" t="n">
        <v>2.89348468</v>
      </c>
      <c r="I38" s="18" t="s">
        <v>431</v>
      </c>
      <c r="J38" s="20" t="s">
        <v>431</v>
      </c>
      <c r="K38" s="18" t="n">
        <v>0.5020128700000001</v>
      </c>
      <c r="L38" s="20" t="n">
        <v>0.34174553</v>
      </c>
      <c r="M38" s="18" t="n">
        <v>0</v>
      </c>
      <c r="N38" s="20" t="n">
        <v>0</v>
      </c>
      <c r="O38" s="18" t="n">
        <v>0</v>
      </c>
      <c r="P38" s="20" t="n">
        <v>0</v>
      </c>
      <c r="Q38" s="18" t="n">
        <v>2.8452463</v>
      </c>
      <c r="R38" s="20" t="n">
        <v>1.0133066</v>
      </c>
    </row>
    <row r="39" spans="1:18">
      <c r="A39" s="15" t="s">
        <v>463</v>
      </c>
      <c r="B39" s="17" t="n">
        <v>2957</v>
      </c>
      <c r="C39" s="18">
        <f>(2593.0/B39*100)</f>
        <v/>
      </c>
      <c r="D39" s="19" t="n">
        <v>364</v>
      </c>
      <c r="E39" s="18" t="n">
        <v>28.33369739</v>
      </c>
      <c r="F39" s="20" t="n">
        <v>3.07219809</v>
      </c>
      <c r="G39" s="18" t="n">
        <v>69.20130158000001</v>
      </c>
      <c r="H39" s="20" t="n">
        <v>3.0598311</v>
      </c>
      <c r="I39" s="18" t="s">
        <v>431</v>
      </c>
      <c r="J39" s="20" t="s">
        <v>431</v>
      </c>
      <c r="K39" s="18" t="n">
        <v>0.97663482</v>
      </c>
      <c r="L39" s="20" t="n">
        <v>0.55741628</v>
      </c>
      <c r="M39" s="18" t="n">
        <v>0.12337222</v>
      </c>
      <c r="N39" s="20" t="n">
        <v>0.08820533999999999</v>
      </c>
      <c r="O39" s="18" t="n">
        <v>0</v>
      </c>
      <c r="P39" s="20" t="n">
        <v>0</v>
      </c>
      <c r="Q39" s="18" t="n">
        <v>1.36499401</v>
      </c>
      <c r="R39" s="20" t="n">
        <v>0.77286071</v>
      </c>
    </row>
    <row r="40" spans="1:18">
      <c r="A40" s="15" t="s">
        <v>464</v>
      </c>
      <c r="B40" s="17" t="n">
        <v>7235</v>
      </c>
      <c r="C40" s="18">
        <f>(6345.0/B40*100)</f>
        <v/>
      </c>
      <c r="D40" s="19" t="n">
        <v>890</v>
      </c>
      <c r="E40" s="18" t="n">
        <v>8.502660430000001</v>
      </c>
      <c r="F40" s="20" t="n">
        <v>1.49492143</v>
      </c>
      <c r="G40" s="18" t="n">
        <v>88.42947769</v>
      </c>
      <c r="H40" s="20" t="n">
        <v>1.7158208</v>
      </c>
      <c r="I40" s="18" t="s">
        <v>431</v>
      </c>
      <c r="J40" s="20" t="s">
        <v>431</v>
      </c>
      <c r="K40" s="18" t="n">
        <v>0.61344963</v>
      </c>
      <c r="L40" s="20" t="n">
        <v>0.34447784</v>
      </c>
      <c r="M40" s="18" t="n">
        <v>0.5596301</v>
      </c>
      <c r="N40" s="20" t="n">
        <v>0.4397786</v>
      </c>
      <c r="O40" s="18" t="n">
        <v>0</v>
      </c>
      <c r="P40" s="20" t="n">
        <v>0</v>
      </c>
      <c r="Q40" s="18" t="n">
        <v>1.89478215</v>
      </c>
      <c r="R40" s="20" t="n">
        <v>0.59133419</v>
      </c>
    </row>
    <row r="41" spans="1:18">
      <c r="A41" s="15" t="s">
        <v>465</v>
      </c>
      <c r="B41" s="17" t="n">
        <v>2858</v>
      </c>
      <c r="C41" s="18">
        <f>(2496.0/B41*100)</f>
        <v/>
      </c>
      <c r="D41" s="19" t="n">
        <v>362</v>
      </c>
      <c r="E41" s="18" t="n">
        <v>12.02997105</v>
      </c>
      <c r="F41" s="20" t="n">
        <v>1.57616888</v>
      </c>
      <c r="G41" s="18" t="n">
        <v>86.26411659999999</v>
      </c>
      <c r="H41" s="20" t="n">
        <v>1.70426771</v>
      </c>
      <c r="I41" s="18" t="s">
        <v>431</v>
      </c>
      <c r="J41" s="20" t="s">
        <v>431</v>
      </c>
      <c r="K41" s="18" t="n">
        <v>0</v>
      </c>
      <c r="L41" s="20" t="n">
        <v>0</v>
      </c>
      <c r="M41" s="18" t="n">
        <v>0</v>
      </c>
      <c r="N41" s="20" t="n">
        <v>0</v>
      </c>
      <c r="O41" s="18" t="n">
        <v>0</v>
      </c>
      <c r="P41" s="20" t="n">
        <v>0</v>
      </c>
      <c r="Q41" s="18" t="n">
        <v>1.70591235</v>
      </c>
      <c r="R41" s="20" t="n">
        <v>0.6879359900000001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(9986.0/B46*100)</f>
        <v/>
      </c>
      <c r="D46" s="19" t="n">
        <v>1082</v>
      </c>
      <c r="E46" s="18" t="n">
        <v>38.49679462</v>
      </c>
      <c r="F46" s="20" t="n">
        <v>2.22493916</v>
      </c>
      <c r="G46" s="18" t="n">
        <v>53.778688</v>
      </c>
      <c r="H46" s="20" t="n">
        <v>2.22820862</v>
      </c>
      <c r="I46" s="18" t="s">
        <v>431</v>
      </c>
      <c r="J46" s="20" t="s">
        <v>431</v>
      </c>
      <c r="K46" s="18" t="n">
        <v>1.35360322</v>
      </c>
      <c r="L46" s="20" t="n">
        <v>0.33814829</v>
      </c>
      <c r="M46" s="18" t="n">
        <v>0.23867272</v>
      </c>
      <c r="N46" s="20" t="n">
        <v>0.15961088</v>
      </c>
      <c r="O46" s="18" t="n">
        <v>0</v>
      </c>
      <c r="P46" s="20" t="n">
        <v>0</v>
      </c>
      <c r="Q46" s="18" t="n">
        <v>6.13224143</v>
      </c>
      <c r="R46" s="20" t="n">
        <v>0.93986009</v>
      </c>
    </row>
    <row r="47" spans="1:18">
      <c r="A47" s="15" t="s">
        <v>471</v>
      </c>
      <c r="B47" s="17" t="n">
        <v>3105</v>
      </c>
      <c r="C47" s="18">
        <f>(2726.0/B47*100)</f>
        <v/>
      </c>
      <c r="D47" s="19" t="n">
        <v>379</v>
      </c>
      <c r="E47" s="18" t="n">
        <v>23.87300315</v>
      </c>
      <c r="F47" s="20" t="n">
        <v>2.35764297</v>
      </c>
      <c r="G47" s="18" t="n">
        <v>67.20419166000001</v>
      </c>
      <c r="H47" s="20" t="n">
        <v>2.63719927</v>
      </c>
      <c r="I47" s="18" t="s">
        <v>431</v>
      </c>
      <c r="J47" s="20" t="s">
        <v>431</v>
      </c>
      <c r="K47" s="18" t="n">
        <v>0</v>
      </c>
      <c r="L47" s="20" t="n">
        <v>0</v>
      </c>
      <c r="M47" s="18" t="n">
        <v>0</v>
      </c>
      <c r="N47" s="20" t="n">
        <v>0</v>
      </c>
      <c r="O47" s="18" t="n">
        <v>0</v>
      </c>
      <c r="P47" s="20" t="n">
        <v>0</v>
      </c>
      <c r="Q47" s="18" t="n">
        <v>8.922805179999999</v>
      </c>
      <c r="R47" s="20" t="n">
        <v>1.55176589</v>
      </c>
    </row>
    <row r="48" spans="1:18">
      <c r="A48" s="15" t="s">
        <v>472</v>
      </c>
      <c r="B48" s="17" t="n">
        <v>5159</v>
      </c>
      <c r="C48" s="18">
        <f>(4552.0/B48*100)</f>
        <v/>
      </c>
      <c r="D48" s="19" t="n">
        <v>607</v>
      </c>
      <c r="E48" s="18" t="n">
        <v>11.72522208</v>
      </c>
      <c r="F48" s="20" t="n">
        <v>1.75323124</v>
      </c>
      <c r="G48" s="18" t="n">
        <v>83.15090517</v>
      </c>
      <c r="H48" s="20" t="n">
        <v>2.49086585</v>
      </c>
      <c r="I48" s="18" t="s">
        <v>431</v>
      </c>
      <c r="J48" s="20" t="s">
        <v>431</v>
      </c>
      <c r="K48" s="18" t="n">
        <v>1.25874104</v>
      </c>
      <c r="L48" s="20" t="n">
        <v>0.63826081</v>
      </c>
      <c r="M48" s="18" t="n">
        <v>0</v>
      </c>
      <c r="N48" s="20" t="n">
        <v>0</v>
      </c>
      <c r="O48" s="18" t="n">
        <v>0</v>
      </c>
      <c r="P48" s="20" t="n">
        <v>0</v>
      </c>
      <c r="Q48" s="18" t="n">
        <v>3.86513171</v>
      </c>
      <c r="R48" s="20" t="n">
        <v>1.06497023</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(4977.0/B50*100)</f>
        <v/>
      </c>
      <c r="D50" s="19" t="n">
        <v>660</v>
      </c>
      <c r="E50" s="18" t="n">
        <v>34.25626386</v>
      </c>
      <c r="F50" s="20" t="n">
        <v>2.43376158</v>
      </c>
      <c r="G50" s="18" t="n">
        <v>60.29367049</v>
      </c>
      <c r="H50" s="20" t="n">
        <v>2.41603576</v>
      </c>
      <c r="I50" s="18" t="s">
        <v>431</v>
      </c>
      <c r="J50" s="20" t="s">
        <v>431</v>
      </c>
      <c r="K50" s="18" t="n">
        <v>2.87735478</v>
      </c>
      <c r="L50" s="20" t="n">
        <v>0.86211687</v>
      </c>
      <c r="M50" s="18" t="n">
        <v>0</v>
      </c>
      <c r="N50" s="20" t="n">
        <v>0</v>
      </c>
      <c r="O50" s="18" t="n">
        <v>0</v>
      </c>
      <c r="P50" s="20" t="n">
        <v>0</v>
      </c>
      <c r="Q50" s="18" t="n">
        <v>2.57271087</v>
      </c>
      <c r="R50" s="20" t="n">
        <v>1.37964192</v>
      </c>
    </row>
    <row r="51" spans="1:18">
      <c r="A51" s="15" t="s">
        <v>475</v>
      </c>
      <c r="B51" s="17" t="n">
        <v>3372</v>
      </c>
      <c r="C51" s="18">
        <f>(3007.0/B51*100)</f>
        <v/>
      </c>
      <c r="D51" s="19" t="n">
        <v>365</v>
      </c>
      <c r="E51" s="18" t="n">
        <v>28.25282893</v>
      </c>
      <c r="F51" s="20" t="n">
        <v>2.44850886</v>
      </c>
      <c r="G51" s="18" t="n">
        <v>67.18658816</v>
      </c>
      <c r="H51" s="20" t="n">
        <v>2.7320331</v>
      </c>
      <c r="I51" s="18" t="s">
        <v>431</v>
      </c>
      <c r="J51" s="20" t="s">
        <v>431</v>
      </c>
      <c r="K51" s="18" t="n">
        <v>1.63869604</v>
      </c>
      <c r="L51" s="20" t="n">
        <v>0.8149486</v>
      </c>
      <c r="M51" s="18" t="n">
        <v>0</v>
      </c>
      <c r="N51" s="20" t="n">
        <v>0</v>
      </c>
      <c r="O51" s="18" t="n">
        <v>0</v>
      </c>
      <c r="P51" s="20" t="n">
        <v>0</v>
      </c>
      <c r="Q51" s="18" t="n">
        <v>2.92188687</v>
      </c>
      <c r="R51" s="20" t="n">
        <v>0.91534526</v>
      </c>
    </row>
    <row r="52" spans="1:18">
      <c r="A52" s="15" t="s">
        <v>476</v>
      </c>
      <c r="B52" s="17" t="n">
        <v>2796</v>
      </c>
      <c r="C52" s="18">
        <f>(2446.0/B52*100)</f>
        <v/>
      </c>
      <c r="D52" s="19" t="n">
        <v>350</v>
      </c>
      <c r="E52" s="18" t="n">
        <v>14.93653457</v>
      </c>
      <c r="F52" s="20" t="n">
        <v>1.90879428</v>
      </c>
      <c r="G52" s="18" t="n">
        <v>83.33309688999999</v>
      </c>
      <c r="H52" s="20" t="n">
        <v>1.86693566</v>
      </c>
      <c r="I52" s="18" t="s">
        <v>431</v>
      </c>
      <c r="J52" s="20" t="s">
        <v>431</v>
      </c>
      <c r="K52" s="18" t="n">
        <v>0.35874806</v>
      </c>
      <c r="L52" s="20" t="n">
        <v>0.36400774</v>
      </c>
      <c r="M52" s="18" t="n">
        <v>0</v>
      </c>
      <c r="N52" s="20" t="n">
        <v>0</v>
      </c>
      <c r="O52" s="18" t="n">
        <v>0</v>
      </c>
      <c r="P52" s="20" t="n">
        <v>0</v>
      </c>
      <c r="Q52" s="18" t="n">
        <v>1.37162047</v>
      </c>
      <c r="R52" s="20" t="n">
        <v>0.6199544</v>
      </c>
    </row>
    <row r="53" spans="1:18">
      <c r="A53" s="15" t="s">
        <v>477</v>
      </c>
      <c r="B53" s="17" t="n">
        <v>2811</v>
      </c>
      <c r="C53" s="18">
        <f>(2477.0/B53*100)</f>
        <v/>
      </c>
      <c r="D53" s="19" t="n">
        <v>334</v>
      </c>
      <c r="E53" s="18" t="n">
        <v>34.50748756</v>
      </c>
      <c r="F53" s="20" t="n">
        <v>2.70016269</v>
      </c>
      <c r="G53" s="18" t="n">
        <v>59.81139061</v>
      </c>
      <c r="H53" s="20" t="n">
        <v>2.71017856</v>
      </c>
      <c r="I53" s="18" t="s">
        <v>431</v>
      </c>
      <c r="J53" s="20" t="s">
        <v>431</v>
      </c>
      <c r="K53" s="18" t="n">
        <v>0.82450189</v>
      </c>
      <c r="L53" s="20" t="n">
        <v>0.47157742</v>
      </c>
      <c r="M53" s="18" t="n">
        <v>0</v>
      </c>
      <c r="N53" s="20" t="n">
        <v>0</v>
      </c>
      <c r="O53" s="18" t="n">
        <v>0</v>
      </c>
      <c r="P53" s="20" t="n">
        <v>0</v>
      </c>
      <c r="Q53" s="18" t="n">
        <v>4.85661994</v>
      </c>
      <c r="R53" s="20" t="n">
        <v>1.04574428</v>
      </c>
    </row>
    <row r="54" spans="1:18">
      <c r="A54" s="15" t="s">
        <v>478</v>
      </c>
      <c r="B54" s="17" t="n">
        <v>2266</v>
      </c>
      <c r="C54" s="18">
        <f>(1907.0/B54*100)</f>
        <v/>
      </c>
      <c r="D54" s="19" t="n">
        <v>359</v>
      </c>
      <c r="E54" s="18" t="n">
        <v>59.84747386</v>
      </c>
      <c r="F54" s="20" t="n">
        <v>2.88767342</v>
      </c>
      <c r="G54" s="18" t="n">
        <v>23.62842544</v>
      </c>
      <c r="H54" s="20" t="n">
        <v>2.2558436</v>
      </c>
      <c r="I54" s="18" t="s">
        <v>431</v>
      </c>
      <c r="J54" s="20" t="s">
        <v>431</v>
      </c>
      <c r="K54" s="18" t="n">
        <v>8.779803490000001</v>
      </c>
      <c r="L54" s="20" t="n">
        <v>1.7319393</v>
      </c>
      <c r="M54" s="18" t="n">
        <v>0.54677456</v>
      </c>
      <c r="N54" s="20" t="n">
        <v>0.37983353</v>
      </c>
      <c r="O54" s="18" t="n">
        <v>0</v>
      </c>
      <c r="P54" s="20" t="n">
        <v>0</v>
      </c>
      <c r="Q54" s="18" t="n">
        <v>7.19752266</v>
      </c>
      <c r="R54" s="20" t="n">
        <v>1.66076418</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(2338.0/B56*100)</f>
        <v/>
      </c>
      <c r="D56" s="19" t="n">
        <v>346</v>
      </c>
      <c r="E56" s="18" t="n">
        <v>14.12008167</v>
      </c>
      <c r="F56" s="20" t="n">
        <v>2.19499168</v>
      </c>
      <c r="G56" s="18" t="n">
        <v>85.29179021</v>
      </c>
      <c r="H56" s="20" t="n">
        <v>2.27637483</v>
      </c>
      <c r="I56" s="18" t="s">
        <v>431</v>
      </c>
      <c r="J56" s="20" t="s">
        <v>431</v>
      </c>
      <c r="K56" s="18" t="n">
        <v>0.37151725</v>
      </c>
      <c r="L56" s="20" t="n">
        <v>0.31630863</v>
      </c>
      <c r="M56" s="18" t="n">
        <v>0</v>
      </c>
      <c r="N56" s="20" t="n">
        <v>0</v>
      </c>
      <c r="O56" s="18" t="n">
        <v>0</v>
      </c>
      <c r="P56" s="20" t="n">
        <v>0</v>
      </c>
      <c r="Q56" s="18" t="n">
        <v>0.21661088</v>
      </c>
      <c r="R56" s="20" t="n">
        <v>0.22790831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(2918.0/B61*100)</f>
        <v/>
      </c>
      <c r="D61" s="19" t="n">
        <v>406</v>
      </c>
      <c r="E61" s="18" t="n">
        <v>19.87649128</v>
      </c>
      <c r="F61" s="20" t="n">
        <v>2.22960952</v>
      </c>
      <c r="G61" s="18" t="n">
        <v>74.44495695000001</v>
      </c>
      <c r="H61" s="20" t="n">
        <v>2.35541137</v>
      </c>
      <c r="I61" s="18" t="s">
        <v>431</v>
      </c>
      <c r="J61" s="20" t="s">
        <v>431</v>
      </c>
      <c r="K61" s="18" t="n">
        <v>0.4991822</v>
      </c>
      <c r="L61" s="20" t="n">
        <v>0.26545341</v>
      </c>
      <c r="M61" s="18" t="n">
        <v>0</v>
      </c>
      <c r="N61" s="20" t="n">
        <v>0</v>
      </c>
      <c r="O61" s="18" t="n">
        <v>0</v>
      </c>
      <c r="P61" s="20" t="n">
        <v>0</v>
      </c>
      <c r="Q61" s="18" t="n">
        <v>5.17936957</v>
      </c>
      <c r="R61" s="20" t="n">
        <v>1.34412875</v>
      </c>
    </row>
    <row r="62" spans="1:18">
      <c r="A62" s="15" t="s">
        <v>486</v>
      </c>
      <c r="B62" s="17" t="n">
        <v>2246</v>
      </c>
      <c r="C62" s="18">
        <f>(1960.0/B62*100)</f>
        <v/>
      </c>
      <c r="D62" s="19" t="n">
        <v>286</v>
      </c>
      <c r="E62" s="18" t="n">
        <v>13.65680494</v>
      </c>
      <c r="F62" s="20" t="n">
        <v>2.0623282</v>
      </c>
      <c r="G62" s="18" t="n">
        <v>85.63914173000001</v>
      </c>
      <c r="H62" s="20" t="n">
        <v>2.10900103</v>
      </c>
      <c r="I62" s="18" t="s">
        <v>431</v>
      </c>
      <c r="J62" s="20" t="s">
        <v>431</v>
      </c>
      <c r="K62" s="18" t="n">
        <v>0</v>
      </c>
      <c r="L62" s="20" t="n">
        <v>0</v>
      </c>
      <c r="M62" s="18" t="n">
        <v>0</v>
      </c>
      <c r="N62" s="20" t="n">
        <v>0</v>
      </c>
      <c r="O62" s="18" t="n">
        <v>0</v>
      </c>
      <c r="P62" s="20" t="n">
        <v>0</v>
      </c>
      <c r="Q62" s="18" t="n">
        <v>0.70405333</v>
      </c>
      <c r="R62" s="20" t="n">
        <v>0.49604877</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(2532.0/B66*100)</f>
        <v/>
      </c>
      <c r="D66" s="19" t="n">
        <v>362</v>
      </c>
      <c r="E66" s="18" t="n">
        <v>17.61658471</v>
      </c>
      <c r="F66" s="20" t="n">
        <v>2.12028831</v>
      </c>
      <c r="G66" s="18" t="n">
        <v>70.54049612999999</v>
      </c>
      <c r="H66" s="20" t="n">
        <v>2.32177176</v>
      </c>
      <c r="I66" s="18" t="s">
        <v>431</v>
      </c>
      <c r="J66" s="20" t="s">
        <v>431</v>
      </c>
      <c r="K66" s="18" t="n">
        <v>1.65376307</v>
      </c>
      <c r="L66" s="20" t="n">
        <v>0.7650085</v>
      </c>
      <c r="M66" s="18" t="n">
        <v>0.70134588</v>
      </c>
      <c r="N66" s="20" t="n">
        <v>0.52022166</v>
      </c>
      <c r="O66" s="18" t="n">
        <v>0</v>
      </c>
      <c r="P66" s="20" t="n">
        <v>0</v>
      </c>
      <c r="Q66" s="18" t="n">
        <v>9.487810209999999</v>
      </c>
      <c r="R66" s="20" t="n">
        <v>1.45170411</v>
      </c>
    </row>
    <row r="67" spans="1:18">
      <c r="A67" s="15" t="s">
        <v>491</v>
      </c>
      <c r="B67" s="17" t="n">
        <v>3511</v>
      </c>
      <c r="C67" s="18">
        <f>(3110.0/B67*100)</f>
        <v/>
      </c>
      <c r="D67" s="19" t="n">
        <v>401</v>
      </c>
      <c r="E67" s="18" t="n">
        <v>40.89568865</v>
      </c>
      <c r="F67" s="20" t="n">
        <v>2.91169186</v>
      </c>
      <c r="G67" s="18" t="n">
        <v>56.19722248</v>
      </c>
      <c r="H67" s="20" t="n">
        <v>3.09378253</v>
      </c>
      <c r="I67" s="18" t="s">
        <v>431</v>
      </c>
      <c r="J67" s="20" t="s">
        <v>431</v>
      </c>
      <c r="K67" s="18" t="n">
        <v>0</v>
      </c>
      <c r="L67" s="20" t="n">
        <v>0</v>
      </c>
      <c r="M67" s="18" t="n">
        <v>0.27500652</v>
      </c>
      <c r="N67" s="20" t="n">
        <v>0.27702321</v>
      </c>
      <c r="O67" s="18" t="n">
        <v>0</v>
      </c>
      <c r="P67" s="20" t="n">
        <v>0</v>
      </c>
      <c r="Q67" s="18" t="n">
        <v>2.63208235</v>
      </c>
      <c r="R67" s="20" t="n">
        <v>0.97286549</v>
      </c>
    </row>
    <row r="68" spans="1:18">
      <c r="A68" s="15" t="s">
        <v>492</v>
      </c>
      <c r="B68" s="17" t="n">
        <v>6049</v>
      </c>
      <c r="C68" s="18">
        <f>(5046.0/B68*100)</f>
        <v/>
      </c>
      <c r="D68" s="19" t="n">
        <v>1003</v>
      </c>
      <c r="E68" s="18" t="n">
        <v>37.14036249</v>
      </c>
      <c r="F68" s="20" t="n">
        <v>1.59512233</v>
      </c>
      <c r="G68" s="18" t="n">
        <v>51.45015829</v>
      </c>
      <c r="H68" s="20" t="n">
        <v>1.50911352</v>
      </c>
      <c r="I68" s="18" t="s">
        <v>431</v>
      </c>
      <c r="J68" s="20" t="s">
        <v>431</v>
      </c>
      <c r="K68" s="18" t="n">
        <v>3.5507405</v>
      </c>
      <c r="L68" s="20" t="n">
        <v>0.56673586</v>
      </c>
      <c r="M68" s="18" t="n">
        <v>0</v>
      </c>
      <c r="N68" s="20" t="n">
        <v>0</v>
      </c>
      <c r="O68" s="18" t="n">
        <v>0</v>
      </c>
      <c r="P68" s="20" t="n">
        <v>0</v>
      </c>
      <c r="Q68" s="18" t="n">
        <v>7.85873872</v>
      </c>
      <c r="R68" s="20" t="n">
        <v>0.83676494</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(2597.0/B70*100)</f>
        <v/>
      </c>
      <c r="D70" s="19" t="n">
        <v>332</v>
      </c>
      <c r="E70" s="18" t="n">
        <v>13.85564526</v>
      </c>
      <c r="F70" s="20" t="n">
        <v>2.39476998</v>
      </c>
      <c r="G70" s="18" t="n">
        <v>84.5587495</v>
      </c>
      <c r="H70" s="20" t="n">
        <v>2.36659119</v>
      </c>
      <c r="I70" s="18" t="s">
        <v>431</v>
      </c>
      <c r="J70" s="20" t="s">
        <v>431</v>
      </c>
      <c r="K70" s="18" t="n">
        <v>0.7047147499999999</v>
      </c>
      <c r="L70" s="20" t="n">
        <v>0.41539463</v>
      </c>
      <c r="M70" s="18" t="n">
        <v>0</v>
      </c>
      <c r="N70" s="20" t="n">
        <v>0</v>
      </c>
      <c r="O70" s="18" t="n">
        <v>0</v>
      </c>
      <c r="P70" s="20" t="n">
        <v>0</v>
      </c>
      <c r="Q70" s="18" t="n">
        <v>0.88089048</v>
      </c>
      <c r="R70" s="20" t="n">
        <v>0.40060212</v>
      </c>
    </row>
    <row r="71" spans="1:18">
      <c r="A71" s="15" t="s">
        <v>495</v>
      </c>
      <c r="B71" s="17" t="n">
        <v>3142</v>
      </c>
      <c r="C71" s="18">
        <f>(2758.0/B71*100)</f>
        <v/>
      </c>
      <c r="D71" s="19" t="n">
        <v>384</v>
      </c>
      <c r="E71" s="18" t="n">
        <v>13.06294869</v>
      </c>
      <c r="F71" s="20" t="n">
        <v>1.48328689</v>
      </c>
      <c r="G71" s="18" t="n">
        <v>86.22936341</v>
      </c>
      <c r="H71" s="20" t="n">
        <v>1.4695507</v>
      </c>
      <c r="I71" s="18" t="s">
        <v>431</v>
      </c>
      <c r="J71" s="20" t="s">
        <v>431</v>
      </c>
      <c r="K71" s="18" t="n">
        <v>0.7076879</v>
      </c>
      <c r="L71" s="20" t="n">
        <v>0.41747268</v>
      </c>
      <c r="M71" s="18" t="n">
        <v>0</v>
      </c>
      <c r="N71" s="20" t="n">
        <v>0</v>
      </c>
      <c r="O71" s="18" t="n">
        <v>0</v>
      </c>
      <c r="P71" s="20" t="n">
        <v>0</v>
      </c>
      <c r="Q71" s="18" t="n">
        <v>0</v>
      </c>
      <c r="R71" s="20" t="n">
        <v>0</v>
      </c>
    </row>
    <row r="72" spans="1:18">
      <c r="A72" s="15" t="s">
        <v>496</v>
      </c>
      <c r="B72" s="17" t="n">
        <v>3889</v>
      </c>
      <c r="C72" s="18">
        <f>(3402.0/B72*100)</f>
        <v/>
      </c>
      <c r="D72" s="19" t="n">
        <v>487</v>
      </c>
      <c r="E72" s="18" t="n">
        <v>12.7275187</v>
      </c>
      <c r="F72" s="20" t="n">
        <v>1.72247616</v>
      </c>
      <c r="G72" s="18" t="n">
        <v>85.48460301999999</v>
      </c>
      <c r="H72" s="20" t="n">
        <v>1.56963279</v>
      </c>
      <c r="I72" s="18" t="s">
        <v>431</v>
      </c>
      <c r="J72" s="20" t="s">
        <v>431</v>
      </c>
      <c r="K72" s="18" t="n">
        <v>0.16166453</v>
      </c>
      <c r="L72" s="20" t="n">
        <v>0.16163413</v>
      </c>
      <c r="M72" s="18" t="n">
        <v>0</v>
      </c>
      <c r="N72" s="20" t="n">
        <v>0</v>
      </c>
      <c r="O72" s="18" t="n">
        <v>0</v>
      </c>
      <c r="P72" s="20" t="n">
        <v>0</v>
      </c>
      <c r="Q72" s="18" t="n">
        <v>1.62621375</v>
      </c>
      <c r="R72" s="20" t="n">
        <v>0.59328302</v>
      </c>
    </row>
    <row r="73" spans="1:18">
      <c r="A73" s="15" t="s">
        <v>497</v>
      </c>
      <c r="B73" s="17" t="n">
        <v>3597</v>
      </c>
      <c r="C73" s="18">
        <f>(3193.0/B73*100)</f>
        <v/>
      </c>
      <c r="D73" s="19" t="n">
        <v>404</v>
      </c>
      <c r="E73" s="18" t="n">
        <v>36.2654205</v>
      </c>
      <c r="F73" s="20" t="n">
        <v>2.94230772</v>
      </c>
      <c r="G73" s="18" t="n">
        <v>62.22742842</v>
      </c>
      <c r="H73" s="20" t="n">
        <v>2.9445581</v>
      </c>
      <c r="I73" s="18" t="s">
        <v>431</v>
      </c>
      <c r="J73" s="20" t="s">
        <v>431</v>
      </c>
      <c r="K73" s="18" t="n">
        <v>0</v>
      </c>
      <c r="L73" s="20" t="n">
        <v>0</v>
      </c>
      <c r="M73" s="18" t="n">
        <v>0.6631122699999999</v>
      </c>
      <c r="N73" s="20" t="n">
        <v>0.61464112</v>
      </c>
      <c r="O73" s="18" t="n">
        <v>0</v>
      </c>
      <c r="P73" s="20" t="n">
        <v>0</v>
      </c>
      <c r="Q73" s="18" t="n">
        <v>0.84403881</v>
      </c>
      <c r="R73" s="20" t="n">
        <v>0.48555809</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(2140.0/B75*100)</f>
        <v/>
      </c>
      <c r="D75" s="19" t="n">
        <v>266</v>
      </c>
      <c r="E75" s="18" t="n">
        <v>33.0555276</v>
      </c>
      <c r="F75" s="20" t="n">
        <v>2.83944571</v>
      </c>
      <c r="G75" s="18" t="n">
        <v>46.59864209</v>
      </c>
      <c r="H75" s="20" t="n">
        <v>3.24166218</v>
      </c>
      <c r="I75" s="18" t="s">
        <v>431</v>
      </c>
      <c r="J75" s="20" t="s">
        <v>431</v>
      </c>
      <c r="K75" s="18" t="n">
        <v>3.24218989</v>
      </c>
      <c r="L75" s="20" t="n">
        <v>1.33007754</v>
      </c>
      <c r="M75" s="18" t="n">
        <v>0.84611828</v>
      </c>
      <c r="N75" s="20" t="n">
        <v>0.6083438</v>
      </c>
      <c r="O75" s="18" t="n">
        <v>0</v>
      </c>
      <c r="P75" s="20" t="n">
        <v>0</v>
      </c>
      <c r="Q75" s="18" t="n">
        <v>16.25752213</v>
      </c>
      <c r="R75" s="20" t="n">
        <v>2.63377508</v>
      </c>
    </row>
    <row r="76" spans="1:18">
      <c r="A76" s="15" t="s">
        <v>500</v>
      </c>
      <c r="B76" s="17" t="n">
        <v>7052</v>
      </c>
      <c r="C76" s="18">
        <f>(6185.0/B76*100)</f>
        <v/>
      </c>
      <c r="D76" s="19" t="n">
        <v>867</v>
      </c>
      <c r="E76" s="18" t="n">
        <v>35.99476229</v>
      </c>
      <c r="F76" s="20" t="n">
        <v>1.9107021</v>
      </c>
      <c r="G76" s="18" t="n">
        <v>58.6668026</v>
      </c>
      <c r="H76" s="20" t="n">
        <v>1.88674918</v>
      </c>
      <c r="I76" s="18" t="s">
        <v>431</v>
      </c>
      <c r="J76" s="20" t="s">
        <v>431</v>
      </c>
      <c r="K76" s="18" t="n">
        <v>0.70514827</v>
      </c>
      <c r="L76" s="20" t="n">
        <v>0.33817353</v>
      </c>
      <c r="M76" s="18" t="n">
        <v>0.17697625</v>
      </c>
      <c r="N76" s="20" t="n">
        <v>0.17599931</v>
      </c>
      <c r="O76" s="18" t="n">
        <v>0</v>
      </c>
      <c r="P76" s="20" t="n">
        <v>0</v>
      </c>
      <c r="Q76" s="18" t="n">
        <v>4.45631059</v>
      </c>
      <c r="R76" s="20" t="n">
        <v>0.88618745</v>
      </c>
    </row>
    <row r="77" spans="1:18">
      <c r="A77" s="15" t="s">
        <v>501</v>
      </c>
      <c r="B77" s="17" t="n">
        <v>2908</v>
      </c>
      <c r="C77" s="18">
        <f>(2589.0/B77*100)</f>
        <v/>
      </c>
      <c r="D77" s="19" t="n">
        <v>319</v>
      </c>
      <c r="E77" s="18" t="n">
        <v>38.81667031</v>
      </c>
      <c r="F77" s="20" t="n">
        <v>3.04093452</v>
      </c>
      <c r="G77" s="18" t="n">
        <v>52.27389556</v>
      </c>
      <c r="H77" s="20" t="n">
        <v>3.19202852</v>
      </c>
      <c r="I77" s="18" t="s">
        <v>431</v>
      </c>
      <c r="J77" s="20" t="s">
        <v>431</v>
      </c>
      <c r="K77" s="18" t="n">
        <v>2.20040591</v>
      </c>
      <c r="L77" s="20" t="n">
        <v>0.92099281</v>
      </c>
      <c r="M77" s="18" t="n">
        <v>0</v>
      </c>
      <c r="N77" s="20" t="n">
        <v>0</v>
      </c>
      <c r="O77" s="18" t="n">
        <v>0</v>
      </c>
      <c r="P77" s="20" t="n">
        <v>0</v>
      </c>
      <c r="Q77" s="18" t="n">
        <v>6.70902821</v>
      </c>
      <c r="R77" s="20" t="n">
        <v>1.79389886</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(3664.0/B81*100)</f>
        <v/>
      </c>
      <c r="D81" s="19" t="n">
        <v>499</v>
      </c>
      <c r="E81" s="18" t="n">
        <v>33.93326146</v>
      </c>
      <c r="F81" s="20" t="n">
        <v>2.80366116</v>
      </c>
      <c r="G81" s="18" t="n">
        <v>63.94822064</v>
      </c>
      <c r="H81" s="20" t="n">
        <v>2.70658747</v>
      </c>
      <c r="I81" s="18" t="s">
        <v>431</v>
      </c>
      <c r="J81" s="20" t="s">
        <v>431</v>
      </c>
      <c r="K81" s="18" t="n">
        <v>0.5141101</v>
      </c>
      <c r="L81" s="20" t="n">
        <v>0.36249762</v>
      </c>
      <c r="M81" s="18" t="n">
        <v>0</v>
      </c>
      <c r="N81" s="20" t="n">
        <v>0</v>
      </c>
      <c r="O81" s="18" t="n">
        <v>0</v>
      </c>
      <c r="P81" s="20" t="n">
        <v>0</v>
      </c>
      <c r="Q81" s="18" t="n">
        <v>1.60440779</v>
      </c>
      <c r="R81" s="20" t="n">
        <v>0.84402166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(6482.0/B7*100)</f>
        <v/>
      </c>
      <c r="D7" s="19" t="n">
        <v>885</v>
      </c>
      <c r="E7" s="18" t="n">
        <v>21.63598087</v>
      </c>
      <c r="F7" s="20" t="n">
        <v>1.70860651</v>
      </c>
      <c r="G7" s="18" t="n">
        <v>76.6197797</v>
      </c>
      <c r="H7" s="20" t="n">
        <v>1.76588951</v>
      </c>
      <c r="I7" s="18" t="s">
        <v>431</v>
      </c>
      <c r="J7" s="20" t="s">
        <v>431</v>
      </c>
      <c r="K7" s="18" t="n">
        <v>0.49876054</v>
      </c>
      <c r="L7" s="20" t="n">
        <v>0.23274048</v>
      </c>
      <c r="M7" s="18" t="n">
        <v>0.06720152</v>
      </c>
      <c r="N7" s="20" t="n">
        <v>0.03770131</v>
      </c>
      <c r="O7" s="18" t="n">
        <v>0</v>
      </c>
      <c r="P7" s="20" t="n">
        <v>0</v>
      </c>
      <c r="Q7" s="18" t="n">
        <v>1.17827736</v>
      </c>
      <c r="R7" s="20" t="n">
        <v>0.47368475</v>
      </c>
    </row>
    <row r="8" spans="1:18">
      <c r="A8" s="15" t="s">
        <v>432</v>
      </c>
      <c r="B8" s="17" t="n">
        <v>3564</v>
      </c>
      <c r="C8" s="18">
        <f>(3090.0/B8*100)</f>
        <v/>
      </c>
      <c r="D8" s="19" t="n">
        <v>474</v>
      </c>
      <c r="E8" s="18" t="n">
        <v>37.66523247</v>
      </c>
      <c r="F8" s="20" t="n">
        <v>2.37848435</v>
      </c>
      <c r="G8" s="18" t="n">
        <v>59.93956677</v>
      </c>
      <c r="H8" s="20" t="n">
        <v>2.34183131</v>
      </c>
      <c r="I8" s="18" t="s">
        <v>431</v>
      </c>
      <c r="J8" s="20" t="s">
        <v>431</v>
      </c>
      <c r="K8" s="18" t="n">
        <v>0.16833874</v>
      </c>
      <c r="L8" s="20" t="n">
        <v>0.2888955</v>
      </c>
      <c r="M8" s="18" t="n">
        <v>0</v>
      </c>
      <c r="N8" s="20" t="n">
        <v>0</v>
      </c>
      <c r="O8" s="18" t="n">
        <v>0</v>
      </c>
      <c r="P8" s="20" t="n">
        <v>0</v>
      </c>
      <c r="Q8" s="18" t="n">
        <v>2.22686202</v>
      </c>
      <c r="R8" s="20" t="n">
        <v>0.66008928</v>
      </c>
    </row>
    <row r="9" spans="1:18">
      <c r="A9" s="15" t="s">
        <v>433</v>
      </c>
      <c r="B9" s="17" t="n">
        <v>4899</v>
      </c>
      <c r="C9" s="18">
        <f>(4304.0/B9*100)</f>
        <v/>
      </c>
      <c r="D9" s="19" t="n">
        <v>595</v>
      </c>
      <c r="E9" s="18" t="n">
        <v>22.98037637</v>
      </c>
      <c r="F9" s="20" t="n">
        <v>1.90421758</v>
      </c>
      <c r="G9" s="18" t="n">
        <v>76.44068856</v>
      </c>
      <c r="H9" s="20" t="n">
        <v>1.89213487</v>
      </c>
      <c r="I9" s="18" t="s">
        <v>431</v>
      </c>
      <c r="J9" s="20" t="s">
        <v>431</v>
      </c>
      <c r="K9" s="18" t="n">
        <v>0</v>
      </c>
      <c r="L9" s="20" t="n">
        <v>0</v>
      </c>
      <c r="M9" s="18" t="n">
        <v>0.16830153</v>
      </c>
      <c r="N9" s="20" t="n">
        <v>0.16751416</v>
      </c>
      <c r="O9" s="18" t="n">
        <v>0</v>
      </c>
      <c r="P9" s="20" t="n">
        <v>0</v>
      </c>
      <c r="Q9" s="18" t="n">
        <v>0.41063354</v>
      </c>
      <c r="R9" s="20" t="n">
        <v>0.12978446</v>
      </c>
    </row>
    <row r="10" spans="1:18">
      <c r="A10" s="15" t="s">
        <v>434</v>
      </c>
      <c r="B10" s="17" t="n">
        <v>10036</v>
      </c>
      <c r="C10" s="18">
        <f>(8779.0/B10*100)</f>
        <v/>
      </c>
      <c r="D10" s="19" t="n">
        <v>1257</v>
      </c>
      <c r="E10" s="18" t="n">
        <v>19.13435508</v>
      </c>
      <c r="F10" s="20" t="n">
        <v>1.81833464</v>
      </c>
      <c r="G10" s="18" t="n">
        <v>79.65712980000001</v>
      </c>
      <c r="H10" s="20" t="n">
        <v>1.76732</v>
      </c>
      <c r="I10" s="18" t="s">
        <v>431</v>
      </c>
      <c r="J10" s="20" t="s">
        <v>431</v>
      </c>
      <c r="K10" s="18" t="n">
        <v>0.53611271</v>
      </c>
      <c r="L10" s="20" t="n">
        <v>0.31272519</v>
      </c>
      <c r="M10" s="18" t="n">
        <v>0</v>
      </c>
      <c r="N10" s="20" t="n">
        <v>0</v>
      </c>
      <c r="O10" s="18" t="n">
        <v>0</v>
      </c>
      <c r="P10" s="20" t="n">
        <v>0</v>
      </c>
      <c r="Q10" s="18" t="n">
        <v>0.67240241</v>
      </c>
      <c r="R10" s="20" t="n">
        <v>0.38097064</v>
      </c>
    </row>
    <row r="11" spans="1:18">
      <c r="A11" s="15" t="s">
        <v>435</v>
      </c>
      <c r="B11" s="17" t="n">
        <v>3553</v>
      </c>
      <c r="C11" s="18">
        <f>(3114.0/B11*100)</f>
        <v/>
      </c>
      <c r="D11" s="19" t="n">
        <v>439</v>
      </c>
      <c r="E11" s="18" t="n">
        <v>25.79068912</v>
      </c>
      <c r="F11" s="20" t="n">
        <v>2.60893453</v>
      </c>
      <c r="G11" s="18" t="n">
        <v>52.99946492</v>
      </c>
      <c r="H11" s="20" t="n">
        <v>2.9356675</v>
      </c>
      <c r="I11" s="18" t="s">
        <v>431</v>
      </c>
      <c r="J11" s="20" t="s">
        <v>431</v>
      </c>
      <c r="K11" s="18" t="n">
        <v>1.60595783</v>
      </c>
      <c r="L11" s="20" t="n">
        <v>0.83455538</v>
      </c>
      <c r="M11" s="18" t="n">
        <v>3.28788564</v>
      </c>
      <c r="N11" s="20" t="n">
        <v>2.10095375</v>
      </c>
      <c r="O11" s="18" t="n">
        <v>0</v>
      </c>
      <c r="P11" s="20" t="n">
        <v>0</v>
      </c>
      <c r="Q11" s="18" t="n">
        <v>16.31600248</v>
      </c>
      <c r="R11" s="20" t="n">
        <v>2.03896906</v>
      </c>
    </row>
    <row r="12" spans="1:18">
      <c r="A12" s="15" t="s">
        <v>436</v>
      </c>
      <c r="B12" s="17" t="n">
        <v>3472</v>
      </c>
      <c r="C12" s="18">
        <f>(3058.0/B12*100)</f>
        <v/>
      </c>
      <c r="D12" s="19" t="n">
        <v>414</v>
      </c>
      <c r="E12" s="18" t="n">
        <v>34.33267703</v>
      </c>
      <c r="F12" s="20" t="n">
        <v>2.72993921</v>
      </c>
      <c r="G12" s="18" t="n">
        <v>64.27952089</v>
      </c>
      <c r="H12" s="20" t="n">
        <v>2.69465528</v>
      </c>
      <c r="I12" s="18" t="s">
        <v>431</v>
      </c>
      <c r="J12" s="20" t="s">
        <v>431</v>
      </c>
      <c r="K12" s="18" t="n">
        <v>0</v>
      </c>
      <c r="L12" s="20" t="n">
        <v>0</v>
      </c>
      <c r="M12" s="18" t="n">
        <v>0</v>
      </c>
      <c r="N12" s="20" t="n">
        <v>0</v>
      </c>
      <c r="O12" s="18" t="n">
        <v>0</v>
      </c>
      <c r="P12" s="20" t="n">
        <v>0</v>
      </c>
      <c r="Q12" s="18" t="n">
        <v>1.38780207</v>
      </c>
      <c r="R12" s="20" t="n">
        <v>0.64740992</v>
      </c>
    </row>
    <row r="13" spans="1:18">
      <c r="A13" s="15" t="s">
        <v>437</v>
      </c>
      <c r="B13" s="17" t="n">
        <v>3559</v>
      </c>
      <c r="C13" s="18">
        <f>(3144.0/B13*100)</f>
        <v/>
      </c>
      <c r="D13" s="19" t="n">
        <v>415</v>
      </c>
      <c r="E13" s="18" t="n">
        <v>36.88267264</v>
      </c>
      <c r="F13" s="20" t="n">
        <v>2.47373341</v>
      </c>
      <c r="G13" s="18" t="n">
        <v>62.33768106</v>
      </c>
      <c r="H13" s="20" t="n">
        <v>2.50643012</v>
      </c>
      <c r="I13" s="18" t="s">
        <v>431</v>
      </c>
      <c r="J13" s="20" t="s">
        <v>431</v>
      </c>
      <c r="K13" s="18" t="n">
        <v>0.50424479</v>
      </c>
      <c r="L13" s="20" t="n">
        <v>0.35903525</v>
      </c>
      <c r="M13" s="18" t="n">
        <v>0</v>
      </c>
      <c r="N13" s="20" t="n">
        <v>0</v>
      </c>
      <c r="O13" s="18" t="n">
        <v>0</v>
      </c>
      <c r="P13" s="20" t="n">
        <v>0</v>
      </c>
      <c r="Q13" s="18" t="n">
        <v>0.27540152</v>
      </c>
      <c r="R13" s="20" t="n">
        <v>0.16137463</v>
      </c>
    </row>
    <row r="14" spans="1:18">
      <c r="A14" s="15" t="s">
        <v>438</v>
      </c>
      <c r="B14" s="17" t="n">
        <v>2799</v>
      </c>
      <c r="C14" s="18">
        <f>(2459.0/B14*100)</f>
        <v/>
      </c>
      <c r="D14" s="19" t="n">
        <v>340</v>
      </c>
      <c r="E14" s="18" t="n">
        <v>22.75328993</v>
      </c>
      <c r="F14" s="20" t="n">
        <v>2.40064975</v>
      </c>
      <c r="G14" s="18" t="n">
        <v>71.36347615</v>
      </c>
      <c r="H14" s="20" t="n">
        <v>2.65164351</v>
      </c>
      <c r="I14" s="18" t="s">
        <v>431</v>
      </c>
      <c r="J14" s="20" t="s">
        <v>431</v>
      </c>
      <c r="K14" s="18" t="n">
        <v>0</v>
      </c>
      <c r="L14" s="20" t="n">
        <v>0</v>
      </c>
      <c r="M14" s="18" t="n">
        <v>0</v>
      </c>
      <c r="N14" s="20" t="n">
        <v>0</v>
      </c>
      <c r="O14" s="18" t="n">
        <v>0</v>
      </c>
      <c r="P14" s="20" t="n">
        <v>0</v>
      </c>
      <c r="Q14" s="18" t="n">
        <v>5.88323392</v>
      </c>
      <c r="R14" s="20" t="n">
        <v>1.26052303</v>
      </c>
    </row>
    <row r="15" spans="1:18">
      <c r="A15" s="15" t="s">
        <v>439</v>
      </c>
      <c r="B15" s="17" t="n">
        <v>3019</v>
      </c>
      <c r="C15" s="18">
        <f>(2650.0/B15*100)</f>
        <v/>
      </c>
      <c r="D15" s="19" t="n">
        <v>369</v>
      </c>
      <c r="E15" s="18" t="n">
        <v>25.43145925</v>
      </c>
      <c r="F15" s="20" t="n">
        <v>2.35892894</v>
      </c>
      <c r="G15" s="18" t="n">
        <v>73.08766936000001</v>
      </c>
      <c r="H15" s="20" t="n">
        <v>2.49084059</v>
      </c>
      <c r="I15" s="18" t="s">
        <v>431</v>
      </c>
      <c r="J15" s="20" t="s">
        <v>431</v>
      </c>
      <c r="K15" s="18" t="n">
        <v>0.25178985</v>
      </c>
      <c r="L15" s="20" t="n">
        <v>0.25274237</v>
      </c>
      <c r="M15" s="18" t="n">
        <v>0</v>
      </c>
      <c r="N15" s="20" t="n">
        <v>0</v>
      </c>
      <c r="O15" s="18" t="n">
        <v>0</v>
      </c>
      <c r="P15" s="20" t="n">
        <v>0</v>
      </c>
      <c r="Q15" s="18" t="n">
        <v>1.22908154</v>
      </c>
      <c r="R15" s="20" t="n">
        <v>0.6286683</v>
      </c>
    </row>
    <row r="16" spans="1:18">
      <c r="A16" s="15" t="s">
        <v>440</v>
      </c>
      <c r="B16" s="17" t="n">
        <v>2997</v>
      </c>
      <c r="C16" s="18">
        <f>(2644.0/B16*100)</f>
        <v/>
      </c>
      <c r="D16" s="19" t="n">
        <v>353</v>
      </c>
      <c r="E16" s="18" t="n">
        <v>27.23540328</v>
      </c>
      <c r="F16" s="20" t="n">
        <v>2.1832507</v>
      </c>
      <c r="G16" s="18" t="n">
        <v>69.60187860000001</v>
      </c>
      <c r="H16" s="20" t="n">
        <v>2.66427745</v>
      </c>
      <c r="I16" s="18" t="s">
        <v>431</v>
      </c>
      <c r="J16" s="20" t="s">
        <v>431</v>
      </c>
      <c r="K16" s="18" t="n">
        <v>2.09837725</v>
      </c>
      <c r="L16" s="20" t="n">
        <v>0.8724543299999999</v>
      </c>
      <c r="M16" s="18" t="n">
        <v>0</v>
      </c>
      <c r="N16" s="20" t="n">
        <v>0</v>
      </c>
      <c r="O16" s="18" t="n">
        <v>0</v>
      </c>
      <c r="P16" s="20" t="n">
        <v>0</v>
      </c>
      <c r="Q16" s="18" t="n">
        <v>1.06434087</v>
      </c>
      <c r="R16" s="20" t="n">
        <v>0.57059469</v>
      </c>
    </row>
    <row r="17" spans="1:18">
      <c r="A17" s="15" t="s">
        <v>441</v>
      </c>
      <c r="B17" s="17" t="n">
        <v>3307</v>
      </c>
      <c r="C17" s="18">
        <f>(2910.0/B17*100)</f>
        <v/>
      </c>
      <c r="D17" s="19" t="n">
        <v>397</v>
      </c>
      <c r="E17" s="18" t="n">
        <v>28.94722726</v>
      </c>
      <c r="F17" s="20" t="n">
        <v>2.49788961</v>
      </c>
      <c r="G17" s="18" t="n">
        <v>68.30555907</v>
      </c>
      <c r="H17" s="20" t="n">
        <v>2.51827231</v>
      </c>
      <c r="I17" s="18" t="s">
        <v>431</v>
      </c>
      <c r="J17" s="20" t="s">
        <v>431</v>
      </c>
      <c r="K17" s="18" t="n">
        <v>0.6829426199999999</v>
      </c>
      <c r="L17" s="20" t="n">
        <v>0.39955141</v>
      </c>
      <c r="M17" s="18" t="n">
        <v>0</v>
      </c>
      <c r="N17" s="20" t="n">
        <v>0</v>
      </c>
      <c r="O17" s="18" t="n">
        <v>0</v>
      </c>
      <c r="P17" s="20" t="n">
        <v>0</v>
      </c>
      <c r="Q17" s="18" t="n">
        <v>2.06427105</v>
      </c>
      <c r="R17" s="20" t="n">
        <v>0.72161293</v>
      </c>
    </row>
    <row r="18" spans="1:18">
      <c r="A18" s="15" t="s">
        <v>442</v>
      </c>
      <c r="B18" s="17" t="n">
        <v>2826</v>
      </c>
      <c r="C18" s="18">
        <f>(2482.0/B18*100)</f>
        <v/>
      </c>
      <c r="D18" s="19" t="n">
        <v>344</v>
      </c>
      <c r="E18" s="18" t="n">
        <v>40.46608428</v>
      </c>
      <c r="F18" s="20" t="n">
        <v>2.60325359</v>
      </c>
      <c r="G18" s="18" t="n">
        <v>56.98610073</v>
      </c>
      <c r="H18" s="20" t="n">
        <v>2.61022999</v>
      </c>
      <c r="I18" s="18" t="s">
        <v>431</v>
      </c>
      <c r="J18" s="20" t="s">
        <v>431</v>
      </c>
      <c r="K18" s="18" t="n">
        <v>0.53336951</v>
      </c>
      <c r="L18" s="20" t="n">
        <v>0.41120682</v>
      </c>
      <c r="M18" s="18" t="n">
        <v>0.49260013</v>
      </c>
      <c r="N18" s="20" t="n">
        <v>0.48893652</v>
      </c>
      <c r="O18" s="18" t="n">
        <v>0</v>
      </c>
      <c r="P18" s="20" t="n">
        <v>0</v>
      </c>
      <c r="Q18" s="18" t="n">
        <v>1.52184534</v>
      </c>
      <c r="R18" s="20" t="n">
        <v>0.7320127</v>
      </c>
    </row>
    <row r="19" spans="1:18">
      <c r="A19" s="15" t="s">
        <v>443</v>
      </c>
      <c r="B19" s="17" t="n">
        <v>2808</v>
      </c>
      <c r="C19" s="18">
        <f>(2462.0/B19*100)</f>
        <v/>
      </c>
      <c r="D19" s="19" t="n">
        <v>346</v>
      </c>
      <c r="E19" s="18" t="n">
        <v>44.92457292</v>
      </c>
      <c r="F19" s="20" t="n">
        <v>2.68842146</v>
      </c>
      <c r="G19" s="18" t="n">
        <v>53.56220746</v>
      </c>
      <c r="H19" s="20" t="n">
        <v>2.80510903</v>
      </c>
      <c r="I19" s="18" t="s">
        <v>431</v>
      </c>
      <c r="J19" s="20" t="s">
        <v>431</v>
      </c>
      <c r="K19" s="18" t="n">
        <v>0.59628293</v>
      </c>
      <c r="L19" s="20" t="n">
        <v>0.64575976</v>
      </c>
      <c r="M19" s="18" t="n">
        <v>0</v>
      </c>
      <c r="N19" s="20" t="n">
        <v>0</v>
      </c>
      <c r="O19" s="18" t="n">
        <v>0</v>
      </c>
      <c r="P19" s="20" t="n">
        <v>0</v>
      </c>
      <c r="Q19" s="18" t="n">
        <v>0.9169367</v>
      </c>
      <c r="R19" s="20" t="n">
        <v>0.6591317</v>
      </c>
    </row>
    <row r="20" spans="1:18">
      <c r="A20" s="15" t="s">
        <v>444</v>
      </c>
      <c r="B20" s="17" t="n">
        <v>1630</v>
      </c>
      <c r="C20" s="18">
        <f>(1439.0/B20*100)</f>
        <v/>
      </c>
      <c r="D20" s="19" t="n">
        <v>191</v>
      </c>
      <c r="E20" s="18" t="n">
        <v>30.15169001</v>
      </c>
      <c r="F20" s="20" t="n">
        <v>2.98808276</v>
      </c>
      <c r="G20" s="18" t="n">
        <v>66.29390492</v>
      </c>
      <c r="H20" s="20" t="n">
        <v>2.8577795</v>
      </c>
      <c r="I20" s="18" t="s">
        <v>431</v>
      </c>
      <c r="J20" s="20" t="s">
        <v>431</v>
      </c>
      <c r="K20" s="18" t="n">
        <v>1.2260116</v>
      </c>
      <c r="L20" s="20" t="n">
        <v>0.84863447</v>
      </c>
      <c r="M20" s="18" t="n">
        <v>0.81055712</v>
      </c>
      <c r="N20" s="20" t="n">
        <v>0.57567195</v>
      </c>
      <c r="O20" s="18" t="n">
        <v>0</v>
      </c>
      <c r="P20" s="20" t="n">
        <v>0</v>
      </c>
      <c r="Q20" s="18" t="n">
        <v>1.51783636</v>
      </c>
      <c r="R20" s="20" t="n">
        <v>0.84742017</v>
      </c>
    </row>
    <row r="21" spans="1:18">
      <c r="A21" s="15" t="s">
        <v>445</v>
      </c>
      <c r="B21" s="17" t="n">
        <v>2908</v>
      </c>
      <c r="C21" s="18">
        <f>(2422.0/B21*100)</f>
        <v/>
      </c>
      <c r="D21" s="19" t="n">
        <v>486</v>
      </c>
      <c r="E21" s="18" t="n">
        <v>13.42189698</v>
      </c>
      <c r="F21" s="20" t="n">
        <v>1.62075463</v>
      </c>
      <c r="G21" s="18" t="n">
        <v>85.04852266</v>
      </c>
      <c r="H21" s="20" t="n">
        <v>1.64098887</v>
      </c>
      <c r="I21" s="18" t="s">
        <v>431</v>
      </c>
      <c r="J21" s="20" t="s">
        <v>431</v>
      </c>
      <c r="K21" s="18" t="n">
        <v>0</v>
      </c>
      <c r="L21" s="20" t="n">
        <v>0</v>
      </c>
      <c r="M21" s="18" t="n">
        <v>0</v>
      </c>
      <c r="N21" s="20" t="n">
        <v>0</v>
      </c>
      <c r="O21" s="18" t="n">
        <v>0</v>
      </c>
      <c r="P21" s="20" t="n">
        <v>0</v>
      </c>
      <c r="Q21" s="18" t="n">
        <v>1.52958036</v>
      </c>
      <c r="R21" s="20" t="n">
        <v>0.56821328</v>
      </c>
    </row>
    <row r="22" spans="1:18">
      <c r="A22" s="15" t="s">
        <v>446</v>
      </c>
      <c r="B22" s="17" t="n">
        <v>2931</v>
      </c>
      <c r="C22" s="18">
        <f>(2579.0/B22*100)</f>
        <v/>
      </c>
      <c r="D22" s="19" t="n">
        <v>352</v>
      </c>
      <c r="E22" s="18" t="n">
        <v>32.11039517</v>
      </c>
      <c r="F22" s="20" t="n">
        <v>2.75903689</v>
      </c>
      <c r="G22" s="18" t="n">
        <v>64.64996408</v>
      </c>
      <c r="H22" s="20" t="n">
        <v>2.89949474</v>
      </c>
      <c r="I22" s="18" t="s">
        <v>431</v>
      </c>
      <c r="J22" s="20" t="s">
        <v>431</v>
      </c>
      <c r="K22" s="18" t="n">
        <v>1.83633985</v>
      </c>
      <c r="L22" s="20" t="n">
        <v>0.78818661</v>
      </c>
      <c r="M22" s="18" t="n">
        <v>0</v>
      </c>
      <c r="N22" s="20" t="n">
        <v>0</v>
      </c>
      <c r="O22" s="18" t="n">
        <v>0</v>
      </c>
      <c r="P22" s="20" t="n">
        <v>0</v>
      </c>
      <c r="Q22" s="18" t="n">
        <v>1.40330091</v>
      </c>
      <c r="R22" s="20" t="n">
        <v>0.62080355</v>
      </c>
    </row>
    <row r="23" spans="1:18">
      <c r="A23" s="15" t="s">
        <v>447</v>
      </c>
      <c r="B23" s="17" t="n">
        <v>5791</v>
      </c>
      <c r="C23" s="18">
        <f>(5044.0/B23*100)</f>
        <v/>
      </c>
      <c r="D23" s="19" t="n">
        <v>747</v>
      </c>
      <c r="E23" s="18" t="n">
        <v>39.32240563</v>
      </c>
      <c r="F23" s="20" t="n">
        <v>2.77174034</v>
      </c>
      <c r="G23" s="18" t="n">
        <v>57.61602795</v>
      </c>
      <c r="H23" s="20" t="n">
        <v>2.78079247</v>
      </c>
      <c r="I23" s="18" t="s">
        <v>431</v>
      </c>
      <c r="J23" s="20" t="s">
        <v>431</v>
      </c>
      <c r="K23" s="18" t="n">
        <v>0.17898528</v>
      </c>
      <c r="L23" s="20" t="n">
        <v>0.12490671</v>
      </c>
      <c r="M23" s="18" t="n">
        <v>0.85004939</v>
      </c>
      <c r="N23" s="20" t="n">
        <v>0.38060388</v>
      </c>
      <c r="O23" s="18" t="n">
        <v>0</v>
      </c>
      <c r="P23" s="20" t="n">
        <v>0</v>
      </c>
      <c r="Q23" s="18" t="n">
        <v>2.03253175</v>
      </c>
      <c r="R23" s="20" t="n">
        <v>1.00562518</v>
      </c>
    </row>
    <row r="24" spans="1:18">
      <c r="A24" s="15" t="s">
        <v>448</v>
      </c>
      <c r="B24" s="17" t="n">
        <v>3338</v>
      </c>
      <c r="C24" s="18">
        <f>(2951.0/B24*100)</f>
        <v/>
      </c>
      <c r="D24" s="19" t="n">
        <v>387</v>
      </c>
      <c r="E24" s="18" t="n">
        <v>20.3483341</v>
      </c>
      <c r="F24" s="20" t="n">
        <v>2.06040346</v>
      </c>
      <c r="G24" s="18" t="n">
        <v>76.6530528</v>
      </c>
      <c r="H24" s="20" t="n">
        <v>2.28120785</v>
      </c>
      <c r="I24" s="18" t="s">
        <v>431</v>
      </c>
      <c r="J24" s="20" t="s">
        <v>431</v>
      </c>
      <c r="K24" s="18" t="n">
        <v>0.49404586</v>
      </c>
      <c r="L24" s="20" t="n">
        <v>0.34977137</v>
      </c>
      <c r="M24" s="18" t="n">
        <v>0</v>
      </c>
      <c r="N24" s="20" t="n">
        <v>0</v>
      </c>
      <c r="O24" s="18" t="n">
        <v>0</v>
      </c>
      <c r="P24" s="20" t="n">
        <v>0</v>
      </c>
      <c r="Q24" s="18" t="n">
        <v>2.50456723</v>
      </c>
      <c r="R24" s="20" t="n">
        <v>0.91935954</v>
      </c>
    </row>
    <row r="25" spans="1:18">
      <c r="A25" s="15" t="s">
        <v>449</v>
      </c>
      <c r="B25" s="17" t="n">
        <v>2912</v>
      </c>
      <c r="C25" s="18">
        <f>(2561.0/B25*100)</f>
        <v/>
      </c>
      <c r="D25" s="19" t="n">
        <v>351</v>
      </c>
      <c r="E25" s="18" t="n">
        <v>19.61178534</v>
      </c>
      <c r="F25" s="20" t="n">
        <v>2.27669702</v>
      </c>
      <c r="G25" s="18" t="n">
        <v>74.96093059</v>
      </c>
      <c r="H25" s="20" t="n">
        <v>2.40172798</v>
      </c>
      <c r="I25" s="18" t="s">
        <v>431</v>
      </c>
      <c r="J25" s="20" t="s">
        <v>431</v>
      </c>
      <c r="K25" s="18" t="n">
        <v>0.86251441</v>
      </c>
      <c r="L25" s="20" t="n">
        <v>0.50074527</v>
      </c>
      <c r="M25" s="18" t="n">
        <v>0</v>
      </c>
      <c r="N25" s="20" t="n">
        <v>0</v>
      </c>
      <c r="O25" s="18" t="n">
        <v>0</v>
      </c>
      <c r="P25" s="20" t="n">
        <v>0</v>
      </c>
      <c r="Q25" s="18" t="n">
        <v>4.56476966</v>
      </c>
      <c r="R25" s="20" t="n">
        <v>1.37920556</v>
      </c>
    </row>
    <row r="26" spans="1:18">
      <c r="A26" s="15" t="s">
        <v>450</v>
      </c>
      <c r="B26" s="17" t="n">
        <v>2450</v>
      </c>
      <c r="C26" s="18">
        <f>(2149.0/B26*100)</f>
        <v/>
      </c>
      <c r="D26" s="19" t="n">
        <v>301</v>
      </c>
      <c r="E26" s="18" t="n">
        <v>35.26940887</v>
      </c>
      <c r="F26" s="20" t="n">
        <v>2.75450478</v>
      </c>
      <c r="G26" s="18" t="n">
        <v>62.86540505</v>
      </c>
      <c r="H26" s="20" t="n">
        <v>2.73576078</v>
      </c>
      <c r="I26" s="18" t="s">
        <v>431</v>
      </c>
      <c r="J26" s="20" t="s">
        <v>431</v>
      </c>
      <c r="K26" s="18" t="n">
        <v>0</v>
      </c>
      <c r="L26" s="20" t="n">
        <v>0</v>
      </c>
      <c r="M26" s="18" t="n">
        <v>0.23283737</v>
      </c>
      <c r="N26" s="20" t="n">
        <v>0.2336545</v>
      </c>
      <c r="O26" s="18" t="n">
        <v>0</v>
      </c>
      <c r="P26" s="20" t="n">
        <v>0</v>
      </c>
      <c r="Q26" s="18" t="n">
        <v>1.63234871</v>
      </c>
      <c r="R26" s="20" t="n">
        <v>0.73343551</v>
      </c>
    </row>
    <row r="27" spans="1:18">
      <c r="A27" s="15" t="s">
        <v>451</v>
      </c>
      <c r="B27" s="17" t="n">
        <v>2616</v>
      </c>
      <c r="C27" s="18">
        <f>(2308.0/B27*100)</f>
        <v/>
      </c>
      <c r="D27" s="19" t="n">
        <v>308</v>
      </c>
      <c r="E27" s="18" t="n">
        <v>35.79212379</v>
      </c>
      <c r="F27" s="20" t="n">
        <v>2.95025478</v>
      </c>
      <c r="G27" s="18" t="n">
        <v>61.21808606</v>
      </c>
      <c r="H27" s="20" t="n">
        <v>2.93447413</v>
      </c>
      <c r="I27" s="18" t="s">
        <v>431</v>
      </c>
      <c r="J27" s="20" t="s">
        <v>431</v>
      </c>
      <c r="K27" s="18" t="n">
        <v>0.6630636</v>
      </c>
      <c r="L27" s="20" t="n">
        <v>0.47504862</v>
      </c>
      <c r="M27" s="18" t="n">
        <v>0</v>
      </c>
      <c r="N27" s="20" t="n">
        <v>0</v>
      </c>
      <c r="O27" s="18" t="n">
        <v>0</v>
      </c>
      <c r="P27" s="20" t="n">
        <v>0</v>
      </c>
      <c r="Q27" s="18" t="n">
        <v>2.32672655</v>
      </c>
      <c r="R27" s="20" t="n">
        <v>0.97811022</v>
      </c>
    </row>
    <row r="28" spans="1:18">
      <c r="A28" s="15" t="s">
        <v>452</v>
      </c>
      <c r="B28" s="17" t="n">
        <v>3765</v>
      </c>
      <c r="C28" s="18">
        <f>(3352.0/B28*100)</f>
        <v/>
      </c>
      <c r="D28" s="19" t="n">
        <v>413</v>
      </c>
      <c r="E28" s="18" t="n">
        <v>52.3478792</v>
      </c>
      <c r="F28" s="20" t="n">
        <v>2.81940242</v>
      </c>
      <c r="G28" s="18" t="n">
        <v>45.99745247</v>
      </c>
      <c r="H28" s="20" t="n">
        <v>2.83704082</v>
      </c>
      <c r="I28" s="18" t="s">
        <v>431</v>
      </c>
      <c r="J28" s="20" t="s">
        <v>431</v>
      </c>
      <c r="K28" s="18" t="n">
        <v>1.38007661</v>
      </c>
      <c r="L28" s="20" t="n">
        <v>0.65175154</v>
      </c>
      <c r="M28" s="18" t="n">
        <v>0</v>
      </c>
      <c r="N28" s="20" t="n">
        <v>0</v>
      </c>
      <c r="O28" s="18" t="n">
        <v>0</v>
      </c>
      <c r="P28" s="20" t="n">
        <v>0</v>
      </c>
      <c r="Q28" s="18" t="n">
        <v>0.27459171</v>
      </c>
      <c r="R28" s="20" t="n">
        <v>0.27321568</v>
      </c>
    </row>
    <row r="29" spans="1:18">
      <c r="A29" s="15" t="s">
        <v>453</v>
      </c>
      <c r="B29" s="17" t="n">
        <v>2685</v>
      </c>
      <c r="C29" s="18">
        <f>(2363.0/B29*100)</f>
        <v/>
      </c>
      <c r="D29" s="19" t="n">
        <v>322</v>
      </c>
      <c r="E29" s="18" t="n">
        <v>21.47721806</v>
      </c>
      <c r="F29" s="20" t="n">
        <v>1.98806312</v>
      </c>
      <c r="G29" s="18" t="n">
        <v>77.57876032</v>
      </c>
      <c r="H29" s="20" t="n">
        <v>2.10782828</v>
      </c>
      <c r="I29" s="18" t="s">
        <v>431</v>
      </c>
      <c r="J29" s="20" t="s">
        <v>431</v>
      </c>
      <c r="K29" s="18" t="n">
        <v>0.39799614</v>
      </c>
      <c r="L29" s="20" t="n">
        <v>0.39391798</v>
      </c>
      <c r="M29" s="18" t="n">
        <v>0</v>
      </c>
      <c r="N29" s="20" t="n">
        <v>0</v>
      </c>
      <c r="O29" s="18" t="n">
        <v>0</v>
      </c>
      <c r="P29" s="20" t="n">
        <v>0</v>
      </c>
      <c r="Q29" s="18" t="n">
        <v>0.54602549</v>
      </c>
      <c r="R29" s="20" t="n">
        <v>0.43096879</v>
      </c>
    </row>
    <row r="30" spans="1:18">
      <c r="A30" s="15" t="s">
        <v>454</v>
      </c>
      <c r="B30" s="17" t="n">
        <v>2263</v>
      </c>
      <c r="C30" s="18">
        <f>(1996.0/B30*100)</f>
        <v/>
      </c>
      <c r="D30" s="19" t="n">
        <v>267</v>
      </c>
      <c r="E30" s="18" t="n">
        <v>13.31643577</v>
      </c>
      <c r="F30" s="20" t="n">
        <v>2.49037916</v>
      </c>
      <c r="G30" s="18" t="n">
        <v>76.22670797000001</v>
      </c>
      <c r="H30" s="20" t="n">
        <v>3.01618045</v>
      </c>
      <c r="I30" s="18" t="s">
        <v>431</v>
      </c>
      <c r="J30" s="20" t="s">
        <v>431</v>
      </c>
      <c r="K30" s="18" t="n">
        <v>0.67673339</v>
      </c>
      <c r="L30" s="20" t="n">
        <v>0.48782578</v>
      </c>
      <c r="M30" s="18" t="n">
        <v>0</v>
      </c>
      <c r="N30" s="20" t="n">
        <v>0</v>
      </c>
      <c r="O30" s="18" t="n">
        <v>0</v>
      </c>
      <c r="P30" s="20" t="n">
        <v>0</v>
      </c>
      <c r="Q30" s="18" t="n">
        <v>9.780122860000001</v>
      </c>
      <c r="R30" s="20" t="n">
        <v>1.81922667</v>
      </c>
    </row>
    <row r="31" spans="1:18">
      <c r="A31" s="15" t="s">
        <v>455</v>
      </c>
      <c r="B31" s="17" t="n">
        <v>2750</v>
      </c>
      <c r="C31" s="18">
        <f>(2430.0/B31*100)</f>
        <v/>
      </c>
      <c r="D31" s="19" t="n">
        <v>320</v>
      </c>
      <c r="E31" s="18" t="n">
        <v>12.17547483</v>
      </c>
      <c r="F31" s="20" t="n">
        <v>2.11374966</v>
      </c>
      <c r="G31" s="18" t="n">
        <v>74.71528567</v>
      </c>
      <c r="H31" s="20" t="n">
        <v>2.34946698</v>
      </c>
      <c r="I31" s="18" t="s">
        <v>431</v>
      </c>
      <c r="J31" s="20" t="s">
        <v>431</v>
      </c>
      <c r="K31" s="18" t="n">
        <v>0.96476731</v>
      </c>
      <c r="L31" s="20" t="n">
        <v>0.56656638</v>
      </c>
      <c r="M31" s="18" t="n">
        <v>0</v>
      </c>
      <c r="N31" s="20" t="n">
        <v>0</v>
      </c>
      <c r="O31" s="18" t="n">
        <v>0</v>
      </c>
      <c r="P31" s="20" t="n">
        <v>0</v>
      </c>
      <c r="Q31" s="18" t="n">
        <v>12.14447219</v>
      </c>
      <c r="R31" s="20" t="n">
        <v>1.57285629</v>
      </c>
    </row>
    <row r="32" spans="1:18">
      <c r="A32" s="15" t="s">
        <v>456</v>
      </c>
      <c r="B32" s="17" t="n">
        <v>2269</v>
      </c>
      <c r="C32" s="18">
        <f>(1895.0/B32*100)</f>
        <v/>
      </c>
      <c r="D32" s="19" t="n">
        <v>374</v>
      </c>
      <c r="E32" s="18" t="n">
        <v>29.73760283</v>
      </c>
      <c r="F32" s="20" t="n">
        <v>2.58088519</v>
      </c>
      <c r="G32" s="18" t="n">
        <v>69.50290102</v>
      </c>
      <c r="H32" s="20" t="n">
        <v>2.57289279</v>
      </c>
      <c r="I32" s="18" t="s">
        <v>431</v>
      </c>
      <c r="J32" s="20" t="s">
        <v>431</v>
      </c>
      <c r="K32" s="18" t="n">
        <v>0.25671725</v>
      </c>
      <c r="L32" s="20" t="n">
        <v>0.24219836</v>
      </c>
      <c r="M32" s="18" t="n">
        <v>0.25011242</v>
      </c>
      <c r="N32" s="20" t="n">
        <v>0.24979579</v>
      </c>
      <c r="O32" s="18" t="n">
        <v>0</v>
      </c>
      <c r="P32" s="20" t="n">
        <v>0</v>
      </c>
      <c r="Q32" s="18" t="n">
        <v>0.25266648</v>
      </c>
      <c r="R32" s="20" t="n">
        <v>0.25390926</v>
      </c>
    </row>
    <row r="33" spans="1:18">
      <c r="A33" s="15" t="s">
        <v>457</v>
      </c>
      <c r="B33" s="17" t="n">
        <v>3674</v>
      </c>
      <c r="C33" s="18">
        <f>(3241.0/B33*100)</f>
        <v/>
      </c>
      <c r="D33" s="19" t="n">
        <v>433</v>
      </c>
      <c r="E33" s="18" t="n">
        <v>29.81452907</v>
      </c>
      <c r="F33" s="20" t="n">
        <v>2.52417341</v>
      </c>
      <c r="G33" s="18" t="n">
        <v>68.25661246</v>
      </c>
      <c r="H33" s="20" t="n">
        <v>2.65310655</v>
      </c>
      <c r="I33" s="18" t="s">
        <v>431</v>
      </c>
      <c r="J33" s="20" t="s">
        <v>431</v>
      </c>
      <c r="K33" s="18" t="n">
        <v>0.93689786</v>
      </c>
      <c r="L33" s="20" t="n">
        <v>0.45663962</v>
      </c>
      <c r="M33" s="18" t="n">
        <v>0</v>
      </c>
      <c r="N33" s="20" t="n">
        <v>0</v>
      </c>
      <c r="O33" s="18" t="n">
        <v>0</v>
      </c>
      <c r="P33" s="20" t="n">
        <v>0</v>
      </c>
      <c r="Q33" s="18" t="n">
        <v>0.99196062</v>
      </c>
      <c r="R33" s="20" t="n">
        <v>0.49986035</v>
      </c>
    </row>
    <row r="34" spans="1:18">
      <c r="A34" s="15" t="s">
        <v>458</v>
      </c>
      <c r="B34" s="17" t="n">
        <v>3315</v>
      </c>
      <c r="C34" s="18">
        <f>(2921.0/B34*100)</f>
        <v/>
      </c>
      <c r="D34" s="19" t="n">
        <v>394</v>
      </c>
      <c r="E34" s="18" t="n">
        <v>45.99967707</v>
      </c>
      <c r="F34" s="20" t="n">
        <v>2.6036825</v>
      </c>
      <c r="G34" s="18" t="n">
        <v>53.57466923</v>
      </c>
      <c r="H34" s="20" t="n">
        <v>2.62069619</v>
      </c>
      <c r="I34" s="18" t="s">
        <v>431</v>
      </c>
      <c r="J34" s="20" t="s">
        <v>431</v>
      </c>
      <c r="K34" s="18" t="n">
        <v>0</v>
      </c>
      <c r="L34" s="20" t="n">
        <v>0</v>
      </c>
      <c r="M34" s="18" t="n">
        <v>0.22866291</v>
      </c>
      <c r="N34" s="20" t="n">
        <v>0.2299489</v>
      </c>
      <c r="O34" s="18" t="n">
        <v>0</v>
      </c>
      <c r="P34" s="20" t="n">
        <v>0</v>
      </c>
      <c r="Q34" s="18" t="n">
        <v>0.19699079</v>
      </c>
      <c r="R34" s="20" t="n">
        <v>0.18955642</v>
      </c>
    </row>
    <row r="35" spans="1:18">
      <c r="A35" s="15" t="s">
        <v>459</v>
      </c>
      <c r="B35" s="17" t="n">
        <v>3505</v>
      </c>
      <c r="C35" s="18">
        <f>(3082.0/B35*100)</f>
        <v/>
      </c>
      <c r="D35" s="19" t="n">
        <v>423</v>
      </c>
      <c r="E35" s="18" t="n">
        <v>31.25043372</v>
      </c>
      <c r="F35" s="20" t="n">
        <v>2.71202953</v>
      </c>
      <c r="G35" s="18" t="n">
        <v>68.03726407000001</v>
      </c>
      <c r="H35" s="20" t="n">
        <v>2.6897331</v>
      </c>
      <c r="I35" s="18" t="s">
        <v>431</v>
      </c>
      <c r="J35" s="20" t="s">
        <v>431</v>
      </c>
      <c r="K35" s="18" t="n">
        <v>0</v>
      </c>
      <c r="L35" s="20" t="n">
        <v>0</v>
      </c>
      <c r="M35" s="18" t="n">
        <v>0.44501133</v>
      </c>
      <c r="N35" s="20" t="n">
        <v>0.4466762</v>
      </c>
      <c r="O35" s="18" t="n">
        <v>0</v>
      </c>
      <c r="P35" s="20" t="n">
        <v>0</v>
      </c>
      <c r="Q35" s="18" t="n">
        <v>0.26729088</v>
      </c>
      <c r="R35" s="20" t="n">
        <v>0.1940719</v>
      </c>
    </row>
    <row r="36" spans="1:18">
      <c r="A36" s="15" t="s">
        <v>460</v>
      </c>
      <c r="B36" s="17" t="n">
        <v>3332</v>
      </c>
      <c r="C36" s="18">
        <f>(2932.0/B36*100)</f>
        <v/>
      </c>
      <c r="D36" s="19" t="n">
        <v>400</v>
      </c>
      <c r="E36" s="18" t="n">
        <v>29.17933022</v>
      </c>
      <c r="F36" s="20" t="n">
        <v>2.06227405</v>
      </c>
      <c r="G36" s="18" t="n">
        <v>69.69491352</v>
      </c>
      <c r="H36" s="20" t="n">
        <v>2.15980533</v>
      </c>
      <c r="I36" s="18" t="s">
        <v>431</v>
      </c>
      <c r="J36" s="20" t="s">
        <v>431</v>
      </c>
      <c r="K36" s="18" t="n">
        <v>0.19038066</v>
      </c>
      <c r="L36" s="20" t="n">
        <v>0.18574762</v>
      </c>
      <c r="M36" s="18" t="n">
        <v>0</v>
      </c>
      <c r="N36" s="20" t="n">
        <v>0</v>
      </c>
      <c r="O36" s="18" t="n">
        <v>0</v>
      </c>
      <c r="P36" s="20" t="n">
        <v>0</v>
      </c>
      <c r="Q36" s="18" t="n">
        <v>0.93537561</v>
      </c>
      <c r="R36" s="20" t="n">
        <v>0.50353156</v>
      </c>
    </row>
    <row r="37" spans="1:18">
      <c r="A37" s="15" t="s">
        <v>461</v>
      </c>
      <c r="B37" s="17" t="n">
        <v>2727</v>
      </c>
      <c r="C37" s="18">
        <f>(2398.0/B37*100)</f>
        <v/>
      </c>
      <c r="D37" s="19" t="n">
        <v>329</v>
      </c>
      <c r="E37" s="18" t="n">
        <v>27.85464954</v>
      </c>
      <c r="F37" s="20" t="n">
        <v>2.39024989</v>
      </c>
      <c r="G37" s="18" t="n">
        <v>70.73058494999999</v>
      </c>
      <c r="H37" s="20" t="n">
        <v>2.46808667</v>
      </c>
      <c r="I37" s="18" t="s">
        <v>431</v>
      </c>
      <c r="J37" s="20" t="s">
        <v>431</v>
      </c>
      <c r="K37" s="18" t="n">
        <v>1.09903237</v>
      </c>
      <c r="L37" s="20" t="n">
        <v>0.60632498</v>
      </c>
      <c r="M37" s="18" t="n">
        <v>0</v>
      </c>
      <c r="N37" s="20" t="n">
        <v>0</v>
      </c>
      <c r="O37" s="18" t="n">
        <v>0</v>
      </c>
      <c r="P37" s="20" t="n">
        <v>0</v>
      </c>
      <c r="Q37" s="18" t="n">
        <v>0.31573314</v>
      </c>
      <c r="R37" s="20" t="n">
        <v>0.31766918</v>
      </c>
    </row>
    <row r="38" spans="1:18">
      <c r="A38" s="15" t="s">
        <v>462</v>
      </c>
      <c r="B38" s="17" t="n">
        <v>3053</v>
      </c>
      <c r="C38" s="18">
        <f>(2550.0/B38*100)</f>
        <v/>
      </c>
      <c r="D38" s="19" t="n">
        <v>503</v>
      </c>
      <c r="E38" s="18" t="n">
        <v>20.14244094</v>
      </c>
      <c r="F38" s="20" t="n">
        <v>2.30373001</v>
      </c>
      <c r="G38" s="18" t="n">
        <v>67.9754301</v>
      </c>
      <c r="H38" s="20" t="n">
        <v>2.43204259</v>
      </c>
      <c r="I38" s="18" t="s">
        <v>431</v>
      </c>
      <c r="J38" s="20" t="s">
        <v>431</v>
      </c>
      <c r="K38" s="18" t="n">
        <v>0.71817111</v>
      </c>
      <c r="L38" s="20" t="n">
        <v>0.41182846</v>
      </c>
      <c r="M38" s="18" t="n">
        <v>0</v>
      </c>
      <c r="N38" s="20" t="n">
        <v>0</v>
      </c>
      <c r="O38" s="18" t="n">
        <v>0</v>
      </c>
      <c r="P38" s="20" t="n">
        <v>0</v>
      </c>
      <c r="Q38" s="18" t="n">
        <v>11.16395785</v>
      </c>
      <c r="R38" s="20" t="n">
        <v>1.24258804</v>
      </c>
    </row>
    <row r="39" spans="1:18">
      <c r="A39" s="15" t="s">
        <v>463</v>
      </c>
      <c r="B39" s="17" t="n">
        <v>2957</v>
      </c>
      <c r="C39" s="18">
        <f>(2593.0/B39*100)</f>
        <v/>
      </c>
      <c r="D39" s="19" t="n">
        <v>364</v>
      </c>
      <c r="E39" s="18" t="n">
        <v>44.66006191</v>
      </c>
      <c r="F39" s="20" t="n">
        <v>2.6805961</v>
      </c>
      <c r="G39" s="18" t="n">
        <v>53.31387485</v>
      </c>
      <c r="H39" s="20" t="n">
        <v>2.7162303</v>
      </c>
      <c r="I39" s="18" t="s">
        <v>431</v>
      </c>
      <c r="J39" s="20" t="s">
        <v>431</v>
      </c>
      <c r="K39" s="18" t="n">
        <v>0.97663482</v>
      </c>
      <c r="L39" s="20" t="n">
        <v>0.55741628</v>
      </c>
      <c r="M39" s="18" t="n">
        <v>0.12337222</v>
      </c>
      <c r="N39" s="20" t="n">
        <v>0.08820533999999999</v>
      </c>
      <c r="O39" s="18" t="n">
        <v>0</v>
      </c>
      <c r="P39" s="20" t="n">
        <v>0</v>
      </c>
      <c r="Q39" s="18" t="n">
        <v>0.92605621</v>
      </c>
      <c r="R39" s="20" t="n">
        <v>0.46542601</v>
      </c>
    </row>
    <row r="40" spans="1:18">
      <c r="A40" s="15" t="s">
        <v>464</v>
      </c>
      <c r="B40" s="17" t="n">
        <v>7235</v>
      </c>
      <c r="C40" s="18">
        <f>(6343.0/B40*100)</f>
        <v/>
      </c>
      <c r="D40" s="19" t="n">
        <v>892</v>
      </c>
      <c r="E40" s="18" t="n">
        <v>13.37051926</v>
      </c>
      <c r="F40" s="20" t="n">
        <v>1.72026617</v>
      </c>
      <c r="G40" s="18" t="n">
        <v>84.52495782</v>
      </c>
      <c r="H40" s="20" t="n">
        <v>2.00078138</v>
      </c>
      <c r="I40" s="18" t="s">
        <v>431</v>
      </c>
      <c r="J40" s="20" t="s">
        <v>431</v>
      </c>
      <c r="K40" s="18" t="n">
        <v>0.6349566800000001</v>
      </c>
      <c r="L40" s="20" t="n">
        <v>0.34559351</v>
      </c>
      <c r="M40" s="18" t="n">
        <v>0.55785316</v>
      </c>
      <c r="N40" s="20" t="n">
        <v>0.43838986</v>
      </c>
      <c r="O40" s="18" t="n">
        <v>0</v>
      </c>
      <c r="P40" s="20" t="n">
        <v>0</v>
      </c>
      <c r="Q40" s="18" t="n">
        <v>0.91171308</v>
      </c>
      <c r="R40" s="20" t="n">
        <v>0.54690488</v>
      </c>
    </row>
    <row r="41" spans="1:18">
      <c r="A41" s="15" t="s">
        <v>465</v>
      </c>
      <c r="B41" s="17" t="n">
        <v>2858</v>
      </c>
      <c r="C41" s="18">
        <f>(2496.0/B41*100)</f>
        <v/>
      </c>
      <c r="D41" s="19" t="n">
        <v>362</v>
      </c>
      <c r="E41" s="18" t="n">
        <v>24.13716443</v>
      </c>
      <c r="F41" s="20" t="n">
        <v>2.18795699</v>
      </c>
      <c r="G41" s="18" t="n">
        <v>73.47810278999999</v>
      </c>
      <c r="H41" s="20" t="n">
        <v>2.29712213</v>
      </c>
      <c r="I41" s="18" t="s">
        <v>431</v>
      </c>
      <c r="J41" s="20" t="s">
        <v>431</v>
      </c>
      <c r="K41" s="18" t="n">
        <v>0</v>
      </c>
      <c r="L41" s="20" t="n">
        <v>0</v>
      </c>
      <c r="M41" s="18" t="n">
        <v>0</v>
      </c>
      <c r="N41" s="20" t="n">
        <v>0</v>
      </c>
      <c r="O41" s="18" t="n">
        <v>0</v>
      </c>
      <c r="P41" s="20" t="n">
        <v>0</v>
      </c>
      <c r="Q41" s="18" t="n">
        <v>2.38473278</v>
      </c>
      <c r="R41" s="20" t="n">
        <v>0.90188629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(9984.0/B46*100)</f>
        <v/>
      </c>
      <c r="D46" s="19" t="n">
        <v>1084</v>
      </c>
      <c r="E46" s="18" t="n">
        <v>35.56901651</v>
      </c>
      <c r="F46" s="20" t="n">
        <v>2.17021174</v>
      </c>
      <c r="G46" s="18" t="n">
        <v>39.866178</v>
      </c>
      <c r="H46" s="20" t="n">
        <v>2.20408518</v>
      </c>
      <c r="I46" s="18" t="s">
        <v>431</v>
      </c>
      <c r="J46" s="20" t="s">
        <v>431</v>
      </c>
      <c r="K46" s="18" t="n">
        <v>2.04472186</v>
      </c>
      <c r="L46" s="20" t="n">
        <v>0.49447422</v>
      </c>
      <c r="M46" s="18" t="n">
        <v>0.23812657</v>
      </c>
      <c r="N46" s="20" t="n">
        <v>0.15923487</v>
      </c>
      <c r="O46" s="18" t="n">
        <v>0</v>
      </c>
      <c r="P46" s="20" t="n">
        <v>0</v>
      </c>
      <c r="Q46" s="18" t="n">
        <v>22.28195706</v>
      </c>
      <c r="R46" s="20" t="n">
        <v>1.50855534</v>
      </c>
    </row>
    <row r="47" spans="1:18">
      <c r="A47" s="15" t="s">
        <v>471</v>
      </c>
      <c r="B47" s="17" t="n">
        <v>3105</v>
      </c>
      <c r="C47" s="18">
        <f>(2726.0/B47*100)</f>
        <v/>
      </c>
      <c r="D47" s="19" t="n">
        <v>379</v>
      </c>
      <c r="E47" s="18" t="n">
        <v>54.03709154</v>
      </c>
      <c r="F47" s="20" t="n">
        <v>2.53369568</v>
      </c>
      <c r="G47" s="18" t="n">
        <v>37.93444419</v>
      </c>
      <c r="H47" s="20" t="n">
        <v>2.41030103</v>
      </c>
      <c r="I47" s="18" t="s">
        <v>431</v>
      </c>
      <c r="J47" s="20" t="s">
        <v>431</v>
      </c>
      <c r="K47" s="18" t="n">
        <v>0</v>
      </c>
      <c r="L47" s="20" t="n">
        <v>0</v>
      </c>
      <c r="M47" s="18" t="n">
        <v>0</v>
      </c>
      <c r="N47" s="20" t="n">
        <v>0</v>
      </c>
      <c r="O47" s="18" t="n">
        <v>0</v>
      </c>
      <c r="P47" s="20" t="n">
        <v>0</v>
      </c>
      <c r="Q47" s="18" t="n">
        <v>8.028464270000001</v>
      </c>
      <c r="R47" s="20" t="n">
        <v>1.34670442</v>
      </c>
    </row>
    <row r="48" spans="1:18">
      <c r="A48" s="15" t="s">
        <v>472</v>
      </c>
      <c r="B48" s="17" t="n">
        <v>5159</v>
      </c>
      <c r="C48" s="18">
        <f>(4552.0/B48*100)</f>
        <v/>
      </c>
      <c r="D48" s="19" t="n">
        <v>607</v>
      </c>
      <c r="E48" s="18" t="n">
        <v>52.299871</v>
      </c>
      <c r="F48" s="20" t="n">
        <v>2.90440811</v>
      </c>
      <c r="G48" s="18" t="n">
        <v>46.18099566</v>
      </c>
      <c r="H48" s="20" t="n">
        <v>2.98971296</v>
      </c>
      <c r="I48" s="18" t="s">
        <v>431</v>
      </c>
      <c r="J48" s="20" t="s">
        <v>431</v>
      </c>
      <c r="K48" s="18" t="n">
        <v>1.25874104</v>
      </c>
      <c r="L48" s="20" t="n">
        <v>0.63826081</v>
      </c>
      <c r="M48" s="18" t="n">
        <v>0</v>
      </c>
      <c r="N48" s="20" t="n">
        <v>0</v>
      </c>
      <c r="O48" s="18" t="n">
        <v>0</v>
      </c>
      <c r="P48" s="20" t="n">
        <v>0</v>
      </c>
      <c r="Q48" s="18" t="n">
        <v>0.26039229</v>
      </c>
      <c r="R48" s="20" t="n">
        <v>0.21467617</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(4977.0/B50*100)</f>
        <v/>
      </c>
      <c r="D50" s="19" t="n">
        <v>660</v>
      </c>
      <c r="E50" s="18" t="n">
        <v>30.03271625</v>
      </c>
      <c r="F50" s="20" t="n">
        <v>2.3770459</v>
      </c>
      <c r="G50" s="18" t="n">
        <v>53.28060094</v>
      </c>
      <c r="H50" s="20" t="n">
        <v>2.71150095</v>
      </c>
      <c r="I50" s="18" t="s">
        <v>431</v>
      </c>
      <c r="J50" s="20" t="s">
        <v>431</v>
      </c>
      <c r="K50" s="18" t="n">
        <v>3.14890475</v>
      </c>
      <c r="L50" s="20" t="n">
        <v>0.93333053</v>
      </c>
      <c r="M50" s="18" t="n">
        <v>0</v>
      </c>
      <c r="N50" s="20" t="n">
        <v>0</v>
      </c>
      <c r="O50" s="18" t="n">
        <v>0</v>
      </c>
      <c r="P50" s="20" t="n">
        <v>0</v>
      </c>
      <c r="Q50" s="18" t="n">
        <v>13.53777806</v>
      </c>
      <c r="R50" s="20" t="n">
        <v>1.86153075</v>
      </c>
    </row>
    <row r="51" spans="1:18">
      <c r="A51" s="15" t="s">
        <v>475</v>
      </c>
      <c r="B51" s="17" t="n">
        <v>3372</v>
      </c>
      <c r="C51" s="18">
        <f>(3006.0/B51*100)</f>
        <v/>
      </c>
      <c r="D51" s="19" t="n">
        <v>366</v>
      </c>
      <c r="E51" s="18" t="n">
        <v>38.31112491</v>
      </c>
      <c r="F51" s="20" t="n">
        <v>2.70944284</v>
      </c>
      <c r="G51" s="18" t="n">
        <v>40.20155057</v>
      </c>
      <c r="H51" s="20" t="n">
        <v>2.8049501</v>
      </c>
      <c r="I51" s="18" t="s">
        <v>431</v>
      </c>
      <c r="J51" s="20" t="s">
        <v>431</v>
      </c>
      <c r="K51" s="18" t="n">
        <v>1.8996551</v>
      </c>
      <c r="L51" s="20" t="n">
        <v>0.85415337</v>
      </c>
      <c r="M51" s="18" t="n">
        <v>0</v>
      </c>
      <c r="N51" s="20" t="n">
        <v>0</v>
      </c>
      <c r="O51" s="18" t="n">
        <v>0</v>
      </c>
      <c r="P51" s="20" t="n">
        <v>0</v>
      </c>
      <c r="Q51" s="18" t="n">
        <v>19.58766942</v>
      </c>
      <c r="R51" s="20" t="n">
        <v>1.82743663</v>
      </c>
    </row>
    <row r="52" spans="1:18">
      <c r="A52" s="15" t="s">
        <v>476</v>
      </c>
      <c r="B52" s="17" t="n">
        <v>2796</v>
      </c>
      <c r="C52" s="18">
        <f>(2446.0/B52*100)</f>
        <v/>
      </c>
      <c r="D52" s="19" t="n">
        <v>350</v>
      </c>
      <c r="E52" s="18" t="n">
        <v>32.57166462</v>
      </c>
      <c r="F52" s="20" t="n">
        <v>2.79569583</v>
      </c>
      <c r="G52" s="18" t="n">
        <v>66.32210197000001</v>
      </c>
      <c r="H52" s="20" t="n">
        <v>2.80412718</v>
      </c>
      <c r="I52" s="18" t="s">
        <v>431</v>
      </c>
      <c r="J52" s="20" t="s">
        <v>431</v>
      </c>
      <c r="K52" s="18" t="n">
        <v>0.35874806</v>
      </c>
      <c r="L52" s="20" t="n">
        <v>0.36400774</v>
      </c>
      <c r="M52" s="18" t="n">
        <v>0</v>
      </c>
      <c r="N52" s="20" t="n">
        <v>0</v>
      </c>
      <c r="O52" s="18" t="n">
        <v>0</v>
      </c>
      <c r="P52" s="20" t="n">
        <v>0</v>
      </c>
      <c r="Q52" s="18" t="n">
        <v>0.74748535</v>
      </c>
      <c r="R52" s="20" t="n">
        <v>0.44578394</v>
      </c>
    </row>
    <row r="53" spans="1:18">
      <c r="A53" s="15" t="s">
        <v>477</v>
      </c>
      <c r="B53" s="17" t="n">
        <v>2811</v>
      </c>
      <c r="C53" s="18">
        <f>(2477.0/B53*100)</f>
        <v/>
      </c>
      <c r="D53" s="19" t="n">
        <v>334</v>
      </c>
      <c r="E53" s="18" t="n">
        <v>45.29136545</v>
      </c>
      <c r="F53" s="20" t="n">
        <v>2.32848203</v>
      </c>
      <c r="G53" s="18" t="n">
        <v>52.21228291</v>
      </c>
      <c r="H53" s="20" t="n">
        <v>2.44839031</v>
      </c>
      <c r="I53" s="18" t="s">
        <v>431</v>
      </c>
      <c r="J53" s="20" t="s">
        <v>431</v>
      </c>
      <c r="K53" s="18" t="n">
        <v>0.82450189</v>
      </c>
      <c r="L53" s="20" t="n">
        <v>0.47157742</v>
      </c>
      <c r="M53" s="18" t="n">
        <v>0</v>
      </c>
      <c r="N53" s="20" t="n">
        <v>0</v>
      </c>
      <c r="O53" s="18" t="n">
        <v>0</v>
      </c>
      <c r="P53" s="20" t="n">
        <v>0</v>
      </c>
      <c r="Q53" s="18" t="n">
        <v>1.67184976</v>
      </c>
      <c r="R53" s="20" t="n">
        <v>0.72577915</v>
      </c>
    </row>
    <row r="54" spans="1:18">
      <c r="A54" s="15" t="s">
        <v>478</v>
      </c>
      <c r="B54" s="17" t="n">
        <v>2266</v>
      </c>
      <c r="C54" s="18">
        <f>(1906.0/B54*100)</f>
        <v/>
      </c>
      <c r="D54" s="19" t="n">
        <v>360</v>
      </c>
      <c r="E54" s="18" t="n">
        <v>42.61718937</v>
      </c>
      <c r="F54" s="20" t="n">
        <v>3.1108111</v>
      </c>
      <c r="G54" s="18" t="n">
        <v>43.59463711</v>
      </c>
      <c r="H54" s="20" t="n">
        <v>2.77133501</v>
      </c>
      <c r="I54" s="18" t="s">
        <v>431</v>
      </c>
      <c r="J54" s="20" t="s">
        <v>431</v>
      </c>
      <c r="K54" s="18" t="n">
        <v>10.14876966</v>
      </c>
      <c r="L54" s="20" t="n">
        <v>1.6610999</v>
      </c>
      <c r="M54" s="18" t="n">
        <v>0.5455299</v>
      </c>
      <c r="N54" s="20" t="n">
        <v>0.37892932</v>
      </c>
      <c r="O54" s="18" t="n">
        <v>0</v>
      </c>
      <c r="P54" s="20" t="n">
        <v>0</v>
      </c>
      <c r="Q54" s="18" t="n">
        <v>3.09387396</v>
      </c>
      <c r="R54" s="20" t="n">
        <v>1.24818962</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(2338.0/B56*100)</f>
        <v/>
      </c>
      <c r="D56" s="19" t="n">
        <v>346</v>
      </c>
      <c r="E56" s="18" t="n">
        <v>21.01966847</v>
      </c>
      <c r="F56" s="20" t="n">
        <v>2.63709479</v>
      </c>
      <c r="G56" s="18" t="n">
        <v>78.36152011</v>
      </c>
      <c r="H56" s="20" t="n">
        <v>2.60976442</v>
      </c>
      <c r="I56" s="18" t="s">
        <v>431</v>
      </c>
      <c r="J56" s="20" t="s">
        <v>431</v>
      </c>
      <c r="K56" s="18" t="n">
        <v>0.37151725</v>
      </c>
      <c r="L56" s="20" t="n">
        <v>0.31630863</v>
      </c>
      <c r="M56" s="18" t="n">
        <v>0</v>
      </c>
      <c r="N56" s="20" t="n">
        <v>0</v>
      </c>
      <c r="O56" s="18" t="n">
        <v>0</v>
      </c>
      <c r="P56" s="20" t="n">
        <v>0</v>
      </c>
      <c r="Q56" s="18" t="n">
        <v>0.24729417</v>
      </c>
      <c r="R56" s="20" t="n">
        <v>0.22994998</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(2915.0/B61*100)</f>
        <v/>
      </c>
      <c r="D61" s="19" t="n">
        <v>409</v>
      </c>
      <c r="E61" s="18" t="n">
        <v>44.16505591</v>
      </c>
      <c r="F61" s="20" t="n">
        <v>2.90884991</v>
      </c>
      <c r="G61" s="18" t="n">
        <v>53.22248222</v>
      </c>
      <c r="H61" s="20" t="n">
        <v>2.83312851</v>
      </c>
      <c r="I61" s="18" t="s">
        <v>431</v>
      </c>
      <c r="J61" s="20" t="s">
        <v>431</v>
      </c>
      <c r="K61" s="18" t="n">
        <v>1.0814783</v>
      </c>
      <c r="L61" s="20" t="n">
        <v>0.26603608</v>
      </c>
      <c r="M61" s="18" t="n">
        <v>0</v>
      </c>
      <c r="N61" s="20" t="n">
        <v>0</v>
      </c>
      <c r="O61" s="18" t="n">
        <v>0</v>
      </c>
      <c r="P61" s="20" t="n">
        <v>0</v>
      </c>
      <c r="Q61" s="18" t="n">
        <v>1.53098358</v>
      </c>
      <c r="R61" s="20" t="n">
        <v>0.69005768</v>
      </c>
    </row>
    <row r="62" spans="1:18">
      <c r="A62" s="15" t="s">
        <v>486</v>
      </c>
      <c r="B62" s="17" t="n">
        <v>2246</v>
      </c>
      <c r="C62" s="18">
        <f>(1960.0/B62*100)</f>
        <v/>
      </c>
      <c r="D62" s="19" t="n">
        <v>286</v>
      </c>
      <c r="E62" s="18" t="n">
        <v>30.34372683</v>
      </c>
      <c r="F62" s="20" t="n">
        <v>2.56986476</v>
      </c>
      <c r="G62" s="18" t="n">
        <v>67.55625903000001</v>
      </c>
      <c r="H62" s="20" t="n">
        <v>2.58171074</v>
      </c>
      <c r="I62" s="18" t="s">
        <v>431</v>
      </c>
      <c r="J62" s="20" t="s">
        <v>431</v>
      </c>
      <c r="K62" s="18" t="n">
        <v>0</v>
      </c>
      <c r="L62" s="20" t="n">
        <v>0</v>
      </c>
      <c r="M62" s="18" t="n">
        <v>0</v>
      </c>
      <c r="N62" s="20" t="n">
        <v>0</v>
      </c>
      <c r="O62" s="18" t="n">
        <v>0</v>
      </c>
      <c r="P62" s="20" t="n">
        <v>0</v>
      </c>
      <c r="Q62" s="18" t="n">
        <v>2.10001414</v>
      </c>
      <c r="R62" s="20" t="n">
        <v>0.83945199</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(2531.0/B66*100)</f>
        <v/>
      </c>
      <c r="D66" s="19" t="n">
        <v>363</v>
      </c>
      <c r="E66" s="18" t="n">
        <v>18.25745085</v>
      </c>
      <c r="F66" s="20" t="n">
        <v>2.24032834</v>
      </c>
      <c r="G66" s="18" t="n">
        <v>37.80576275</v>
      </c>
      <c r="H66" s="20" t="n">
        <v>2.62756214</v>
      </c>
      <c r="I66" s="18" t="s">
        <v>431</v>
      </c>
      <c r="J66" s="20" t="s">
        <v>431</v>
      </c>
      <c r="K66" s="18" t="n">
        <v>2.27241733</v>
      </c>
      <c r="L66" s="20" t="n">
        <v>0.88248639</v>
      </c>
      <c r="M66" s="18" t="n">
        <v>0.6994105900000001</v>
      </c>
      <c r="N66" s="20" t="n">
        <v>0.5186876</v>
      </c>
      <c r="O66" s="18" t="n">
        <v>0</v>
      </c>
      <c r="P66" s="20" t="n">
        <v>0</v>
      </c>
      <c r="Q66" s="18" t="n">
        <v>40.96495848</v>
      </c>
      <c r="R66" s="20" t="n">
        <v>2.80240623</v>
      </c>
    </row>
    <row r="67" spans="1:18">
      <c r="A67" s="15" t="s">
        <v>491</v>
      </c>
      <c r="B67" s="17" t="n">
        <v>3511</v>
      </c>
      <c r="C67" s="18">
        <f>(3110.0/B67*100)</f>
        <v/>
      </c>
      <c r="D67" s="19" t="n">
        <v>401</v>
      </c>
      <c r="E67" s="18" t="n">
        <v>66.56129102</v>
      </c>
      <c r="F67" s="20" t="n">
        <v>2.26787434</v>
      </c>
      <c r="G67" s="18" t="n">
        <v>31.09098421</v>
      </c>
      <c r="H67" s="20" t="n">
        <v>2.37137661</v>
      </c>
      <c r="I67" s="18" t="s">
        <v>431</v>
      </c>
      <c r="J67" s="20" t="s">
        <v>431</v>
      </c>
      <c r="K67" s="18" t="n">
        <v>0</v>
      </c>
      <c r="L67" s="20" t="n">
        <v>0</v>
      </c>
      <c r="M67" s="18" t="n">
        <v>0.27500652</v>
      </c>
      <c r="N67" s="20" t="n">
        <v>0.27702321</v>
      </c>
      <c r="O67" s="18" t="n">
        <v>0</v>
      </c>
      <c r="P67" s="20" t="n">
        <v>0</v>
      </c>
      <c r="Q67" s="18" t="n">
        <v>2.07271825</v>
      </c>
      <c r="R67" s="20" t="n">
        <v>0.62726775</v>
      </c>
    </row>
    <row r="68" spans="1:18">
      <c r="A68" s="15" t="s">
        <v>492</v>
      </c>
      <c r="B68" s="17" t="n">
        <v>6049</v>
      </c>
      <c r="C68" s="18">
        <f>(5045.0/B68*100)</f>
        <v/>
      </c>
      <c r="D68" s="19" t="n">
        <v>1004</v>
      </c>
      <c r="E68" s="18" t="n">
        <v>61.85707769</v>
      </c>
      <c r="F68" s="20" t="n">
        <v>1.30520138</v>
      </c>
      <c r="G68" s="18" t="n">
        <v>31.74322333</v>
      </c>
      <c r="H68" s="20" t="n">
        <v>1.32458451</v>
      </c>
      <c r="I68" s="18" t="s">
        <v>431</v>
      </c>
      <c r="J68" s="20" t="s">
        <v>431</v>
      </c>
      <c r="K68" s="18" t="n">
        <v>3.84641486</v>
      </c>
      <c r="L68" s="20" t="n">
        <v>0.58698057</v>
      </c>
      <c r="M68" s="18" t="n">
        <v>0</v>
      </c>
      <c r="N68" s="20" t="n">
        <v>0</v>
      </c>
      <c r="O68" s="18" t="n">
        <v>0</v>
      </c>
      <c r="P68" s="20" t="n">
        <v>0</v>
      </c>
      <c r="Q68" s="18" t="n">
        <v>2.55328411</v>
      </c>
      <c r="R68" s="20" t="n">
        <v>0.48778662</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(2598.0/B70*100)</f>
        <v/>
      </c>
      <c r="D70" s="19" t="n">
        <v>331</v>
      </c>
      <c r="E70" s="18" t="n">
        <v>48.68043523</v>
      </c>
      <c r="F70" s="20" t="n">
        <v>3.07890311</v>
      </c>
      <c r="G70" s="18" t="n">
        <v>49.73869371</v>
      </c>
      <c r="H70" s="20" t="n">
        <v>2.96602402</v>
      </c>
      <c r="I70" s="18" t="s">
        <v>431</v>
      </c>
      <c r="J70" s="20" t="s">
        <v>431</v>
      </c>
      <c r="K70" s="18" t="n">
        <v>0.70694975</v>
      </c>
      <c r="L70" s="20" t="n">
        <v>0.41691307</v>
      </c>
      <c r="M70" s="18" t="n">
        <v>0</v>
      </c>
      <c r="N70" s="20" t="n">
        <v>0</v>
      </c>
      <c r="O70" s="18" t="n">
        <v>0</v>
      </c>
      <c r="P70" s="20" t="n">
        <v>0</v>
      </c>
      <c r="Q70" s="18" t="n">
        <v>0.87392131</v>
      </c>
      <c r="R70" s="20" t="n">
        <v>0.55395929</v>
      </c>
    </row>
    <row r="71" spans="1:18">
      <c r="A71" s="15" t="s">
        <v>495</v>
      </c>
      <c r="B71" s="17" t="n">
        <v>3142</v>
      </c>
      <c r="C71" s="18">
        <f>(2758.0/B71*100)</f>
        <v/>
      </c>
      <c r="D71" s="19" t="n">
        <v>384</v>
      </c>
      <c r="E71" s="18" t="n">
        <v>15.39100217</v>
      </c>
      <c r="F71" s="20" t="n">
        <v>1.66246018</v>
      </c>
      <c r="G71" s="18" t="n">
        <v>83.68553751</v>
      </c>
      <c r="H71" s="20" t="n">
        <v>1.81044093</v>
      </c>
      <c r="I71" s="18" t="s">
        <v>431</v>
      </c>
      <c r="J71" s="20" t="s">
        <v>431</v>
      </c>
      <c r="K71" s="18" t="n">
        <v>0.7076879</v>
      </c>
      <c r="L71" s="20" t="n">
        <v>0.41747268</v>
      </c>
      <c r="M71" s="18" t="n">
        <v>0</v>
      </c>
      <c r="N71" s="20" t="n">
        <v>0</v>
      </c>
      <c r="O71" s="18" t="n">
        <v>0</v>
      </c>
      <c r="P71" s="20" t="n">
        <v>0</v>
      </c>
      <c r="Q71" s="18" t="n">
        <v>0.21577242</v>
      </c>
      <c r="R71" s="20" t="n">
        <v>0.21692735</v>
      </c>
    </row>
    <row r="72" spans="1:18">
      <c r="A72" s="15" t="s">
        <v>496</v>
      </c>
      <c r="B72" s="17" t="n">
        <v>3889</v>
      </c>
      <c r="C72" s="18">
        <f>(3402.0/B72*100)</f>
        <v/>
      </c>
      <c r="D72" s="19" t="n">
        <v>487</v>
      </c>
      <c r="E72" s="18" t="n">
        <v>32.68729943</v>
      </c>
      <c r="F72" s="20" t="n">
        <v>2.26436156</v>
      </c>
      <c r="G72" s="18" t="n">
        <v>66.59511109</v>
      </c>
      <c r="H72" s="20" t="n">
        <v>2.21305049</v>
      </c>
      <c r="I72" s="18" t="s">
        <v>431</v>
      </c>
      <c r="J72" s="20" t="s">
        <v>431</v>
      </c>
      <c r="K72" s="18" t="n">
        <v>0.16166453</v>
      </c>
      <c r="L72" s="20" t="n">
        <v>0.16163413</v>
      </c>
      <c r="M72" s="18" t="n">
        <v>0</v>
      </c>
      <c r="N72" s="20" t="n">
        <v>0</v>
      </c>
      <c r="O72" s="18" t="n">
        <v>0</v>
      </c>
      <c r="P72" s="20" t="n">
        <v>0</v>
      </c>
      <c r="Q72" s="18" t="n">
        <v>0.55592495</v>
      </c>
      <c r="R72" s="20" t="n">
        <v>0.40674561</v>
      </c>
    </row>
    <row r="73" spans="1:18">
      <c r="A73" s="15" t="s">
        <v>497</v>
      </c>
      <c r="B73" s="17" t="n">
        <v>3597</v>
      </c>
      <c r="C73" s="18">
        <f>(3193.0/B73*100)</f>
        <v/>
      </c>
      <c r="D73" s="19" t="n">
        <v>404</v>
      </c>
      <c r="E73" s="18" t="n">
        <v>67.17891262000001</v>
      </c>
      <c r="F73" s="20" t="n">
        <v>2.46216723</v>
      </c>
      <c r="G73" s="18" t="n">
        <v>30.9429529</v>
      </c>
      <c r="H73" s="20" t="n">
        <v>2.41761683</v>
      </c>
      <c r="I73" s="18" t="s">
        <v>431</v>
      </c>
      <c r="J73" s="20" t="s">
        <v>431</v>
      </c>
      <c r="K73" s="18" t="n">
        <v>0</v>
      </c>
      <c r="L73" s="20" t="n">
        <v>0</v>
      </c>
      <c r="M73" s="18" t="n">
        <v>0.6631122699999999</v>
      </c>
      <c r="N73" s="20" t="n">
        <v>0.61464112</v>
      </c>
      <c r="O73" s="18" t="n">
        <v>0</v>
      </c>
      <c r="P73" s="20" t="n">
        <v>0</v>
      </c>
      <c r="Q73" s="18" t="n">
        <v>1.2150222</v>
      </c>
      <c r="R73" s="20" t="n">
        <v>0.35311875</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(2138.0/B75*100)</f>
        <v/>
      </c>
      <c r="D75" s="19" t="n">
        <v>268</v>
      </c>
      <c r="E75" s="18" t="n">
        <v>70.61257696</v>
      </c>
      <c r="F75" s="20" t="n">
        <v>2.83184462</v>
      </c>
      <c r="G75" s="18" t="n">
        <v>21.74716497</v>
      </c>
      <c r="H75" s="20" t="n">
        <v>2.80649135</v>
      </c>
      <c r="I75" s="18" t="s">
        <v>431</v>
      </c>
      <c r="J75" s="20" t="s">
        <v>431</v>
      </c>
      <c r="K75" s="18" t="n">
        <v>3.5545994</v>
      </c>
      <c r="L75" s="20" t="n">
        <v>1.35258232</v>
      </c>
      <c r="M75" s="18" t="n">
        <v>0.84032082</v>
      </c>
      <c r="N75" s="20" t="n">
        <v>0.6041095399999999</v>
      </c>
      <c r="O75" s="18" t="n">
        <v>0</v>
      </c>
      <c r="P75" s="20" t="n">
        <v>0</v>
      </c>
      <c r="Q75" s="18" t="n">
        <v>3.24533785</v>
      </c>
      <c r="R75" s="20" t="n">
        <v>1.14309517</v>
      </c>
    </row>
    <row r="76" spans="1:18">
      <c r="A76" s="15" t="s">
        <v>500</v>
      </c>
      <c r="B76" s="17" t="n">
        <v>7052</v>
      </c>
      <c r="C76" s="18">
        <f>(6184.0/B76*100)</f>
        <v/>
      </c>
      <c r="D76" s="19" t="n">
        <v>868</v>
      </c>
      <c r="E76" s="18" t="n">
        <v>53.6669534</v>
      </c>
      <c r="F76" s="20" t="n">
        <v>2.13049813</v>
      </c>
      <c r="G76" s="18" t="n">
        <v>43.34914058</v>
      </c>
      <c r="H76" s="20" t="n">
        <v>2.13832122</v>
      </c>
      <c r="I76" s="18" t="s">
        <v>431</v>
      </c>
      <c r="J76" s="20" t="s">
        <v>431</v>
      </c>
      <c r="K76" s="18" t="n">
        <v>0.84365988</v>
      </c>
      <c r="L76" s="20" t="n">
        <v>0.36427325</v>
      </c>
      <c r="M76" s="18" t="n">
        <v>0.17672938</v>
      </c>
      <c r="N76" s="20" t="n">
        <v>0.17575807</v>
      </c>
      <c r="O76" s="18" t="n">
        <v>0</v>
      </c>
      <c r="P76" s="20" t="n">
        <v>0</v>
      </c>
      <c r="Q76" s="18" t="n">
        <v>1.96351677</v>
      </c>
      <c r="R76" s="20" t="n">
        <v>0.70500914</v>
      </c>
    </row>
    <row r="77" spans="1:18">
      <c r="A77" s="15" t="s">
        <v>501</v>
      </c>
      <c r="B77" s="17" t="n">
        <v>2908</v>
      </c>
      <c r="C77" s="18">
        <f>(2588.0/B77*100)</f>
        <v/>
      </c>
      <c r="D77" s="19" t="n">
        <v>320</v>
      </c>
      <c r="E77" s="18" t="n">
        <v>47.4592216</v>
      </c>
      <c r="F77" s="20" t="n">
        <v>3.3640387</v>
      </c>
      <c r="G77" s="18" t="n">
        <v>47.68488406</v>
      </c>
      <c r="H77" s="20" t="n">
        <v>3.3367885</v>
      </c>
      <c r="I77" s="18" t="s">
        <v>431</v>
      </c>
      <c r="J77" s="20" t="s">
        <v>431</v>
      </c>
      <c r="K77" s="18" t="n">
        <v>2.44615586</v>
      </c>
      <c r="L77" s="20" t="n">
        <v>0.9523581</v>
      </c>
      <c r="M77" s="18" t="n">
        <v>0</v>
      </c>
      <c r="N77" s="20" t="n">
        <v>0</v>
      </c>
      <c r="O77" s="18" t="n">
        <v>0</v>
      </c>
      <c r="P77" s="20" t="n">
        <v>0</v>
      </c>
      <c r="Q77" s="18" t="n">
        <v>2.40973849</v>
      </c>
      <c r="R77" s="20" t="n">
        <v>0.90144823</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(3664.0/B81*100)</f>
        <v/>
      </c>
      <c r="D81" s="19" t="n">
        <v>499</v>
      </c>
      <c r="E81" s="18" t="n">
        <v>52.04874466</v>
      </c>
      <c r="F81" s="20" t="n">
        <v>2.42318726</v>
      </c>
      <c r="G81" s="18" t="n">
        <v>44.58626493</v>
      </c>
      <c r="H81" s="20" t="n">
        <v>2.49846199</v>
      </c>
      <c r="I81" s="18" t="s">
        <v>431</v>
      </c>
      <c r="J81" s="20" t="s">
        <v>431</v>
      </c>
      <c r="K81" s="18" t="n">
        <v>0.8334985</v>
      </c>
      <c r="L81" s="20" t="n">
        <v>0.42883182</v>
      </c>
      <c r="M81" s="18" t="n">
        <v>0</v>
      </c>
      <c r="N81" s="20" t="n">
        <v>0</v>
      </c>
      <c r="O81" s="18" t="n">
        <v>0</v>
      </c>
      <c r="P81" s="20" t="n">
        <v>0</v>
      </c>
      <c r="Q81" s="18" t="n">
        <v>2.5314919</v>
      </c>
      <c r="R81" s="20" t="n">
        <v>0.99888489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(6483.0/B7*100)</f>
        <v/>
      </c>
      <c r="D7" s="19" t="n">
        <v>884</v>
      </c>
      <c r="E7" s="18" t="n">
        <v>87.20383558</v>
      </c>
      <c r="F7" s="20" t="n">
        <v>1.41248951</v>
      </c>
      <c r="G7" s="18" t="n">
        <v>11.82761051</v>
      </c>
      <c r="H7" s="20" t="n">
        <v>1.30123555</v>
      </c>
      <c r="I7" s="18" t="s">
        <v>431</v>
      </c>
      <c r="J7" s="20" t="s">
        <v>431</v>
      </c>
      <c r="K7" s="18" t="n">
        <v>0.68796164</v>
      </c>
      <c r="L7" s="20" t="n">
        <v>0.28950576</v>
      </c>
      <c r="M7" s="18" t="n">
        <v>0</v>
      </c>
      <c r="N7" s="20" t="n">
        <v>0</v>
      </c>
      <c r="O7" s="18" t="n">
        <v>0</v>
      </c>
      <c r="P7" s="20" t="n">
        <v>0</v>
      </c>
      <c r="Q7" s="18" t="n">
        <v>0.28059227</v>
      </c>
      <c r="R7" s="20" t="n">
        <v>0.22688454</v>
      </c>
    </row>
    <row r="8" spans="1:18">
      <c r="A8" s="15" t="s">
        <v>432</v>
      </c>
      <c r="B8" s="17" t="n">
        <v>3564</v>
      </c>
      <c r="C8" s="18">
        <f>(3090.0/B8*100)</f>
        <v/>
      </c>
      <c r="D8" s="19" t="n">
        <v>474</v>
      </c>
      <c r="E8" s="18" t="n">
        <v>92.61644753</v>
      </c>
      <c r="F8" s="20" t="n">
        <v>1.58321874</v>
      </c>
      <c r="G8" s="18" t="n">
        <v>5.69613273</v>
      </c>
      <c r="H8" s="20" t="n">
        <v>1.03423615</v>
      </c>
      <c r="I8" s="18" t="s">
        <v>431</v>
      </c>
      <c r="J8" s="20" t="s">
        <v>431</v>
      </c>
      <c r="K8" s="18" t="n">
        <v>0.42347608</v>
      </c>
      <c r="L8" s="20" t="n">
        <v>0.39100981</v>
      </c>
      <c r="M8" s="18" t="n">
        <v>0</v>
      </c>
      <c r="N8" s="20" t="n">
        <v>0</v>
      </c>
      <c r="O8" s="18" t="n">
        <v>0</v>
      </c>
      <c r="P8" s="20" t="n">
        <v>0</v>
      </c>
      <c r="Q8" s="18" t="n">
        <v>1.26394366</v>
      </c>
      <c r="R8" s="20" t="n">
        <v>0.69714981</v>
      </c>
    </row>
    <row r="9" spans="1:18">
      <c r="A9" s="15" t="s">
        <v>433</v>
      </c>
      <c r="B9" s="17" t="n">
        <v>4899</v>
      </c>
      <c r="C9" s="18">
        <f>(4304.0/B9*100)</f>
        <v/>
      </c>
      <c r="D9" s="19" t="n">
        <v>595</v>
      </c>
      <c r="E9" s="18" t="n">
        <v>87.41019151</v>
      </c>
      <c r="F9" s="20" t="n">
        <v>1.50877609</v>
      </c>
      <c r="G9" s="18" t="n">
        <v>11.11628123</v>
      </c>
      <c r="H9" s="20" t="n">
        <v>1.40417197</v>
      </c>
      <c r="I9" s="18" t="s">
        <v>431</v>
      </c>
      <c r="J9" s="20" t="s">
        <v>431</v>
      </c>
      <c r="K9" s="18" t="n">
        <v>0</v>
      </c>
      <c r="L9" s="20" t="n">
        <v>0</v>
      </c>
      <c r="M9" s="18" t="n">
        <v>0</v>
      </c>
      <c r="N9" s="20" t="n">
        <v>0</v>
      </c>
      <c r="O9" s="18" t="n">
        <v>0</v>
      </c>
      <c r="P9" s="20" t="n">
        <v>0</v>
      </c>
      <c r="Q9" s="18" t="n">
        <v>1.47352727</v>
      </c>
      <c r="R9" s="20" t="n">
        <v>0.63876057</v>
      </c>
    </row>
    <row r="10" spans="1:18">
      <c r="A10" s="15" t="s">
        <v>434</v>
      </c>
      <c r="B10" s="17" t="n">
        <v>10036</v>
      </c>
      <c r="C10" s="18">
        <f>(8779.0/B10*100)</f>
        <v/>
      </c>
      <c r="D10" s="19" t="n">
        <v>1257</v>
      </c>
      <c r="E10" s="18" t="n">
        <v>85.57509729</v>
      </c>
      <c r="F10" s="20" t="n">
        <v>1.78124762</v>
      </c>
      <c r="G10" s="18" t="n">
        <v>13.50244651</v>
      </c>
      <c r="H10" s="20" t="n">
        <v>1.72159453</v>
      </c>
      <c r="I10" s="18" t="s">
        <v>431</v>
      </c>
      <c r="J10" s="20" t="s">
        <v>431</v>
      </c>
      <c r="K10" s="18" t="n">
        <v>0.6387971</v>
      </c>
      <c r="L10" s="20" t="n">
        <v>0.3285671</v>
      </c>
      <c r="M10" s="18" t="n">
        <v>0</v>
      </c>
      <c r="N10" s="20" t="n">
        <v>0</v>
      </c>
      <c r="O10" s="18" t="n">
        <v>0</v>
      </c>
      <c r="P10" s="20" t="n">
        <v>0</v>
      </c>
      <c r="Q10" s="18" t="n">
        <v>0.2836591</v>
      </c>
      <c r="R10" s="20" t="n">
        <v>0.253874</v>
      </c>
    </row>
    <row r="11" spans="1:18">
      <c r="A11" s="15" t="s">
        <v>435</v>
      </c>
      <c r="B11" s="17" t="n">
        <v>3553</v>
      </c>
      <c r="C11" s="18">
        <f>(3114.0/B11*100)</f>
        <v/>
      </c>
      <c r="D11" s="19" t="n">
        <v>439</v>
      </c>
      <c r="E11" s="18" t="n">
        <v>90.61954464999999</v>
      </c>
      <c r="F11" s="20" t="n">
        <v>2.17224791</v>
      </c>
      <c r="G11" s="18" t="n">
        <v>5.79808824</v>
      </c>
      <c r="H11" s="20" t="n">
        <v>1.51377557</v>
      </c>
      <c r="I11" s="18" t="s">
        <v>431</v>
      </c>
      <c r="J11" s="20" t="s">
        <v>431</v>
      </c>
      <c r="K11" s="18" t="n">
        <v>1.60595783</v>
      </c>
      <c r="L11" s="20" t="n">
        <v>0.83455538</v>
      </c>
      <c r="M11" s="18" t="n">
        <v>0</v>
      </c>
      <c r="N11" s="20" t="n">
        <v>0</v>
      </c>
      <c r="O11" s="18" t="n">
        <v>0</v>
      </c>
      <c r="P11" s="20" t="n">
        <v>0</v>
      </c>
      <c r="Q11" s="18" t="n">
        <v>1.97640927</v>
      </c>
      <c r="R11" s="20" t="n">
        <v>1.23114539</v>
      </c>
    </row>
    <row r="12" spans="1:18">
      <c r="A12" s="15" t="s">
        <v>436</v>
      </c>
      <c r="B12" s="17" t="n">
        <v>3472</v>
      </c>
      <c r="C12" s="18">
        <f>(3058.0/B12*100)</f>
        <v/>
      </c>
      <c r="D12" s="19" t="n">
        <v>414</v>
      </c>
      <c r="E12" s="18" t="n">
        <v>90.5877265</v>
      </c>
      <c r="F12" s="20" t="n">
        <v>1.78086208</v>
      </c>
      <c r="G12" s="18" t="n">
        <v>7.19561773</v>
      </c>
      <c r="H12" s="20" t="n">
        <v>1.62277484</v>
      </c>
      <c r="I12" s="18" t="s">
        <v>431</v>
      </c>
      <c r="J12" s="20" t="s">
        <v>431</v>
      </c>
      <c r="K12" s="18" t="n">
        <v>0</v>
      </c>
      <c r="L12" s="20" t="n">
        <v>0</v>
      </c>
      <c r="M12" s="18" t="n">
        <v>0</v>
      </c>
      <c r="N12" s="20" t="n">
        <v>0</v>
      </c>
      <c r="O12" s="18" t="n">
        <v>0</v>
      </c>
      <c r="P12" s="20" t="n">
        <v>0</v>
      </c>
      <c r="Q12" s="18" t="n">
        <v>2.21665577</v>
      </c>
      <c r="R12" s="20" t="n">
        <v>0.80355385</v>
      </c>
    </row>
    <row r="13" spans="1:18">
      <c r="A13" s="15" t="s">
        <v>437</v>
      </c>
      <c r="B13" s="17" t="n">
        <v>3559</v>
      </c>
      <c r="C13" s="18">
        <f>(3144.0/B13*100)</f>
        <v/>
      </c>
      <c r="D13" s="19" t="n">
        <v>415</v>
      </c>
      <c r="E13" s="18" t="n">
        <v>91.07868704000001</v>
      </c>
      <c r="F13" s="20" t="n">
        <v>1.9344669</v>
      </c>
      <c r="G13" s="18" t="n">
        <v>6.9076922</v>
      </c>
      <c r="H13" s="20" t="n">
        <v>1.77641028</v>
      </c>
      <c r="I13" s="18" t="s">
        <v>431</v>
      </c>
      <c r="J13" s="20" t="s">
        <v>431</v>
      </c>
      <c r="K13" s="18" t="n">
        <v>1.30571158</v>
      </c>
      <c r="L13" s="20" t="n">
        <v>0.58633529</v>
      </c>
      <c r="M13" s="18" t="n">
        <v>0</v>
      </c>
      <c r="N13" s="20" t="n">
        <v>0</v>
      </c>
      <c r="O13" s="18" t="n">
        <v>0</v>
      </c>
      <c r="P13" s="20" t="n">
        <v>0</v>
      </c>
      <c r="Q13" s="18" t="n">
        <v>0.70790918</v>
      </c>
      <c r="R13" s="20" t="n">
        <v>0.3556468</v>
      </c>
    </row>
    <row r="14" spans="1:18">
      <c r="A14" s="15" t="s">
        <v>438</v>
      </c>
      <c r="B14" s="17" t="n">
        <v>2799</v>
      </c>
      <c r="C14" s="18">
        <f>(2459.0/B14*100)</f>
        <v/>
      </c>
      <c r="D14" s="19" t="n">
        <v>340</v>
      </c>
      <c r="E14" s="18" t="n">
        <v>92.24020616</v>
      </c>
      <c r="F14" s="20" t="n">
        <v>1.76685038</v>
      </c>
      <c r="G14" s="18" t="n">
        <v>7.75979384</v>
      </c>
      <c r="H14" s="20" t="n">
        <v>1.76685038</v>
      </c>
      <c r="I14" s="18" t="s">
        <v>431</v>
      </c>
      <c r="J14" s="20" t="s">
        <v>431</v>
      </c>
      <c r="K14" s="18" t="n">
        <v>0</v>
      </c>
      <c r="L14" s="20" t="n">
        <v>0</v>
      </c>
      <c r="M14" s="18" t="n">
        <v>0</v>
      </c>
      <c r="N14" s="20" t="n">
        <v>0</v>
      </c>
      <c r="O14" s="18" t="n">
        <v>0</v>
      </c>
      <c r="P14" s="20" t="n">
        <v>0</v>
      </c>
      <c r="Q14" s="18" t="n">
        <v>0</v>
      </c>
      <c r="R14" s="20" t="n">
        <v>0</v>
      </c>
    </row>
    <row r="15" spans="1:18">
      <c r="A15" s="15" t="s">
        <v>439</v>
      </c>
      <c r="B15" s="17" t="n">
        <v>3019</v>
      </c>
      <c r="C15" s="18">
        <f>(2650.0/B15*100)</f>
        <v/>
      </c>
      <c r="D15" s="19" t="n">
        <v>369</v>
      </c>
      <c r="E15" s="18" t="n">
        <v>89.59798651</v>
      </c>
      <c r="F15" s="20" t="n">
        <v>1.61085167</v>
      </c>
      <c r="G15" s="18" t="n">
        <v>8.974411679999999</v>
      </c>
      <c r="H15" s="20" t="n">
        <v>1.43017541</v>
      </c>
      <c r="I15" s="18" t="s">
        <v>431</v>
      </c>
      <c r="J15" s="20" t="s">
        <v>431</v>
      </c>
      <c r="K15" s="18" t="n">
        <v>0.25178985</v>
      </c>
      <c r="L15" s="20" t="n">
        <v>0.25274237</v>
      </c>
      <c r="M15" s="18" t="n">
        <v>0</v>
      </c>
      <c r="N15" s="20" t="n">
        <v>0</v>
      </c>
      <c r="O15" s="18" t="n">
        <v>0</v>
      </c>
      <c r="P15" s="20" t="n">
        <v>0</v>
      </c>
      <c r="Q15" s="18" t="n">
        <v>1.17581196</v>
      </c>
      <c r="R15" s="20" t="n">
        <v>0.61623985</v>
      </c>
    </row>
    <row r="16" spans="1:18">
      <c r="A16" s="15" t="s">
        <v>440</v>
      </c>
      <c r="B16" s="17" t="n">
        <v>2997</v>
      </c>
      <c r="C16" s="18">
        <f>(2644.0/B16*100)</f>
        <v/>
      </c>
      <c r="D16" s="19" t="n">
        <v>353</v>
      </c>
      <c r="E16" s="18" t="n">
        <v>79.9412174</v>
      </c>
      <c r="F16" s="20" t="n">
        <v>2.21101879</v>
      </c>
      <c r="G16" s="18" t="n">
        <v>15.90452402</v>
      </c>
      <c r="H16" s="20" t="n">
        <v>2.03759614</v>
      </c>
      <c r="I16" s="18" t="s">
        <v>431</v>
      </c>
      <c r="J16" s="20" t="s">
        <v>431</v>
      </c>
      <c r="K16" s="18" t="n">
        <v>2.37759661</v>
      </c>
      <c r="L16" s="20" t="n">
        <v>0.9135381299999999</v>
      </c>
      <c r="M16" s="18" t="n">
        <v>0</v>
      </c>
      <c r="N16" s="20" t="n">
        <v>0</v>
      </c>
      <c r="O16" s="18" t="n">
        <v>0</v>
      </c>
      <c r="P16" s="20" t="n">
        <v>0</v>
      </c>
      <c r="Q16" s="18" t="n">
        <v>1.77666198</v>
      </c>
      <c r="R16" s="20" t="n">
        <v>0.76611596</v>
      </c>
    </row>
    <row r="17" spans="1:18">
      <c r="A17" s="15" t="s">
        <v>441</v>
      </c>
      <c r="B17" s="17" t="n">
        <v>3307</v>
      </c>
      <c r="C17" s="18">
        <f>(2910.0/B17*100)</f>
        <v/>
      </c>
      <c r="D17" s="19" t="n">
        <v>397</v>
      </c>
      <c r="E17" s="18" t="n">
        <v>90.77935393</v>
      </c>
      <c r="F17" s="20" t="n">
        <v>1.41731293</v>
      </c>
      <c r="G17" s="18" t="n">
        <v>6.07380595</v>
      </c>
      <c r="H17" s="20" t="n">
        <v>1.16116555</v>
      </c>
      <c r="I17" s="18" t="s">
        <v>431</v>
      </c>
      <c r="J17" s="20" t="s">
        <v>431</v>
      </c>
      <c r="K17" s="18" t="n">
        <v>0.6829426199999999</v>
      </c>
      <c r="L17" s="20" t="n">
        <v>0.39955141</v>
      </c>
      <c r="M17" s="18" t="n">
        <v>0</v>
      </c>
      <c r="N17" s="20" t="n">
        <v>0</v>
      </c>
      <c r="O17" s="18" t="n">
        <v>0</v>
      </c>
      <c r="P17" s="20" t="n">
        <v>0</v>
      </c>
      <c r="Q17" s="18" t="n">
        <v>2.4638975</v>
      </c>
      <c r="R17" s="20" t="n">
        <v>0.7295492099999999</v>
      </c>
    </row>
    <row r="18" spans="1:18">
      <c r="A18" s="15" t="s">
        <v>442</v>
      </c>
      <c r="B18" s="17" t="n">
        <v>2826</v>
      </c>
      <c r="C18" s="18">
        <f>(2482.0/B18*100)</f>
        <v/>
      </c>
      <c r="D18" s="19" t="n">
        <v>344</v>
      </c>
      <c r="E18" s="18" t="n">
        <v>90.09331761</v>
      </c>
      <c r="F18" s="20" t="n">
        <v>1.74831946</v>
      </c>
      <c r="G18" s="18" t="n">
        <v>7.28612628</v>
      </c>
      <c r="H18" s="20" t="n">
        <v>1.41780617</v>
      </c>
      <c r="I18" s="18" t="s">
        <v>431</v>
      </c>
      <c r="J18" s="20" t="s">
        <v>431</v>
      </c>
      <c r="K18" s="18" t="n">
        <v>1.09112664</v>
      </c>
      <c r="L18" s="20" t="n">
        <v>0.72191436</v>
      </c>
      <c r="M18" s="18" t="n">
        <v>0</v>
      </c>
      <c r="N18" s="20" t="n">
        <v>0</v>
      </c>
      <c r="O18" s="18" t="n">
        <v>0</v>
      </c>
      <c r="P18" s="20" t="n">
        <v>0</v>
      </c>
      <c r="Q18" s="18" t="n">
        <v>1.52942947</v>
      </c>
      <c r="R18" s="20" t="n">
        <v>0.90976475</v>
      </c>
    </row>
    <row r="19" spans="1:18">
      <c r="A19" s="15" t="s">
        <v>443</v>
      </c>
      <c r="B19" s="17" t="n">
        <v>2808</v>
      </c>
      <c r="C19" s="18">
        <f>(2462.0/B19*100)</f>
        <v/>
      </c>
      <c r="D19" s="19" t="n">
        <v>346</v>
      </c>
      <c r="E19" s="18" t="n">
        <v>92.44996128</v>
      </c>
      <c r="F19" s="20" t="n">
        <v>1.17027216</v>
      </c>
      <c r="G19" s="18" t="n">
        <v>6.45997004</v>
      </c>
      <c r="H19" s="20" t="n">
        <v>1.2077886</v>
      </c>
      <c r="I19" s="18" t="s">
        <v>431</v>
      </c>
      <c r="J19" s="20" t="s">
        <v>431</v>
      </c>
      <c r="K19" s="18" t="n">
        <v>0.59628293</v>
      </c>
      <c r="L19" s="20" t="n">
        <v>0.64575976</v>
      </c>
      <c r="M19" s="18" t="n">
        <v>0</v>
      </c>
      <c r="N19" s="20" t="n">
        <v>0</v>
      </c>
      <c r="O19" s="18" t="n">
        <v>0</v>
      </c>
      <c r="P19" s="20" t="n">
        <v>0</v>
      </c>
      <c r="Q19" s="18" t="n">
        <v>0.49378575</v>
      </c>
      <c r="R19" s="20" t="n">
        <v>0.31015299</v>
      </c>
    </row>
    <row r="20" spans="1:18">
      <c r="A20" s="15" t="s">
        <v>444</v>
      </c>
      <c r="B20" s="17" t="n">
        <v>1630</v>
      </c>
      <c r="C20" s="18">
        <f>(1439.0/B20*100)</f>
        <v/>
      </c>
      <c r="D20" s="19" t="n">
        <v>191</v>
      </c>
      <c r="E20" s="18" t="n">
        <v>92.20022165</v>
      </c>
      <c r="F20" s="20" t="n">
        <v>2.09576371</v>
      </c>
      <c r="G20" s="18" t="n">
        <v>5.0233979</v>
      </c>
      <c r="H20" s="20" t="n">
        <v>1.61073426</v>
      </c>
      <c r="I20" s="18" t="s">
        <v>431</v>
      </c>
      <c r="J20" s="20" t="s">
        <v>431</v>
      </c>
      <c r="K20" s="18" t="n">
        <v>1.74119147</v>
      </c>
      <c r="L20" s="20" t="n">
        <v>0.97096902</v>
      </c>
      <c r="M20" s="18" t="n">
        <v>0</v>
      </c>
      <c r="N20" s="20" t="n">
        <v>0</v>
      </c>
      <c r="O20" s="18" t="n">
        <v>0</v>
      </c>
      <c r="P20" s="20" t="n">
        <v>0</v>
      </c>
      <c r="Q20" s="18" t="n">
        <v>1.03518898</v>
      </c>
      <c r="R20" s="20" t="n">
        <v>0.71419934</v>
      </c>
    </row>
    <row r="21" spans="1:18">
      <c r="A21" s="15" t="s">
        <v>445</v>
      </c>
      <c r="B21" s="17" t="n">
        <v>2908</v>
      </c>
      <c r="C21" s="18">
        <f>(2422.0/B21*100)</f>
        <v/>
      </c>
      <c r="D21" s="19" t="n">
        <v>486</v>
      </c>
      <c r="E21" s="18" t="n">
        <v>87.1950811</v>
      </c>
      <c r="F21" s="20" t="n">
        <v>1.57189916</v>
      </c>
      <c r="G21" s="18" t="n">
        <v>12.32169904</v>
      </c>
      <c r="H21" s="20" t="n">
        <v>1.46783211</v>
      </c>
      <c r="I21" s="18" t="s">
        <v>431</v>
      </c>
      <c r="J21" s="20" t="s">
        <v>431</v>
      </c>
      <c r="K21" s="18" t="n">
        <v>0</v>
      </c>
      <c r="L21" s="20" t="n">
        <v>0</v>
      </c>
      <c r="M21" s="18" t="n">
        <v>0</v>
      </c>
      <c r="N21" s="20" t="n">
        <v>0</v>
      </c>
      <c r="O21" s="18" t="n">
        <v>0</v>
      </c>
      <c r="P21" s="20" t="n">
        <v>0</v>
      </c>
      <c r="Q21" s="18" t="n">
        <v>0.48321986</v>
      </c>
      <c r="R21" s="20" t="n">
        <v>0.3963029</v>
      </c>
    </row>
    <row r="22" spans="1:18">
      <c r="A22" s="15" t="s">
        <v>446</v>
      </c>
      <c r="B22" s="17" t="n">
        <v>2931</v>
      </c>
      <c r="C22" s="18">
        <f>(2579.0/B22*100)</f>
        <v/>
      </c>
      <c r="D22" s="19" t="n">
        <v>352</v>
      </c>
      <c r="E22" s="18" t="n">
        <v>85.67940828</v>
      </c>
      <c r="F22" s="20" t="n">
        <v>1.92917551</v>
      </c>
      <c r="G22" s="18" t="n">
        <v>11.06920332</v>
      </c>
      <c r="H22" s="20" t="n">
        <v>1.72549296</v>
      </c>
      <c r="I22" s="18" t="s">
        <v>431</v>
      </c>
      <c r="J22" s="20" t="s">
        <v>431</v>
      </c>
      <c r="K22" s="18" t="n">
        <v>2.512106</v>
      </c>
      <c r="L22" s="20" t="n">
        <v>0.85624414</v>
      </c>
      <c r="M22" s="18" t="n">
        <v>0</v>
      </c>
      <c r="N22" s="20" t="n">
        <v>0</v>
      </c>
      <c r="O22" s="18" t="n">
        <v>0</v>
      </c>
      <c r="P22" s="20" t="n">
        <v>0</v>
      </c>
      <c r="Q22" s="18" t="n">
        <v>0.73928239</v>
      </c>
      <c r="R22" s="20" t="n">
        <v>0.42602987</v>
      </c>
    </row>
    <row r="23" spans="1:18">
      <c r="A23" s="15" t="s">
        <v>447</v>
      </c>
      <c r="B23" s="17" t="n">
        <v>5791</v>
      </c>
      <c r="C23" s="18">
        <f>(5044.0/B23*100)</f>
        <v/>
      </c>
      <c r="D23" s="19" t="n">
        <v>747</v>
      </c>
      <c r="E23" s="18" t="n">
        <v>87.33280114</v>
      </c>
      <c r="F23" s="20" t="n">
        <v>1.74027324</v>
      </c>
      <c r="G23" s="18" t="n">
        <v>8.312524010000001</v>
      </c>
      <c r="H23" s="20" t="n">
        <v>1.15592149</v>
      </c>
      <c r="I23" s="18" t="s">
        <v>431</v>
      </c>
      <c r="J23" s="20" t="s">
        <v>431</v>
      </c>
      <c r="K23" s="18" t="n">
        <v>0.31428389</v>
      </c>
      <c r="L23" s="20" t="n">
        <v>0.18824037</v>
      </c>
      <c r="M23" s="18" t="n">
        <v>0</v>
      </c>
      <c r="N23" s="20" t="n">
        <v>0</v>
      </c>
      <c r="O23" s="18" t="n">
        <v>0</v>
      </c>
      <c r="P23" s="20" t="n">
        <v>0</v>
      </c>
      <c r="Q23" s="18" t="n">
        <v>4.04039095</v>
      </c>
      <c r="R23" s="20" t="n">
        <v>1.31533092</v>
      </c>
    </row>
    <row r="24" spans="1:18">
      <c r="A24" s="15" t="s">
        <v>448</v>
      </c>
      <c r="B24" s="17" t="n">
        <v>3338</v>
      </c>
      <c r="C24" s="18">
        <f>(2951.0/B24*100)</f>
        <v/>
      </c>
      <c r="D24" s="19" t="n">
        <v>387</v>
      </c>
      <c r="E24" s="18" t="n">
        <v>83.78423011</v>
      </c>
      <c r="F24" s="20" t="n">
        <v>1.74396086</v>
      </c>
      <c r="G24" s="18" t="n">
        <v>15.49231568</v>
      </c>
      <c r="H24" s="20" t="n">
        <v>1.6632675</v>
      </c>
      <c r="I24" s="18" t="s">
        <v>431</v>
      </c>
      <c r="J24" s="20" t="s">
        <v>431</v>
      </c>
      <c r="K24" s="18" t="n">
        <v>0.49404586</v>
      </c>
      <c r="L24" s="20" t="n">
        <v>0.34977137</v>
      </c>
      <c r="M24" s="18" t="n">
        <v>0</v>
      </c>
      <c r="N24" s="20" t="n">
        <v>0</v>
      </c>
      <c r="O24" s="18" t="n">
        <v>0</v>
      </c>
      <c r="P24" s="20" t="n">
        <v>0</v>
      </c>
      <c r="Q24" s="18" t="n">
        <v>0.22940835</v>
      </c>
      <c r="R24" s="20" t="n">
        <v>0.22992283</v>
      </c>
    </row>
    <row r="25" spans="1:18">
      <c r="A25" s="15" t="s">
        <v>449</v>
      </c>
      <c r="B25" s="17" t="n">
        <v>2912</v>
      </c>
      <c r="C25" s="18">
        <f>(2561.0/B25*100)</f>
        <v/>
      </c>
      <c r="D25" s="19" t="n">
        <v>351</v>
      </c>
      <c r="E25" s="18" t="n">
        <v>93.2720238</v>
      </c>
      <c r="F25" s="20" t="n">
        <v>1.36518561</v>
      </c>
      <c r="G25" s="18" t="n">
        <v>5.09084664</v>
      </c>
      <c r="H25" s="20" t="n">
        <v>1.21884119</v>
      </c>
      <c r="I25" s="18" t="s">
        <v>431</v>
      </c>
      <c r="J25" s="20" t="s">
        <v>431</v>
      </c>
      <c r="K25" s="18" t="n">
        <v>0.86251441</v>
      </c>
      <c r="L25" s="20" t="n">
        <v>0.50074527</v>
      </c>
      <c r="M25" s="18" t="n">
        <v>0</v>
      </c>
      <c r="N25" s="20" t="n">
        <v>0</v>
      </c>
      <c r="O25" s="18" t="n">
        <v>0</v>
      </c>
      <c r="P25" s="20" t="n">
        <v>0</v>
      </c>
      <c r="Q25" s="18" t="n">
        <v>0.77461515</v>
      </c>
      <c r="R25" s="20" t="n">
        <v>0.46568155</v>
      </c>
    </row>
    <row r="26" spans="1:18">
      <c r="A26" s="15" t="s">
        <v>450</v>
      </c>
      <c r="B26" s="17" t="n">
        <v>2450</v>
      </c>
      <c r="C26" s="18">
        <f>(2149.0/B26*100)</f>
        <v/>
      </c>
      <c r="D26" s="19" t="n">
        <v>301</v>
      </c>
      <c r="E26" s="18" t="n">
        <v>94.26179922999999</v>
      </c>
      <c r="F26" s="20" t="n">
        <v>1.48054832</v>
      </c>
      <c r="G26" s="18" t="n">
        <v>5.24019022</v>
      </c>
      <c r="H26" s="20" t="n">
        <v>1.44602202</v>
      </c>
      <c r="I26" s="18" t="s">
        <v>431</v>
      </c>
      <c r="J26" s="20" t="s">
        <v>431</v>
      </c>
      <c r="K26" s="18" t="n">
        <v>0</v>
      </c>
      <c r="L26" s="20" t="n">
        <v>0</v>
      </c>
      <c r="M26" s="18" t="n">
        <v>0</v>
      </c>
      <c r="N26" s="20" t="n">
        <v>0</v>
      </c>
      <c r="O26" s="18" t="n">
        <v>0</v>
      </c>
      <c r="P26" s="20" t="n">
        <v>0</v>
      </c>
      <c r="Q26" s="18" t="n">
        <v>0.49801056</v>
      </c>
      <c r="R26" s="20" t="n">
        <v>0.35706394</v>
      </c>
    </row>
    <row r="27" spans="1:18">
      <c r="A27" s="15" t="s">
        <v>451</v>
      </c>
      <c r="B27" s="17" t="n">
        <v>2616</v>
      </c>
      <c r="C27" s="18">
        <f>(2307.0/B27*100)</f>
        <v/>
      </c>
      <c r="D27" s="19" t="n">
        <v>309</v>
      </c>
      <c r="E27" s="18" t="n">
        <v>87.98709767</v>
      </c>
      <c r="F27" s="20" t="n">
        <v>1.7577003</v>
      </c>
      <c r="G27" s="18" t="n">
        <v>8.7490475</v>
      </c>
      <c r="H27" s="20" t="n">
        <v>1.52612595</v>
      </c>
      <c r="I27" s="18" t="s">
        <v>431</v>
      </c>
      <c r="J27" s="20" t="s">
        <v>431</v>
      </c>
      <c r="K27" s="18" t="n">
        <v>1.30834027</v>
      </c>
      <c r="L27" s="20" t="n">
        <v>0.62066353</v>
      </c>
      <c r="M27" s="18" t="n">
        <v>0</v>
      </c>
      <c r="N27" s="20" t="n">
        <v>0</v>
      </c>
      <c r="O27" s="18" t="n">
        <v>0</v>
      </c>
      <c r="P27" s="20" t="n">
        <v>0</v>
      </c>
      <c r="Q27" s="18" t="n">
        <v>1.95551456</v>
      </c>
      <c r="R27" s="20" t="n">
        <v>0.64209907</v>
      </c>
    </row>
    <row r="28" spans="1:18">
      <c r="A28" s="15" t="s">
        <v>452</v>
      </c>
      <c r="B28" s="17" t="n">
        <v>3765</v>
      </c>
      <c r="C28" s="18">
        <f>(3352.0/B28*100)</f>
        <v/>
      </c>
      <c r="D28" s="19" t="n">
        <v>413</v>
      </c>
      <c r="E28" s="18" t="n">
        <v>95.69892063</v>
      </c>
      <c r="F28" s="20" t="n">
        <v>1.14806931</v>
      </c>
      <c r="G28" s="18" t="n">
        <v>1.32368494</v>
      </c>
      <c r="H28" s="20" t="n">
        <v>0.45274958</v>
      </c>
      <c r="I28" s="18" t="s">
        <v>431</v>
      </c>
      <c r="J28" s="20" t="s">
        <v>431</v>
      </c>
      <c r="K28" s="18" t="n">
        <v>1.38007661</v>
      </c>
      <c r="L28" s="20" t="n">
        <v>0.65175154</v>
      </c>
      <c r="M28" s="18" t="n">
        <v>0</v>
      </c>
      <c r="N28" s="20" t="n">
        <v>0</v>
      </c>
      <c r="O28" s="18" t="n">
        <v>0</v>
      </c>
      <c r="P28" s="20" t="n">
        <v>0</v>
      </c>
      <c r="Q28" s="18" t="n">
        <v>1.59731782</v>
      </c>
      <c r="R28" s="20" t="n">
        <v>0.8318922</v>
      </c>
    </row>
    <row r="29" spans="1:18">
      <c r="A29" s="15" t="s">
        <v>453</v>
      </c>
      <c r="B29" s="17" t="n">
        <v>2685</v>
      </c>
      <c r="C29" s="18">
        <f>(2363.0/B29*100)</f>
        <v/>
      </c>
      <c r="D29" s="19" t="n">
        <v>322</v>
      </c>
      <c r="E29" s="18" t="n">
        <v>90.73508927</v>
      </c>
      <c r="F29" s="20" t="n">
        <v>1.82586412</v>
      </c>
      <c r="G29" s="18" t="n">
        <v>8.5451827</v>
      </c>
      <c r="H29" s="20" t="n">
        <v>1.74874215</v>
      </c>
      <c r="I29" s="18" t="s">
        <v>431</v>
      </c>
      <c r="J29" s="20" t="s">
        <v>431</v>
      </c>
      <c r="K29" s="18" t="n">
        <v>0.39799614</v>
      </c>
      <c r="L29" s="20" t="n">
        <v>0.39391798</v>
      </c>
      <c r="M29" s="18" t="n">
        <v>0</v>
      </c>
      <c r="N29" s="20" t="n">
        <v>0</v>
      </c>
      <c r="O29" s="18" t="n">
        <v>0</v>
      </c>
      <c r="P29" s="20" t="n">
        <v>0</v>
      </c>
      <c r="Q29" s="18" t="n">
        <v>0.3217319</v>
      </c>
      <c r="R29" s="20" t="n">
        <v>0.33900445</v>
      </c>
    </row>
    <row r="30" spans="1:18">
      <c r="A30" s="15" t="s">
        <v>454</v>
      </c>
      <c r="B30" s="17" t="n">
        <v>2263</v>
      </c>
      <c r="C30" s="18">
        <f>(1996.0/B30*100)</f>
        <v/>
      </c>
      <c r="D30" s="19" t="n">
        <v>267</v>
      </c>
      <c r="E30" s="18" t="n">
        <v>84.67562384</v>
      </c>
      <c r="F30" s="20" t="n">
        <v>2.12347963</v>
      </c>
      <c r="G30" s="18" t="n">
        <v>12.22267564</v>
      </c>
      <c r="H30" s="20" t="n">
        <v>1.98953852</v>
      </c>
      <c r="I30" s="18" t="s">
        <v>431</v>
      </c>
      <c r="J30" s="20" t="s">
        <v>431</v>
      </c>
      <c r="K30" s="18" t="n">
        <v>0.67673339</v>
      </c>
      <c r="L30" s="20" t="n">
        <v>0.48782578</v>
      </c>
      <c r="M30" s="18" t="n">
        <v>0</v>
      </c>
      <c r="N30" s="20" t="n">
        <v>0</v>
      </c>
      <c r="O30" s="18" t="n">
        <v>0</v>
      </c>
      <c r="P30" s="20" t="n">
        <v>0</v>
      </c>
      <c r="Q30" s="18" t="n">
        <v>2.42496713</v>
      </c>
      <c r="R30" s="20" t="n">
        <v>0.9375036</v>
      </c>
    </row>
    <row r="31" spans="1:18">
      <c r="A31" s="15" t="s">
        <v>455</v>
      </c>
      <c r="B31" s="17" t="n">
        <v>2750</v>
      </c>
      <c r="C31" s="18">
        <f>(2430.0/B31*100)</f>
        <v/>
      </c>
      <c r="D31" s="19" t="n">
        <v>320</v>
      </c>
      <c r="E31" s="18" t="n">
        <v>85.07658626</v>
      </c>
      <c r="F31" s="20" t="n">
        <v>2.07849666</v>
      </c>
      <c r="G31" s="18" t="n">
        <v>13.04550032</v>
      </c>
      <c r="H31" s="20" t="n">
        <v>1.97521811</v>
      </c>
      <c r="I31" s="18" t="s">
        <v>431</v>
      </c>
      <c r="J31" s="20" t="s">
        <v>431</v>
      </c>
      <c r="K31" s="18" t="n">
        <v>0.96476731</v>
      </c>
      <c r="L31" s="20" t="n">
        <v>0.56656638</v>
      </c>
      <c r="M31" s="18" t="n">
        <v>0</v>
      </c>
      <c r="N31" s="20" t="n">
        <v>0</v>
      </c>
      <c r="O31" s="18" t="n">
        <v>0</v>
      </c>
      <c r="P31" s="20" t="n">
        <v>0</v>
      </c>
      <c r="Q31" s="18" t="n">
        <v>0.9131461</v>
      </c>
      <c r="R31" s="20" t="n">
        <v>0.50391697</v>
      </c>
    </row>
    <row r="32" spans="1:18">
      <c r="A32" s="15" t="s">
        <v>456</v>
      </c>
      <c r="B32" s="17" t="n">
        <v>2269</v>
      </c>
      <c r="C32" s="18">
        <f>(1895.0/B32*100)</f>
        <v/>
      </c>
      <c r="D32" s="19" t="n">
        <v>374</v>
      </c>
      <c r="E32" s="18" t="n">
        <v>93.68438101</v>
      </c>
      <c r="F32" s="20" t="n">
        <v>1.32267642</v>
      </c>
      <c r="G32" s="18" t="n">
        <v>5.37118524</v>
      </c>
      <c r="H32" s="20" t="n">
        <v>1.25042846</v>
      </c>
      <c r="I32" s="18" t="s">
        <v>431</v>
      </c>
      <c r="J32" s="20" t="s">
        <v>431</v>
      </c>
      <c r="K32" s="18" t="n">
        <v>0.25671725</v>
      </c>
      <c r="L32" s="20" t="n">
        <v>0.24219836</v>
      </c>
      <c r="M32" s="18" t="n">
        <v>0</v>
      </c>
      <c r="N32" s="20" t="n">
        <v>0</v>
      </c>
      <c r="O32" s="18" t="n">
        <v>0</v>
      </c>
      <c r="P32" s="20" t="n">
        <v>0</v>
      </c>
      <c r="Q32" s="18" t="n">
        <v>0.6877165</v>
      </c>
      <c r="R32" s="20" t="n">
        <v>0.50689411</v>
      </c>
    </row>
    <row r="33" spans="1:18">
      <c r="A33" s="15" t="s">
        <v>457</v>
      </c>
      <c r="B33" s="17" t="n">
        <v>3674</v>
      </c>
      <c r="C33" s="18">
        <f>(3240.0/B33*100)</f>
        <v/>
      </c>
      <c r="D33" s="19" t="n">
        <v>434</v>
      </c>
      <c r="E33" s="18" t="n">
        <v>89.61426165</v>
      </c>
      <c r="F33" s="20" t="n">
        <v>1.93510343</v>
      </c>
      <c r="G33" s="18" t="n">
        <v>8.993124269999999</v>
      </c>
      <c r="H33" s="20" t="n">
        <v>1.82125565</v>
      </c>
      <c r="I33" s="18" t="s">
        <v>431</v>
      </c>
      <c r="J33" s="20" t="s">
        <v>431</v>
      </c>
      <c r="K33" s="18" t="n">
        <v>0.93417454</v>
      </c>
      <c r="L33" s="20" t="n">
        <v>0.45541135</v>
      </c>
      <c r="M33" s="18" t="n">
        <v>0</v>
      </c>
      <c r="N33" s="20" t="n">
        <v>0</v>
      </c>
      <c r="O33" s="18" t="n">
        <v>0</v>
      </c>
      <c r="P33" s="20" t="n">
        <v>0</v>
      </c>
      <c r="Q33" s="18" t="n">
        <v>0.45843954</v>
      </c>
      <c r="R33" s="20" t="n">
        <v>0.39807923</v>
      </c>
    </row>
    <row r="34" spans="1:18">
      <c r="A34" s="15" t="s">
        <v>458</v>
      </c>
      <c r="B34" s="17" t="n">
        <v>3315</v>
      </c>
      <c r="C34" s="18">
        <f>(2921.0/B34*100)</f>
        <v/>
      </c>
      <c r="D34" s="19" t="n">
        <v>394</v>
      </c>
      <c r="E34" s="18" t="n">
        <v>94.17883930000001</v>
      </c>
      <c r="F34" s="20" t="n">
        <v>1.33715423</v>
      </c>
      <c r="G34" s="18" t="n">
        <v>4.53676493</v>
      </c>
      <c r="H34" s="20" t="n">
        <v>1.09534391</v>
      </c>
      <c r="I34" s="18" t="s">
        <v>431</v>
      </c>
      <c r="J34" s="20" t="s">
        <v>431</v>
      </c>
      <c r="K34" s="18" t="n">
        <v>0.31051843</v>
      </c>
      <c r="L34" s="20" t="n">
        <v>0.51534585</v>
      </c>
      <c r="M34" s="18" t="n">
        <v>0</v>
      </c>
      <c r="N34" s="20" t="n">
        <v>0</v>
      </c>
      <c r="O34" s="18" t="n">
        <v>0</v>
      </c>
      <c r="P34" s="20" t="n">
        <v>0</v>
      </c>
      <c r="Q34" s="18" t="n">
        <v>0.97387734</v>
      </c>
      <c r="R34" s="20" t="n">
        <v>0.58147793</v>
      </c>
    </row>
    <row r="35" spans="1:18">
      <c r="A35" s="15" t="s">
        <v>459</v>
      </c>
      <c r="B35" s="17" t="n">
        <v>3505</v>
      </c>
      <c r="C35" s="18">
        <f>(3082.0/B35*100)</f>
        <v/>
      </c>
      <c r="D35" s="19" t="n">
        <v>423</v>
      </c>
      <c r="E35" s="18" t="n">
        <v>94.8767979</v>
      </c>
      <c r="F35" s="20" t="n">
        <v>1.4678867</v>
      </c>
      <c r="G35" s="18" t="n">
        <v>4.42152421</v>
      </c>
      <c r="H35" s="20" t="n">
        <v>1.44167419</v>
      </c>
      <c r="I35" s="18" t="s">
        <v>431</v>
      </c>
      <c r="J35" s="20" t="s">
        <v>431</v>
      </c>
      <c r="K35" s="18" t="n">
        <v>0.17095634</v>
      </c>
      <c r="L35" s="20" t="n">
        <v>0.1704874</v>
      </c>
      <c r="M35" s="18" t="n">
        <v>0</v>
      </c>
      <c r="N35" s="20" t="n">
        <v>0</v>
      </c>
      <c r="O35" s="18" t="n">
        <v>0</v>
      </c>
      <c r="P35" s="20" t="n">
        <v>0</v>
      </c>
      <c r="Q35" s="18" t="n">
        <v>0.53072156</v>
      </c>
      <c r="R35" s="20" t="n">
        <v>0.26791948</v>
      </c>
    </row>
    <row r="36" spans="1:18">
      <c r="A36" s="15" t="s">
        <v>460</v>
      </c>
      <c r="B36" s="17" t="n">
        <v>3332</v>
      </c>
      <c r="C36" s="18">
        <f>(2932.0/B36*100)</f>
        <v/>
      </c>
      <c r="D36" s="19" t="n">
        <v>400</v>
      </c>
      <c r="E36" s="18" t="n">
        <v>87.31295163999999</v>
      </c>
      <c r="F36" s="20" t="n">
        <v>1.32582714</v>
      </c>
      <c r="G36" s="18" t="n">
        <v>10.50589274</v>
      </c>
      <c r="H36" s="20" t="n">
        <v>1.34757541</v>
      </c>
      <c r="I36" s="18" t="s">
        <v>431</v>
      </c>
      <c r="J36" s="20" t="s">
        <v>431</v>
      </c>
      <c r="K36" s="18" t="n">
        <v>0.4946008</v>
      </c>
      <c r="L36" s="20" t="n">
        <v>0.29065058</v>
      </c>
      <c r="M36" s="18" t="n">
        <v>0</v>
      </c>
      <c r="N36" s="20" t="n">
        <v>0</v>
      </c>
      <c r="O36" s="18" t="n">
        <v>0</v>
      </c>
      <c r="P36" s="20" t="n">
        <v>0</v>
      </c>
      <c r="Q36" s="18" t="n">
        <v>1.68655483</v>
      </c>
      <c r="R36" s="20" t="n">
        <v>0.7799846499999999</v>
      </c>
    </row>
    <row r="37" spans="1:18">
      <c r="A37" s="15" t="s">
        <v>461</v>
      </c>
      <c r="B37" s="17" t="n">
        <v>2727</v>
      </c>
      <c r="C37" s="18">
        <f>(2398.0/B37*100)</f>
        <v/>
      </c>
      <c r="D37" s="19" t="n">
        <v>329</v>
      </c>
      <c r="E37" s="18" t="n">
        <v>87.75775556000001</v>
      </c>
      <c r="F37" s="20" t="n">
        <v>2.06273527</v>
      </c>
      <c r="G37" s="18" t="n">
        <v>7.09545055</v>
      </c>
      <c r="H37" s="20" t="n">
        <v>1.50901837</v>
      </c>
      <c r="I37" s="18" t="s">
        <v>431</v>
      </c>
      <c r="J37" s="20" t="s">
        <v>431</v>
      </c>
      <c r="K37" s="18" t="n">
        <v>3.13926472</v>
      </c>
      <c r="L37" s="20" t="n">
        <v>1.05274125</v>
      </c>
      <c r="M37" s="18" t="n">
        <v>0</v>
      </c>
      <c r="N37" s="20" t="n">
        <v>0</v>
      </c>
      <c r="O37" s="18" t="n">
        <v>0</v>
      </c>
      <c r="P37" s="20" t="n">
        <v>0</v>
      </c>
      <c r="Q37" s="18" t="n">
        <v>2.00752917</v>
      </c>
      <c r="R37" s="20" t="n">
        <v>0.86258024</v>
      </c>
    </row>
    <row r="38" spans="1:18">
      <c r="A38" s="15" t="s">
        <v>462</v>
      </c>
      <c r="B38" s="17" t="n">
        <v>3053</v>
      </c>
      <c r="C38" s="18">
        <f>(2550.0/B38*100)</f>
        <v/>
      </c>
      <c r="D38" s="19" t="n">
        <v>503</v>
      </c>
      <c r="E38" s="18" t="n">
        <v>89.43160808</v>
      </c>
      <c r="F38" s="20" t="n">
        <v>1.60787652</v>
      </c>
      <c r="G38" s="18" t="n">
        <v>8.15814419</v>
      </c>
      <c r="H38" s="20" t="n">
        <v>1.41946407</v>
      </c>
      <c r="I38" s="18" t="s">
        <v>431</v>
      </c>
      <c r="J38" s="20" t="s">
        <v>431</v>
      </c>
      <c r="K38" s="18" t="n">
        <v>0.71817111</v>
      </c>
      <c r="L38" s="20" t="n">
        <v>0.41182846</v>
      </c>
      <c r="M38" s="18" t="n">
        <v>0</v>
      </c>
      <c r="N38" s="20" t="n">
        <v>0</v>
      </c>
      <c r="O38" s="18" t="n">
        <v>0</v>
      </c>
      <c r="P38" s="20" t="n">
        <v>0</v>
      </c>
      <c r="Q38" s="18" t="n">
        <v>1.69207662</v>
      </c>
      <c r="R38" s="20" t="n">
        <v>0.67280114</v>
      </c>
    </row>
    <row r="39" spans="1:18">
      <c r="A39" s="15" t="s">
        <v>463</v>
      </c>
      <c r="B39" s="17" t="n">
        <v>2957</v>
      </c>
      <c r="C39" s="18">
        <f>(2593.0/B39*100)</f>
        <v/>
      </c>
      <c r="D39" s="19" t="n">
        <v>364</v>
      </c>
      <c r="E39" s="18" t="n">
        <v>95.74230445000001</v>
      </c>
      <c r="F39" s="20" t="n">
        <v>1.31102841</v>
      </c>
      <c r="G39" s="18" t="n">
        <v>1.93912496</v>
      </c>
      <c r="H39" s="20" t="n">
        <v>1.0146618</v>
      </c>
      <c r="I39" s="18" t="s">
        <v>431</v>
      </c>
      <c r="J39" s="20" t="s">
        <v>431</v>
      </c>
      <c r="K39" s="18" t="n">
        <v>0.97663482</v>
      </c>
      <c r="L39" s="20" t="n">
        <v>0.55741628</v>
      </c>
      <c r="M39" s="18" t="n">
        <v>0</v>
      </c>
      <c r="N39" s="20" t="n">
        <v>0</v>
      </c>
      <c r="O39" s="18" t="n">
        <v>0</v>
      </c>
      <c r="P39" s="20" t="n">
        <v>0</v>
      </c>
      <c r="Q39" s="18" t="n">
        <v>1.34193578</v>
      </c>
      <c r="R39" s="20" t="n">
        <v>0.6599563899999999</v>
      </c>
    </row>
    <row r="40" spans="1:18">
      <c r="A40" s="15" t="s">
        <v>464</v>
      </c>
      <c r="B40" s="17" t="n">
        <v>7235</v>
      </c>
      <c r="C40" s="18">
        <f>(6343.0/B40*100)</f>
        <v/>
      </c>
      <c r="D40" s="19" t="n">
        <v>892</v>
      </c>
      <c r="E40" s="18" t="n">
        <v>85.49885682</v>
      </c>
      <c r="F40" s="20" t="n">
        <v>1.91896555</v>
      </c>
      <c r="G40" s="18" t="n">
        <v>13.39286949</v>
      </c>
      <c r="H40" s="20" t="n">
        <v>1.90026023</v>
      </c>
      <c r="I40" s="18" t="s">
        <v>431</v>
      </c>
      <c r="J40" s="20" t="s">
        <v>431</v>
      </c>
      <c r="K40" s="18" t="n">
        <v>0.6349566800000001</v>
      </c>
      <c r="L40" s="20" t="n">
        <v>0.34559351</v>
      </c>
      <c r="M40" s="18" t="n">
        <v>0</v>
      </c>
      <c r="N40" s="20" t="n">
        <v>0</v>
      </c>
      <c r="O40" s="18" t="n">
        <v>0</v>
      </c>
      <c r="P40" s="20" t="n">
        <v>0</v>
      </c>
      <c r="Q40" s="18" t="n">
        <v>0.47331702</v>
      </c>
      <c r="R40" s="20" t="n">
        <v>0.361338</v>
      </c>
    </row>
    <row r="41" spans="1:18">
      <c r="A41" s="15" t="s">
        <v>465</v>
      </c>
      <c r="B41" s="17" t="n">
        <v>2858</v>
      </c>
      <c r="C41" s="18">
        <f>(2496.0/B41*100)</f>
        <v/>
      </c>
      <c r="D41" s="19" t="n">
        <v>362</v>
      </c>
      <c r="E41" s="18" t="n">
        <v>91.04129274</v>
      </c>
      <c r="F41" s="20" t="n">
        <v>1.37484916</v>
      </c>
      <c r="G41" s="18" t="n">
        <v>8.0249326</v>
      </c>
      <c r="H41" s="20" t="n">
        <v>1.31992871</v>
      </c>
      <c r="I41" s="18" t="s">
        <v>431</v>
      </c>
      <c r="J41" s="20" t="s">
        <v>431</v>
      </c>
      <c r="K41" s="18" t="n">
        <v>0</v>
      </c>
      <c r="L41" s="20" t="n">
        <v>0</v>
      </c>
      <c r="M41" s="18" t="n">
        <v>0</v>
      </c>
      <c r="N41" s="20" t="n">
        <v>0</v>
      </c>
      <c r="O41" s="18" t="n">
        <v>0</v>
      </c>
      <c r="P41" s="20" t="n">
        <v>0</v>
      </c>
      <c r="Q41" s="18" t="n">
        <v>0.93377466</v>
      </c>
      <c r="R41" s="20" t="n">
        <v>0.43376771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(9984.0/B46*100)</f>
        <v/>
      </c>
      <c r="D46" s="19" t="n">
        <v>1084</v>
      </c>
      <c r="E46" s="18" t="n">
        <v>93.18001416</v>
      </c>
      <c r="F46" s="20" t="n">
        <v>0.89508242</v>
      </c>
      <c r="G46" s="18" t="n">
        <v>2.12322213</v>
      </c>
      <c r="H46" s="20" t="n">
        <v>0.51073076</v>
      </c>
      <c r="I46" s="18" t="s">
        <v>431</v>
      </c>
      <c r="J46" s="20" t="s">
        <v>431</v>
      </c>
      <c r="K46" s="18" t="n">
        <v>2.04344232</v>
      </c>
      <c r="L46" s="20" t="n">
        <v>0.49420071</v>
      </c>
      <c r="M46" s="18" t="n">
        <v>0</v>
      </c>
      <c r="N46" s="20" t="n">
        <v>0</v>
      </c>
      <c r="O46" s="18" t="n">
        <v>0</v>
      </c>
      <c r="P46" s="20" t="n">
        <v>0</v>
      </c>
      <c r="Q46" s="18" t="n">
        <v>2.6533214</v>
      </c>
      <c r="R46" s="20" t="n">
        <v>0.61693129</v>
      </c>
    </row>
    <row r="47" spans="1:18">
      <c r="A47" s="15" t="s">
        <v>471</v>
      </c>
      <c r="B47" s="17" t="n">
        <v>3105</v>
      </c>
      <c r="C47" s="18">
        <f>(2726.0/B47*100)</f>
        <v/>
      </c>
      <c r="D47" s="19" t="n">
        <v>379</v>
      </c>
      <c r="E47" s="18" t="n">
        <v>88.95278756</v>
      </c>
      <c r="F47" s="20" t="n">
        <v>1.25280316</v>
      </c>
      <c r="G47" s="18" t="n">
        <v>7.91945239</v>
      </c>
      <c r="H47" s="20" t="n">
        <v>1.03437321</v>
      </c>
      <c r="I47" s="18" t="s">
        <v>431</v>
      </c>
      <c r="J47" s="20" t="s">
        <v>431</v>
      </c>
      <c r="K47" s="18" t="n">
        <v>0</v>
      </c>
      <c r="L47" s="20" t="n">
        <v>0</v>
      </c>
      <c r="M47" s="18" t="n">
        <v>0</v>
      </c>
      <c r="N47" s="20" t="n">
        <v>0</v>
      </c>
      <c r="O47" s="18" t="n">
        <v>0</v>
      </c>
      <c r="P47" s="20" t="n">
        <v>0</v>
      </c>
      <c r="Q47" s="18" t="n">
        <v>3.12776005</v>
      </c>
      <c r="R47" s="20" t="n">
        <v>0.93656751</v>
      </c>
    </row>
    <row r="48" spans="1:18">
      <c r="A48" s="15" t="s">
        <v>472</v>
      </c>
      <c r="B48" s="17" t="n">
        <v>5159</v>
      </c>
      <c r="C48" s="18">
        <f>(4551.0/B48*100)</f>
        <v/>
      </c>
      <c r="D48" s="19" t="n">
        <v>608</v>
      </c>
      <c r="E48" s="18" t="n">
        <v>94.15818722</v>
      </c>
      <c r="F48" s="20" t="n">
        <v>1.12074269</v>
      </c>
      <c r="G48" s="18" t="n">
        <v>4.52196164</v>
      </c>
      <c r="H48" s="20" t="n">
        <v>0.9455505199999999</v>
      </c>
      <c r="I48" s="18" t="s">
        <v>431</v>
      </c>
      <c r="J48" s="20" t="s">
        <v>431</v>
      </c>
      <c r="K48" s="18" t="n">
        <v>1.25742203</v>
      </c>
      <c r="L48" s="20" t="n">
        <v>0.63757567</v>
      </c>
      <c r="M48" s="18" t="n">
        <v>0</v>
      </c>
      <c r="N48" s="20" t="n">
        <v>0</v>
      </c>
      <c r="O48" s="18" t="n">
        <v>0</v>
      </c>
      <c r="P48" s="20" t="n">
        <v>0</v>
      </c>
      <c r="Q48" s="18" t="n">
        <v>0.06242911</v>
      </c>
      <c r="R48" s="20" t="n">
        <v>0.09025687</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(4977.0/B50*100)</f>
        <v/>
      </c>
      <c r="D50" s="19" t="n">
        <v>660</v>
      </c>
      <c r="E50" s="18" t="n">
        <v>91.81215886</v>
      </c>
      <c r="F50" s="20" t="n">
        <v>1.73217569</v>
      </c>
      <c r="G50" s="18" t="n">
        <v>2.68691303</v>
      </c>
      <c r="H50" s="20" t="n">
        <v>0.85565967</v>
      </c>
      <c r="I50" s="18" t="s">
        <v>431</v>
      </c>
      <c r="J50" s="20" t="s">
        <v>431</v>
      </c>
      <c r="K50" s="18" t="n">
        <v>3.158315</v>
      </c>
      <c r="L50" s="20" t="n">
        <v>0.93714566</v>
      </c>
      <c r="M50" s="18" t="n">
        <v>0</v>
      </c>
      <c r="N50" s="20" t="n">
        <v>0</v>
      </c>
      <c r="O50" s="18" t="n">
        <v>0</v>
      </c>
      <c r="P50" s="20" t="n">
        <v>0</v>
      </c>
      <c r="Q50" s="18" t="n">
        <v>2.34261311</v>
      </c>
      <c r="R50" s="20" t="n">
        <v>1.38794149</v>
      </c>
    </row>
    <row r="51" spans="1:18">
      <c r="A51" s="15" t="s">
        <v>475</v>
      </c>
      <c r="B51" s="17" t="n">
        <v>3372</v>
      </c>
      <c r="C51" s="18">
        <f>(3006.0/B51*100)</f>
        <v/>
      </c>
      <c r="D51" s="19" t="n">
        <v>366</v>
      </c>
      <c r="E51" s="18" t="n">
        <v>94.67924493</v>
      </c>
      <c r="F51" s="20" t="n">
        <v>1.26105197</v>
      </c>
      <c r="G51" s="18" t="n">
        <v>1.98871557</v>
      </c>
      <c r="H51" s="20" t="n">
        <v>0.76424645</v>
      </c>
      <c r="I51" s="18" t="s">
        <v>431</v>
      </c>
      <c r="J51" s="20" t="s">
        <v>431</v>
      </c>
      <c r="K51" s="18" t="n">
        <v>1.8996551</v>
      </c>
      <c r="L51" s="20" t="n">
        <v>0.85415337</v>
      </c>
      <c r="M51" s="18" t="n">
        <v>0</v>
      </c>
      <c r="N51" s="20" t="n">
        <v>0</v>
      </c>
      <c r="O51" s="18" t="n">
        <v>0</v>
      </c>
      <c r="P51" s="20" t="n">
        <v>0</v>
      </c>
      <c r="Q51" s="18" t="n">
        <v>1.4323844</v>
      </c>
      <c r="R51" s="20" t="n">
        <v>0.47085218</v>
      </c>
    </row>
    <row r="52" spans="1:18">
      <c r="A52" s="15" t="s">
        <v>476</v>
      </c>
      <c r="B52" s="17" t="n">
        <v>2796</v>
      </c>
      <c r="C52" s="18">
        <f>(2446.0/B52*100)</f>
        <v/>
      </c>
      <c r="D52" s="19" t="n">
        <v>350</v>
      </c>
      <c r="E52" s="18" t="n">
        <v>91.97260711</v>
      </c>
      <c r="F52" s="20" t="n">
        <v>1.66447422</v>
      </c>
      <c r="G52" s="18" t="n">
        <v>5.76450112</v>
      </c>
      <c r="H52" s="20" t="n">
        <v>1.50173277</v>
      </c>
      <c r="I52" s="18" t="s">
        <v>431</v>
      </c>
      <c r="J52" s="20" t="s">
        <v>431</v>
      </c>
      <c r="K52" s="18" t="n">
        <v>0.61597639</v>
      </c>
      <c r="L52" s="20" t="n">
        <v>0.44399471</v>
      </c>
      <c r="M52" s="18" t="n">
        <v>0</v>
      </c>
      <c r="N52" s="20" t="n">
        <v>0</v>
      </c>
      <c r="O52" s="18" t="n">
        <v>0</v>
      </c>
      <c r="P52" s="20" t="n">
        <v>0</v>
      </c>
      <c r="Q52" s="18" t="n">
        <v>1.64691539</v>
      </c>
      <c r="R52" s="20" t="n">
        <v>0.66754031</v>
      </c>
    </row>
    <row r="53" spans="1:18">
      <c r="A53" s="15" t="s">
        <v>477</v>
      </c>
      <c r="B53" s="17" t="n">
        <v>2811</v>
      </c>
      <c r="C53" s="18">
        <f>(2477.0/B53*100)</f>
        <v/>
      </c>
      <c r="D53" s="19" t="n">
        <v>334</v>
      </c>
      <c r="E53" s="18" t="n">
        <v>96.47411319</v>
      </c>
      <c r="F53" s="20" t="n">
        <v>1.05066803</v>
      </c>
      <c r="G53" s="18" t="n">
        <v>1.96343259</v>
      </c>
      <c r="H53" s="20" t="n">
        <v>0.82401772</v>
      </c>
      <c r="I53" s="18" t="s">
        <v>431</v>
      </c>
      <c r="J53" s="20" t="s">
        <v>431</v>
      </c>
      <c r="K53" s="18" t="n">
        <v>0.82450189</v>
      </c>
      <c r="L53" s="20" t="n">
        <v>0.47157742</v>
      </c>
      <c r="M53" s="18" t="n">
        <v>0</v>
      </c>
      <c r="N53" s="20" t="n">
        <v>0</v>
      </c>
      <c r="O53" s="18" t="n">
        <v>0</v>
      </c>
      <c r="P53" s="20" t="n">
        <v>0</v>
      </c>
      <c r="Q53" s="18" t="n">
        <v>0.73795234</v>
      </c>
      <c r="R53" s="20" t="n">
        <v>0.42763586</v>
      </c>
    </row>
    <row r="54" spans="1:18">
      <c r="A54" s="15" t="s">
        <v>478</v>
      </c>
      <c r="B54" s="17" t="n">
        <v>2266</v>
      </c>
      <c r="C54" s="18">
        <f>(1906.0/B54*100)</f>
        <v/>
      </c>
      <c r="D54" s="19" t="n">
        <v>360</v>
      </c>
      <c r="E54" s="18" t="n">
        <v>83.64637465</v>
      </c>
      <c r="F54" s="20" t="n">
        <v>2.19378083</v>
      </c>
      <c r="G54" s="18" t="n">
        <v>0.33268438</v>
      </c>
      <c r="H54" s="20" t="n">
        <v>0.34793071</v>
      </c>
      <c r="I54" s="18" t="s">
        <v>431</v>
      </c>
      <c r="J54" s="20" t="s">
        <v>431</v>
      </c>
      <c r="K54" s="18" t="n">
        <v>11.11987846</v>
      </c>
      <c r="L54" s="20" t="n">
        <v>1.69953953</v>
      </c>
      <c r="M54" s="18" t="n">
        <v>0</v>
      </c>
      <c r="N54" s="20" t="n">
        <v>0</v>
      </c>
      <c r="O54" s="18" t="n">
        <v>0</v>
      </c>
      <c r="P54" s="20" t="n">
        <v>0</v>
      </c>
      <c r="Q54" s="18" t="n">
        <v>4.9010625</v>
      </c>
      <c r="R54" s="20" t="n">
        <v>1.17935076</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(2338.0/B56*100)</f>
        <v/>
      </c>
      <c r="D56" s="19" t="n">
        <v>346</v>
      </c>
      <c r="E56" s="18" t="n">
        <v>90.16197465</v>
      </c>
      <c r="F56" s="20" t="n">
        <v>1.7487024</v>
      </c>
      <c r="G56" s="18" t="n">
        <v>9.035722310000001</v>
      </c>
      <c r="H56" s="20" t="n">
        <v>1.80843207</v>
      </c>
      <c r="I56" s="18" t="s">
        <v>431</v>
      </c>
      <c r="J56" s="20" t="s">
        <v>431</v>
      </c>
      <c r="K56" s="18" t="n">
        <v>0.80230304</v>
      </c>
      <c r="L56" s="20" t="n">
        <v>0.51439163</v>
      </c>
      <c r="M56" s="18" t="n">
        <v>0</v>
      </c>
      <c r="N56" s="20" t="n">
        <v>0</v>
      </c>
      <c r="O56" s="18" t="n">
        <v>0</v>
      </c>
      <c r="P56" s="20" t="n">
        <v>0</v>
      </c>
      <c r="Q56" s="18" t="n">
        <v>0</v>
      </c>
      <c r="R56" s="20" t="n">
        <v>0</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(2915.0/B61*100)</f>
        <v/>
      </c>
      <c r="D61" s="19" t="n">
        <v>409</v>
      </c>
      <c r="E61" s="18" t="n">
        <v>93.01746694000001</v>
      </c>
      <c r="F61" s="20" t="n">
        <v>1.44463944</v>
      </c>
      <c r="G61" s="18" t="n">
        <v>4.39763756</v>
      </c>
      <c r="H61" s="20" t="n">
        <v>1.07359914</v>
      </c>
      <c r="I61" s="18" t="s">
        <v>431</v>
      </c>
      <c r="J61" s="20" t="s">
        <v>431</v>
      </c>
      <c r="K61" s="18" t="n">
        <v>1.87961021</v>
      </c>
      <c r="L61" s="20" t="n">
        <v>0.8305975</v>
      </c>
      <c r="M61" s="18" t="n">
        <v>0</v>
      </c>
      <c r="N61" s="20" t="n">
        <v>0</v>
      </c>
      <c r="O61" s="18" t="n">
        <v>0</v>
      </c>
      <c r="P61" s="20" t="n">
        <v>0</v>
      </c>
      <c r="Q61" s="18" t="n">
        <v>0.70528529</v>
      </c>
      <c r="R61" s="20" t="n">
        <v>0.51713267</v>
      </c>
    </row>
    <row r="62" spans="1:18">
      <c r="A62" s="15" t="s">
        <v>486</v>
      </c>
      <c r="B62" s="17" t="n">
        <v>2246</v>
      </c>
      <c r="C62" s="18">
        <f>(1959.0/B62*100)</f>
        <v/>
      </c>
      <c r="D62" s="19" t="n">
        <v>287</v>
      </c>
      <c r="E62" s="18" t="n">
        <v>94.75031327000001</v>
      </c>
      <c r="F62" s="20" t="n">
        <v>1.39416581</v>
      </c>
      <c r="G62" s="18" t="n">
        <v>5.24968673</v>
      </c>
      <c r="H62" s="20" t="n">
        <v>1.39416581</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(2531.0/B66*100)</f>
        <v/>
      </c>
      <c r="D66" s="19" t="n">
        <v>363</v>
      </c>
      <c r="E66" s="18" t="n">
        <v>92.82728032999999</v>
      </c>
      <c r="F66" s="20" t="n">
        <v>1.34242631</v>
      </c>
      <c r="G66" s="18" t="n">
        <v>1.39139677</v>
      </c>
      <c r="H66" s="20" t="n">
        <v>0.62060273</v>
      </c>
      <c r="I66" s="18" t="s">
        <v>431</v>
      </c>
      <c r="J66" s="20" t="s">
        <v>431</v>
      </c>
      <c r="K66" s="18" t="n">
        <v>2.27241733</v>
      </c>
      <c r="L66" s="20" t="n">
        <v>0.88248639</v>
      </c>
      <c r="M66" s="18" t="n">
        <v>0</v>
      </c>
      <c r="N66" s="20" t="n">
        <v>0</v>
      </c>
      <c r="O66" s="18" t="n">
        <v>0</v>
      </c>
      <c r="P66" s="20" t="n">
        <v>0</v>
      </c>
      <c r="Q66" s="18" t="n">
        <v>3.50890558</v>
      </c>
      <c r="R66" s="20" t="n">
        <v>0.92634284</v>
      </c>
    </row>
    <row r="67" spans="1:18">
      <c r="A67" s="15" t="s">
        <v>491</v>
      </c>
      <c r="B67" s="17" t="n">
        <v>3511</v>
      </c>
      <c r="C67" s="18">
        <f>(3109.0/B67*100)</f>
        <v/>
      </c>
      <c r="D67" s="19" t="n">
        <v>402</v>
      </c>
      <c r="E67" s="18" t="n">
        <v>97.55598797</v>
      </c>
      <c r="F67" s="20" t="n">
        <v>0.81726954</v>
      </c>
      <c r="G67" s="18" t="n">
        <v>2.07659073</v>
      </c>
      <c r="H67" s="20" t="n">
        <v>0.77323422</v>
      </c>
      <c r="I67" s="18" t="s">
        <v>431</v>
      </c>
      <c r="J67" s="20" t="s">
        <v>431</v>
      </c>
      <c r="K67" s="18" t="n">
        <v>0</v>
      </c>
      <c r="L67" s="20" t="n">
        <v>0</v>
      </c>
      <c r="M67" s="18" t="n">
        <v>0</v>
      </c>
      <c r="N67" s="20" t="n">
        <v>0</v>
      </c>
      <c r="O67" s="18" t="n">
        <v>0</v>
      </c>
      <c r="P67" s="20" t="n">
        <v>0</v>
      </c>
      <c r="Q67" s="18" t="n">
        <v>0.3674213</v>
      </c>
      <c r="R67" s="20" t="n">
        <v>0.26971459</v>
      </c>
    </row>
    <row r="68" spans="1:18">
      <c r="A68" s="15" t="s">
        <v>492</v>
      </c>
      <c r="B68" s="17" t="n">
        <v>6049</v>
      </c>
      <c r="C68" s="18">
        <f>(5047.0/B68*100)</f>
        <v/>
      </c>
      <c r="D68" s="19" t="n">
        <v>1002</v>
      </c>
      <c r="E68" s="18" t="n">
        <v>89.58979426000001</v>
      </c>
      <c r="F68" s="20" t="n">
        <v>0.87528662</v>
      </c>
      <c r="G68" s="18" t="n">
        <v>3.29250985</v>
      </c>
      <c r="H68" s="20" t="n">
        <v>0.55378922</v>
      </c>
      <c r="I68" s="18" t="s">
        <v>431</v>
      </c>
      <c r="J68" s="20" t="s">
        <v>431</v>
      </c>
      <c r="K68" s="18" t="n">
        <v>4.25508717</v>
      </c>
      <c r="L68" s="20" t="n">
        <v>0.63706233</v>
      </c>
      <c r="M68" s="18" t="n">
        <v>0</v>
      </c>
      <c r="N68" s="20" t="n">
        <v>0</v>
      </c>
      <c r="O68" s="18" t="n">
        <v>0</v>
      </c>
      <c r="P68" s="20" t="n">
        <v>0</v>
      </c>
      <c r="Q68" s="18" t="n">
        <v>2.86260872</v>
      </c>
      <c r="R68" s="20" t="n">
        <v>0.50910902</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(2597.0/B70*100)</f>
        <v/>
      </c>
      <c r="D70" s="19" t="n">
        <v>332</v>
      </c>
      <c r="E70" s="18" t="n">
        <v>95.49502869</v>
      </c>
      <c r="F70" s="20" t="n">
        <v>1.17425116</v>
      </c>
      <c r="G70" s="18" t="n">
        <v>3.09619844</v>
      </c>
      <c r="H70" s="20" t="n">
        <v>1.01335041</v>
      </c>
      <c r="I70" s="18" t="s">
        <v>431</v>
      </c>
      <c r="J70" s="20" t="s">
        <v>431</v>
      </c>
      <c r="K70" s="18" t="n">
        <v>0.89818029</v>
      </c>
      <c r="L70" s="20" t="n">
        <v>0.45688236</v>
      </c>
      <c r="M70" s="18" t="n">
        <v>0</v>
      </c>
      <c r="N70" s="20" t="n">
        <v>0</v>
      </c>
      <c r="O70" s="18" t="n">
        <v>0</v>
      </c>
      <c r="P70" s="20" t="n">
        <v>0</v>
      </c>
      <c r="Q70" s="18" t="n">
        <v>0.51059258</v>
      </c>
      <c r="R70" s="20" t="n">
        <v>0.24718884</v>
      </c>
    </row>
    <row r="71" spans="1:18">
      <c r="A71" s="15" t="s">
        <v>495</v>
      </c>
      <c r="B71" s="17" t="n">
        <v>3142</v>
      </c>
      <c r="C71" s="18">
        <f>(2758.0/B71*100)</f>
        <v/>
      </c>
      <c r="D71" s="19" t="n">
        <v>384</v>
      </c>
      <c r="E71" s="18" t="n">
        <v>84.42211589</v>
      </c>
      <c r="F71" s="20" t="n">
        <v>1.82001119</v>
      </c>
      <c r="G71" s="18" t="n">
        <v>14.87019622</v>
      </c>
      <c r="H71" s="20" t="n">
        <v>1.78047049</v>
      </c>
      <c r="I71" s="18" t="s">
        <v>431</v>
      </c>
      <c r="J71" s="20" t="s">
        <v>431</v>
      </c>
      <c r="K71" s="18" t="n">
        <v>0.7076879</v>
      </c>
      <c r="L71" s="20" t="n">
        <v>0.41747268</v>
      </c>
      <c r="M71" s="18" t="n">
        <v>0</v>
      </c>
      <c r="N71" s="20" t="n">
        <v>0</v>
      </c>
      <c r="O71" s="18" t="n">
        <v>0</v>
      </c>
      <c r="P71" s="20" t="n">
        <v>0</v>
      </c>
      <c r="Q71" s="18" t="n">
        <v>0</v>
      </c>
      <c r="R71" s="20" t="n">
        <v>0</v>
      </c>
    </row>
    <row r="72" spans="1:18">
      <c r="A72" s="15" t="s">
        <v>496</v>
      </c>
      <c r="B72" s="17" t="n">
        <v>3889</v>
      </c>
      <c r="C72" s="18">
        <f>(3402.0/B72*100)</f>
        <v/>
      </c>
      <c r="D72" s="19" t="n">
        <v>487</v>
      </c>
      <c r="E72" s="18" t="n">
        <v>95.08980270000001</v>
      </c>
      <c r="F72" s="20" t="n">
        <v>1.04419589</v>
      </c>
      <c r="G72" s="18" t="n">
        <v>4.74853277</v>
      </c>
      <c r="H72" s="20" t="n">
        <v>1.03279854</v>
      </c>
      <c r="I72" s="18" t="s">
        <v>431</v>
      </c>
      <c r="J72" s="20" t="s">
        <v>431</v>
      </c>
      <c r="K72" s="18" t="n">
        <v>0.16166453</v>
      </c>
      <c r="L72" s="20" t="n">
        <v>0.16163413</v>
      </c>
      <c r="M72" s="18" t="n">
        <v>0</v>
      </c>
      <c r="N72" s="20" t="n">
        <v>0</v>
      </c>
      <c r="O72" s="18" t="n">
        <v>0</v>
      </c>
      <c r="P72" s="20" t="n">
        <v>0</v>
      </c>
      <c r="Q72" s="18" t="n">
        <v>0</v>
      </c>
      <c r="R72" s="20" t="n">
        <v>0</v>
      </c>
    </row>
    <row r="73" spans="1:18">
      <c r="A73" s="15" t="s">
        <v>497</v>
      </c>
      <c r="B73" s="17" t="n">
        <v>3597</v>
      </c>
      <c r="C73" s="18">
        <f>(3194.0/B73*100)</f>
        <v/>
      </c>
      <c r="D73" s="19" t="n">
        <v>403</v>
      </c>
      <c r="E73" s="18" t="n">
        <v>98.24553722</v>
      </c>
      <c r="F73" s="20" t="n">
        <v>0.68255555</v>
      </c>
      <c r="G73" s="18" t="n">
        <v>1.16802369</v>
      </c>
      <c r="H73" s="20" t="n">
        <v>0.55295764</v>
      </c>
      <c r="I73" s="18" t="s">
        <v>431</v>
      </c>
      <c r="J73" s="20" t="s">
        <v>431</v>
      </c>
      <c r="K73" s="18" t="n">
        <v>0</v>
      </c>
      <c r="L73" s="20" t="n">
        <v>0</v>
      </c>
      <c r="M73" s="18" t="n">
        <v>0</v>
      </c>
      <c r="N73" s="20" t="n">
        <v>0</v>
      </c>
      <c r="O73" s="18" t="n">
        <v>0</v>
      </c>
      <c r="P73" s="20" t="n">
        <v>0</v>
      </c>
      <c r="Q73" s="18" t="n">
        <v>0.5864390900000001</v>
      </c>
      <c r="R73" s="20" t="n">
        <v>0.42374491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(2139.0/B75*100)</f>
        <v/>
      </c>
      <c r="D75" s="19" t="n">
        <v>267</v>
      </c>
      <c r="E75" s="18" t="n">
        <v>93.83255947000001</v>
      </c>
      <c r="F75" s="20" t="n">
        <v>1.79701407</v>
      </c>
      <c r="G75" s="18" t="n">
        <v>0</v>
      </c>
      <c r="H75" s="20" t="n">
        <v>0</v>
      </c>
      <c r="I75" s="18" t="s">
        <v>431</v>
      </c>
      <c r="J75" s="20" t="s">
        <v>431</v>
      </c>
      <c r="K75" s="18" t="n">
        <v>3.5688347</v>
      </c>
      <c r="L75" s="20" t="n">
        <v>1.35746869</v>
      </c>
      <c r="M75" s="18" t="n">
        <v>0</v>
      </c>
      <c r="N75" s="20" t="n">
        <v>0</v>
      </c>
      <c r="O75" s="18" t="n">
        <v>0</v>
      </c>
      <c r="P75" s="20" t="n">
        <v>0</v>
      </c>
      <c r="Q75" s="18" t="n">
        <v>2.59860583</v>
      </c>
      <c r="R75" s="20" t="n">
        <v>1.21339253</v>
      </c>
    </row>
    <row r="76" spans="1:18">
      <c r="A76" s="15" t="s">
        <v>500</v>
      </c>
      <c r="B76" s="17" t="n">
        <v>7052</v>
      </c>
      <c r="C76" s="18">
        <f>(6186.0/B76*100)</f>
        <v/>
      </c>
      <c r="D76" s="19" t="n">
        <v>866</v>
      </c>
      <c r="E76" s="18" t="n">
        <v>94.04150672999999</v>
      </c>
      <c r="F76" s="20" t="n">
        <v>1.00053309</v>
      </c>
      <c r="G76" s="18" t="n">
        <v>4.23480194</v>
      </c>
      <c r="H76" s="20" t="n">
        <v>0.92953157</v>
      </c>
      <c r="I76" s="18" t="s">
        <v>431</v>
      </c>
      <c r="J76" s="20" t="s">
        <v>431</v>
      </c>
      <c r="K76" s="18" t="n">
        <v>0.84639208</v>
      </c>
      <c r="L76" s="20" t="n">
        <v>0.36535098</v>
      </c>
      <c r="M76" s="18" t="n">
        <v>0</v>
      </c>
      <c r="N76" s="20" t="n">
        <v>0</v>
      </c>
      <c r="O76" s="18" t="n">
        <v>0</v>
      </c>
      <c r="P76" s="20" t="n">
        <v>0</v>
      </c>
      <c r="Q76" s="18" t="n">
        <v>0.87729925</v>
      </c>
      <c r="R76" s="20" t="n">
        <v>0.3117749</v>
      </c>
    </row>
    <row r="77" spans="1:18">
      <c r="A77" s="15" t="s">
        <v>501</v>
      </c>
      <c r="B77" s="17" t="n">
        <v>2908</v>
      </c>
      <c r="C77" s="18">
        <f>(2588.0/B77*100)</f>
        <v/>
      </c>
      <c r="D77" s="19" t="n">
        <v>320</v>
      </c>
      <c r="E77" s="18" t="n">
        <v>87.25237178</v>
      </c>
      <c r="F77" s="20" t="n">
        <v>1.48803955</v>
      </c>
      <c r="G77" s="18" t="n">
        <v>4.86034325</v>
      </c>
      <c r="H77" s="20" t="n">
        <v>1.16304039</v>
      </c>
      <c r="I77" s="18" t="s">
        <v>431</v>
      </c>
      <c r="J77" s="20" t="s">
        <v>431</v>
      </c>
      <c r="K77" s="18" t="n">
        <v>2.70583776</v>
      </c>
      <c r="L77" s="20" t="n">
        <v>0.97974994</v>
      </c>
      <c r="M77" s="18" t="n">
        <v>0</v>
      </c>
      <c r="N77" s="20" t="n">
        <v>0</v>
      </c>
      <c r="O77" s="18" t="n">
        <v>0</v>
      </c>
      <c r="P77" s="20" t="n">
        <v>0</v>
      </c>
      <c r="Q77" s="18" t="n">
        <v>5.18144721</v>
      </c>
      <c r="R77" s="20" t="n">
        <v>1.34573397</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(3663.0/B81*100)</f>
        <v/>
      </c>
      <c r="D81" s="19" t="n">
        <v>500</v>
      </c>
      <c r="E81" s="18" t="n">
        <v>96.36419395999999</v>
      </c>
      <c r="F81" s="20" t="n">
        <v>0.97209236</v>
      </c>
      <c r="G81" s="18" t="n">
        <v>1.63510449</v>
      </c>
      <c r="H81" s="20" t="n">
        <v>0.66024055</v>
      </c>
      <c r="I81" s="18" t="s">
        <v>431</v>
      </c>
      <c r="J81" s="20" t="s">
        <v>431</v>
      </c>
      <c r="K81" s="18" t="n">
        <v>0.83053299</v>
      </c>
      <c r="L81" s="20" t="n">
        <v>0.42756315</v>
      </c>
      <c r="M81" s="18" t="n">
        <v>0</v>
      </c>
      <c r="N81" s="20" t="n">
        <v>0</v>
      </c>
      <c r="O81" s="18" t="n">
        <v>0</v>
      </c>
      <c r="P81" s="20" t="n">
        <v>0</v>
      </c>
      <c r="Q81" s="18" t="n">
        <v>1.17016857</v>
      </c>
      <c r="R81" s="20" t="n">
        <v>0.5760290300000001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(6490.0/B7*100)</f>
        <v/>
      </c>
      <c r="D7" s="19" t="n">
        <v>877</v>
      </c>
      <c r="E7" s="18" t="n">
        <v>30.16861167</v>
      </c>
      <c r="F7" s="20" t="n">
        <v>1.76919061</v>
      </c>
      <c r="G7" s="18" t="n">
        <v>61.3190568</v>
      </c>
      <c r="H7" s="20" t="n">
        <v>1.98421088</v>
      </c>
      <c r="I7" s="18" t="s">
        <v>431</v>
      </c>
      <c r="J7" s="20" t="s">
        <v>431</v>
      </c>
      <c r="K7" s="18" t="n">
        <v>1.14772294</v>
      </c>
      <c r="L7" s="20" t="n">
        <v>0.37284112</v>
      </c>
      <c r="M7" s="18" t="n">
        <v>0.06814781</v>
      </c>
      <c r="N7" s="20" t="n">
        <v>0.03822555</v>
      </c>
      <c r="O7" s="18" t="n">
        <v>0</v>
      </c>
      <c r="P7" s="20" t="n">
        <v>0</v>
      </c>
      <c r="Q7" s="18" t="n">
        <v>7.29646078</v>
      </c>
      <c r="R7" s="20" t="n">
        <v>0.95007568</v>
      </c>
    </row>
    <row r="8" spans="1:18">
      <c r="A8" s="15" t="s">
        <v>432</v>
      </c>
      <c r="B8" s="17" t="n">
        <v>3564</v>
      </c>
      <c r="C8" s="18">
        <f>(3094.0/B8*100)</f>
        <v/>
      </c>
      <c r="D8" s="19" t="n">
        <v>470</v>
      </c>
      <c r="E8" s="18" t="n">
        <v>32.35648515</v>
      </c>
      <c r="F8" s="20" t="n">
        <v>2.34749241</v>
      </c>
      <c r="G8" s="18" t="n">
        <v>57.44992127</v>
      </c>
      <c r="H8" s="20" t="n">
        <v>2.51725624</v>
      </c>
      <c r="I8" s="18" t="s">
        <v>431</v>
      </c>
      <c r="J8" s="20" t="s">
        <v>431</v>
      </c>
      <c r="K8" s="18" t="n">
        <v>0.7720648</v>
      </c>
      <c r="L8" s="20" t="n">
        <v>0.47562527</v>
      </c>
      <c r="M8" s="18" t="n">
        <v>0</v>
      </c>
      <c r="N8" s="20" t="n">
        <v>0</v>
      </c>
      <c r="O8" s="18" t="n">
        <v>0</v>
      </c>
      <c r="P8" s="20" t="n">
        <v>0</v>
      </c>
      <c r="Q8" s="18" t="n">
        <v>9.42152877</v>
      </c>
      <c r="R8" s="20" t="n">
        <v>1.29297857</v>
      </c>
    </row>
    <row r="9" spans="1:18">
      <c r="A9" s="15" t="s">
        <v>433</v>
      </c>
      <c r="B9" s="17" t="n">
        <v>4899</v>
      </c>
      <c r="C9" s="18">
        <f>(4312.0/B9*100)</f>
        <v/>
      </c>
      <c r="D9" s="19" t="n">
        <v>587</v>
      </c>
      <c r="E9" s="18" t="n">
        <v>26.2319511</v>
      </c>
      <c r="F9" s="20" t="n">
        <v>1.94074986</v>
      </c>
      <c r="G9" s="18" t="n">
        <v>65.49814116</v>
      </c>
      <c r="H9" s="20" t="n">
        <v>2.34057125</v>
      </c>
      <c r="I9" s="18" t="s">
        <v>431</v>
      </c>
      <c r="J9" s="20" t="s">
        <v>431</v>
      </c>
      <c r="K9" s="18" t="n">
        <v>0.28290075</v>
      </c>
      <c r="L9" s="20" t="n">
        <v>0.18209308</v>
      </c>
      <c r="M9" s="18" t="n">
        <v>0.17099519</v>
      </c>
      <c r="N9" s="20" t="n">
        <v>0.17015027</v>
      </c>
      <c r="O9" s="18" t="n">
        <v>0</v>
      </c>
      <c r="P9" s="20" t="n">
        <v>0</v>
      </c>
      <c r="Q9" s="18" t="n">
        <v>7.8160118</v>
      </c>
      <c r="R9" s="20" t="n">
        <v>1.72117498</v>
      </c>
    </row>
    <row r="10" spans="1:18">
      <c r="A10" s="15" t="s">
        <v>434</v>
      </c>
      <c r="B10" s="17" t="n">
        <v>10036</v>
      </c>
      <c r="C10" s="18">
        <f>(8787.0/B10*100)</f>
        <v/>
      </c>
      <c r="D10" s="19" t="n">
        <v>1249</v>
      </c>
      <c r="E10" s="18" t="n">
        <v>24.7274983</v>
      </c>
      <c r="F10" s="20" t="n">
        <v>1.52473953</v>
      </c>
      <c r="G10" s="18" t="n">
        <v>70.11600591</v>
      </c>
      <c r="H10" s="20" t="n">
        <v>1.76792227</v>
      </c>
      <c r="I10" s="18" t="s">
        <v>431</v>
      </c>
      <c r="J10" s="20" t="s">
        <v>431</v>
      </c>
      <c r="K10" s="18" t="n">
        <v>1.09549037</v>
      </c>
      <c r="L10" s="20" t="n">
        <v>0.37745703</v>
      </c>
      <c r="M10" s="18" t="n">
        <v>0</v>
      </c>
      <c r="N10" s="20" t="n">
        <v>0</v>
      </c>
      <c r="O10" s="18" t="n">
        <v>0</v>
      </c>
      <c r="P10" s="20" t="n">
        <v>0</v>
      </c>
      <c r="Q10" s="18" t="n">
        <v>4.06100542</v>
      </c>
      <c r="R10" s="20" t="n">
        <v>0.9506463000000001</v>
      </c>
    </row>
    <row r="11" spans="1:18">
      <c r="A11" s="15" t="s">
        <v>435</v>
      </c>
      <c r="B11" s="17" t="n">
        <v>3553</v>
      </c>
      <c r="C11" s="18">
        <f>(3124.0/B11*100)</f>
        <v/>
      </c>
      <c r="D11" s="19" t="n">
        <v>429</v>
      </c>
      <c r="E11" s="18" t="n">
        <v>32.47883903</v>
      </c>
      <c r="F11" s="20" t="n">
        <v>2.74223077</v>
      </c>
      <c r="G11" s="18" t="n">
        <v>53.01997701</v>
      </c>
      <c r="H11" s="20" t="n">
        <v>3.14690409</v>
      </c>
      <c r="I11" s="18" t="s">
        <v>431</v>
      </c>
      <c r="J11" s="20" t="s">
        <v>431</v>
      </c>
      <c r="K11" s="18" t="n">
        <v>3.0553491</v>
      </c>
      <c r="L11" s="20" t="n">
        <v>1.02302285</v>
      </c>
      <c r="M11" s="18" t="n">
        <v>0</v>
      </c>
      <c r="N11" s="20" t="n">
        <v>0</v>
      </c>
      <c r="O11" s="18" t="n">
        <v>0</v>
      </c>
      <c r="P11" s="20" t="n">
        <v>0</v>
      </c>
      <c r="Q11" s="18" t="n">
        <v>11.44583486</v>
      </c>
      <c r="R11" s="20" t="n">
        <v>1.81475874</v>
      </c>
    </row>
    <row r="12" spans="1:18">
      <c r="A12" s="15" t="s">
        <v>436</v>
      </c>
      <c r="B12" s="17" t="n">
        <v>3472</v>
      </c>
      <c r="C12" s="18">
        <f>(3066.0/B12*100)</f>
        <v/>
      </c>
      <c r="D12" s="19" t="n">
        <v>406</v>
      </c>
      <c r="E12" s="18" t="n">
        <v>32.3678337</v>
      </c>
      <c r="F12" s="20" t="n">
        <v>2.56836349</v>
      </c>
      <c r="G12" s="18" t="n">
        <v>58.33157508</v>
      </c>
      <c r="H12" s="20" t="n">
        <v>2.84992912</v>
      </c>
      <c r="I12" s="18" t="s">
        <v>431</v>
      </c>
      <c r="J12" s="20" t="s">
        <v>431</v>
      </c>
      <c r="K12" s="18" t="n">
        <v>0.71963994</v>
      </c>
      <c r="L12" s="20" t="n">
        <v>0.25921</v>
      </c>
      <c r="M12" s="18" t="n">
        <v>0</v>
      </c>
      <c r="N12" s="20" t="n">
        <v>0</v>
      </c>
      <c r="O12" s="18" t="n">
        <v>0</v>
      </c>
      <c r="P12" s="20" t="n">
        <v>0</v>
      </c>
      <c r="Q12" s="18" t="n">
        <v>8.58095129</v>
      </c>
      <c r="R12" s="20" t="n">
        <v>1.24302037</v>
      </c>
    </row>
    <row r="13" spans="1:18">
      <c r="A13" s="15" t="s">
        <v>437</v>
      </c>
      <c r="B13" s="17" t="n">
        <v>3559</v>
      </c>
      <c r="C13" s="18">
        <f>(3146.0/B13*100)</f>
        <v/>
      </c>
      <c r="D13" s="19" t="n">
        <v>413</v>
      </c>
      <c r="E13" s="18" t="n">
        <v>26.91695365</v>
      </c>
      <c r="F13" s="20" t="n">
        <v>2.64029792</v>
      </c>
      <c r="G13" s="18" t="n">
        <v>67.45316227000001</v>
      </c>
      <c r="H13" s="20" t="n">
        <v>2.82476449</v>
      </c>
      <c r="I13" s="18" t="s">
        <v>431</v>
      </c>
      <c r="J13" s="20" t="s">
        <v>431</v>
      </c>
      <c r="K13" s="18" t="n">
        <v>1.35595047</v>
      </c>
      <c r="L13" s="20" t="n">
        <v>0.59007138</v>
      </c>
      <c r="M13" s="18" t="n">
        <v>0</v>
      </c>
      <c r="N13" s="20" t="n">
        <v>0</v>
      </c>
      <c r="O13" s="18" t="n">
        <v>0</v>
      </c>
      <c r="P13" s="20" t="n">
        <v>0</v>
      </c>
      <c r="Q13" s="18" t="n">
        <v>4.27393361</v>
      </c>
      <c r="R13" s="20" t="n">
        <v>0.90620318</v>
      </c>
    </row>
    <row r="14" spans="1:18">
      <c r="A14" s="15" t="s">
        <v>438</v>
      </c>
      <c r="B14" s="17" t="n">
        <v>2799</v>
      </c>
      <c r="C14" s="18">
        <f>(2463.0/B14*100)</f>
        <v/>
      </c>
      <c r="D14" s="19" t="n">
        <v>336</v>
      </c>
      <c r="E14" s="18" t="n">
        <v>47.66524517</v>
      </c>
      <c r="F14" s="20" t="n">
        <v>3.06631799</v>
      </c>
      <c r="G14" s="18" t="n">
        <v>49.92248685</v>
      </c>
      <c r="H14" s="20" t="n">
        <v>3.14772778</v>
      </c>
      <c r="I14" s="18" t="s">
        <v>431</v>
      </c>
      <c r="J14" s="20" t="s">
        <v>431</v>
      </c>
      <c r="K14" s="18" t="n">
        <v>0</v>
      </c>
      <c r="L14" s="20" t="n">
        <v>0</v>
      </c>
      <c r="M14" s="18" t="n">
        <v>0</v>
      </c>
      <c r="N14" s="20" t="n">
        <v>0</v>
      </c>
      <c r="O14" s="18" t="n">
        <v>0</v>
      </c>
      <c r="P14" s="20" t="n">
        <v>0</v>
      </c>
      <c r="Q14" s="18" t="n">
        <v>2.41226798</v>
      </c>
      <c r="R14" s="20" t="n">
        <v>0.93159406</v>
      </c>
    </row>
    <row r="15" spans="1:18">
      <c r="A15" s="15" t="s">
        <v>439</v>
      </c>
      <c r="B15" s="17" t="n">
        <v>3019</v>
      </c>
      <c r="C15" s="18">
        <f>(2650.0/B15*100)</f>
        <v/>
      </c>
      <c r="D15" s="19" t="n">
        <v>369</v>
      </c>
      <c r="E15" s="18" t="n">
        <v>22.78730221</v>
      </c>
      <c r="F15" s="20" t="n">
        <v>2.23577559</v>
      </c>
      <c r="G15" s="18" t="n">
        <v>73.60829846</v>
      </c>
      <c r="H15" s="20" t="n">
        <v>2.16089977</v>
      </c>
      <c r="I15" s="18" t="s">
        <v>431</v>
      </c>
      <c r="J15" s="20" t="s">
        <v>431</v>
      </c>
      <c r="K15" s="18" t="n">
        <v>0.25178985</v>
      </c>
      <c r="L15" s="20" t="n">
        <v>0.25274237</v>
      </c>
      <c r="M15" s="18" t="n">
        <v>0</v>
      </c>
      <c r="N15" s="20" t="n">
        <v>0</v>
      </c>
      <c r="O15" s="18" t="n">
        <v>0</v>
      </c>
      <c r="P15" s="20" t="n">
        <v>0</v>
      </c>
      <c r="Q15" s="18" t="n">
        <v>3.35260948</v>
      </c>
      <c r="R15" s="20" t="n">
        <v>0.99302918</v>
      </c>
    </row>
    <row r="16" spans="1:18">
      <c r="A16" s="15" t="s">
        <v>440</v>
      </c>
      <c r="B16" s="17" t="n">
        <v>2997</v>
      </c>
      <c r="C16" s="18">
        <f>(2648.0/B16*100)</f>
        <v/>
      </c>
      <c r="D16" s="19" t="n">
        <v>349</v>
      </c>
      <c r="E16" s="18" t="n">
        <v>27.79002008</v>
      </c>
      <c r="F16" s="20" t="n">
        <v>2.43695882</v>
      </c>
      <c r="G16" s="18" t="n">
        <v>55.51149404</v>
      </c>
      <c r="H16" s="20" t="n">
        <v>2.80824285</v>
      </c>
      <c r="I16" s="18" t="s">
        <v>431</v>
      </c>
      <c r="J16" s="20" t="s">
        <v>431</v>
      </c>
      <c r="K16" s="18" t="n">
        <v>4.12531649</v>
      </c>
      <c r="L16" s="20" t="n">
        <v>1.37122908</v>
      </c>
      <c r="M16" s="18" t="n">
        <v>0</v>
      </c>
      <c r="N16" s="20" t="n">
        <v>0</v>
      </c>
      <c r="O16" s="18" t="n">
        <v>0</v>
      </c>
      <c r="P16" s="20" t="n">
        <v>0</v>
      </c>
      <c r="Q16" s="18" t="n">
        <v>12.57316939</v>
      </c>
      <c r="R16" s="20" t="n">
        <v>1.75797403</v>
      </c>
    </row>
    <row r="17" spans="1:18">
      <c r="A17" s="15" t="s">
        <v>441</v>
      </c>
      <c r="B17" s="17" t="n">
        <v>3307</v>
      </c>
      <c r="C17" s="18">
        <f>(2916.0/B17*100)</f>
        <v/>
      </c>
      <c r="D17" s="19" t="n">
        <v>391</v>
      </c>
      <c r="E17" s="18" t="n">
        <v>30.86259743</v>
      </c>
      <c r="F17" s="20" t="n">
        <v>2.29340455</v>
      </c>
      <c r="G17" s="18" t="n">
        <v>63.38513823</v>
      </c>
      <c r="H17" s="20" t="n">
        <v>2.32778392</v>
      </c>
      <c r="I17" s="18" t="s">
        <v>431</v>
      </c>
      <c r="J17" s="20" t="s">
        <v>431</v>
      </c>
      <c r="K17" s="18" t="n">
        <v>0.69323482</v>
      </c>
      <c r="L17" s="20" t="n">
        <v>0.40735226</v>
      </c>
      <c r="M17" s="18" t="n">
        <v>0</v>
      </c>
      <c r="N17" s="20" t="n">
        <v>0</v>
      </c>
      <c r="O17" s="18" t="n">
        <v>0</v>
      </c>
      <c r="P17" s="20" t="n">
        <v>0</v>
      </c>
      <c r="Q17" s="18" t="n">
        <v>5.05902952</v>
      </c>
      <c r="R17" s="20" t="n">
        <v>1.22434771</v>
      </c>
    </row>
    <row r="18" spans="1:18">
      <c r="A18" s="15" t="s">
        <v>442</v>
      </c>
      <c r="B18" s="17" t="n">
        <v>2826</v>
      </c>
      <c r="C18" s="18">
        <f>(2484.0/B18*100)</f>
        <v/>
      </c>
      <c r="D18" s="19" t="n">
        <v>342</v>
      </c>
      <c r="E18" s="18" t="n">
        <v>36.08925311</v>
      </c>
      <c r="F18" s="20" t="n">
        <v>2.87100719</v>
      </c>
      <c r="G18" s="18" t="n">
        <v>49.23550129</v>
      </c>
      <c r="H18" s="20" t="n">
        <v>2.77021514</v>
      </c>
      <c r="I18" s="18" t="s">
        <v>431</v>
      </c>
      <c r="J18" s="20" t="s">
        <v>431</v>
      </c>
      <c r="K18" s="18" t="n">
        <v>2.40710812</v>
      </c>
      <c r="L18" s="20" t="n">
        <v>1.09781913</v>
      </c>
      <c r="M18" s="18" t="n">
        <v>0</v>
      </c>
      <c r="N18" s="20" t="n">
        <v>0</v>
      </c>
      <c r="O18" s="18" t="n">
        <v>0</v>
      </c>
      <c r="P18" s="20" t="n">
        <v>0</v>
      </c>
      <c r="Q18" s="18" t="n">
        <v>12.26813748</v>
      </c>
      <c r="R18" s="20" t="n">
        <v>1.97217903</v>
      </c>
    </row>
    <row r="19" spans="1:18">
      <c r="A19" s="15" t="s">
        <v>443</v>
      </c>
      <c r="B19" s="17" t="n">
        <v>2808</v>
      </c>
      <c r="C19" s="18">
        <f>(2467.0/B19*100)</f>
        <v/>
      </c>
      <c r="D19" s="19" t="n">
        <v>341</v>
      </c>
      <c r="E19" s="18" t="n">
        <v>29.40136904</v>
      </c>
      <c r="F19" s="20" t="n">
        <v>2.58633184</v>
      </c>
      <c r="G19" s="18" t="n">
        <v>60.88877561</v>
      </c>
      <c r="H19" s="20" t="n">
        <v>3.09268869</v>
      </c>
      <c r="I19" s="18" t="s">
        <v>431</v>
      </c>
      <c r="J19" s="20" t="s">
        <v>431</v>
      </c>
      <c r="K19" s="18" t="n">
        <v>1.28123497</v>
      </c>
      <c r="L19" s="20" t="n">
        <v>0.90005329</v>
      </c>
      <c r="M19" s="18" t="n">
        <v>0</v>
      </c>
      <c r="N19" s="20" t="n">
        <v>0</v>
      </c>
      <c r="O19" s="18" t="n">
        <v>0</v>
      </c>
      <c r="P19" s="20" t="n">
        <v>0</v>
      </c>
      <c r="Q19" s="18" t="n">
        <v>8.42862038</v>
      </c>
      <c r="R19" s="20" t="n">
        <v>1.65101546</v>
      </c>
    </row>
    <row r="20" spans="1:18">
      <c r="A20" s="15" t="s">
        <v>444</v>
      </c>
      <c r="B20" s="17" t="n">
        <v>1630</v>
      </c>
      <c r="C20" s="18">
        <f>(1446.0/B20*100)</f>
        <v/>
      </c>
      <c r="D20" s="19" t="n">
        <v>184</v>
      </c>
      <c r="E20" s="18" t="n">
        <v>34.24812415</v>
      </c>
      <c r="F20" s="20" t="n">
        <v>3.52120107</v>
      </c>
      <c r="G20" s="18" t="n">
        <v>54.43602684</v>
      </c>
      <c r="H20" s="20" t="n">
        <v>3.69697469</v>
      </c>
      <c r="I20" s="18" t="s">
        <v>431</v>
      </c>
      <c r="J20" s="20" t="s">
        <v>431</v>
      </c>
      <c r="K20" s="18" t="n">
        <v>2.352251</v>
      </c>
      <c r="L20" s="20" t="n">
        <v>1.12567349</v>
      </c>
      <c r="M20" s="18" t="n">
        <v>0.83929941</v>
      </c>
      <c r="N20" s="20" t="n">
        <v>0.59561626</v>
      </c>
      <c r="O20" s="18" t="n">
        <v>0</v>
      </c>
      <c r="P20" s="20" t="n">
        <v>0</v>
      </c>
      <c r="Q20" s="18" t="n">
        <v>8.124298599999999</v>
      </c>
      <c r="R20" s="20" t="n">
        <v>2.01921166</v>
      </c>
    </row>
    <row r="21" spans="1:18">
      <c r="A21" s="15" t="s">
        <v>445</v>
      </c>
      <c r="B21" s="17" t="n">
        <v>2908</v>
      </c>
      <c r="C21" s="18">
        <f>(2425.0/B21*100)</f>
        <v/>
      </c>
      <c r="D21" s="19" t="n">
        <v>483</v>
      </c>
      <c r="E21" s="18" t="n">
        <v>20.73928235</v>
      </c>
      <c r="F21" s="20" t="n">
        <v>1.92212233</v>
      </c>
      <c r="G21" s="18" t="n">
        <v>74.4532164</v>
      </c>
      <c r="H21" s="20" t="n">
        <v>2.00169675</v>
      </c>
      <c r="I21" s="18" t="s">
        <v>431</v>
      </c>
      <c r="J21" s="20" t="s">
        <v>431</v>
      </c>
      <c r="K21" s="18" t="n">
        <v>0.40594131</v>
      </c>
      <c r="L21" s="20" t="n">
        <v>0.28880211</v>
      </c>
      <c r="M21" s="18" t="n">
        <v>0</v>
      </c>
      <c r="N21" s="20" t="n">
        <v>0</v>
      </c>
      <c r="O21" s="18" t="n">
        <v>0</v>
      </c>
      <c r="P21" s="20" t="n">
        <v>0</v>
      </c>
      <c r="Q21" s="18" t="n">
        <v>4.40155993</v>
      </c>
      <c r="R21" s="20" t="n">
        <v>0.91759116</v>
      </c>
    </row>
    <row r="22" spans="1:18">
      <c r="A22" s="15" t="s">
        <v>446</v>
      </c>
      <c r="B22" s="17" t="n">
        <v>2931</v>
      </c>
      <c r="C22" s="18">
        <f>(2583.0/B22*100)</f>
        <v/>
      </c>
      <c r="D22" s="19" t="n">
        <v>348</v>
      </c>
      <c r="E22" s="18" t="n">
        <v>32.90016269</v>
      </c>
      <c r="F22" s="20" t="n">
        <v>3.1959979</v>
      </c>
      <c r="G22" s="18" t="n">
        <v>51.78757492</v>
      </c>
      <c r="H22" s="20" t="n">
        <v>3.31268565</v>
      </c>
      <c r="I22" s="18" t="s">
        <v>431</v>
      </c>
      <c r="J22" s="20" t="s">
        <v>431</v>
      </c>
      <c r="K22" s="18" t="n">
        <v>4.06567801</v>
      </c>
      <c r="L22" s="20" t="n">
        <v>1.11378766</v>
      </c>
      <c r="M22" s="18" t="n">
        <v>0</v>
      </c>
      <c r="N22" s="20" t="n">
        <v>0</v>
      </c>
      <c r="O22" s="18" t="n">
        <v>0</v>
      </c>
      <c r="P22" s="20" t="n">
        <v>0</v>
      </c>
      <c r="Q22" s="18" t="n">
        <v>11.24658439</v>
      </c>
      <c r="R22" s="20" t="n">
        <v>1.7384335</v>
      </c>
    </row>
    <row r="23" spans="1:18">
      <c r="A23" s="15" t="s">
        <v>447</v>
      </c>
      <c r="B23" s="17" t="n">
        <v>5791</v>
      </c>
      <c r="C23" s="18">
        <f>(5060.0/B23*100)</f>
        <v/>
      </c>
      <c r="D23" s="19" t="n">
        <v>731</v>
      </c>
      <c r="E23" s="18" t="n">
        <v>34.03599026</v>
      </c>
      <c r="F23" s="20" t="n">
        <v>2.67208645</v>
      </c>
      <c r="G23" s="18" t="n">
        <v>50.88502866</v>
      </c>
      <c r="H23" s="20" t="n">
        <v>2.41256615</v>
      </c>
      <c r="I23" s="18" t="s">
        <v>431</v>
      </c>
      <c r="J23" s="20" t="s">
        <v>431</v>
      </c>
      <c r="K23" s="18" t="n">
        <v>0.41239549</v>
      </c>
      <c r="L23" s="20" t="n">
        <v>0.21598525</v>
      </c>
      <c r="M23" s="18" t="n">
        <v>0.64652793</v>
      </c>
      <c r="N23" s="20" t="n">
        <v>0.38244702</v>
      </c>
      <c r="O23" s="18" t="n">
        <v>0</v>
      </c>
      <c r="P23" s="20" t="n">
        <v>0</v>
      </c>
      <c r="Q23" s="18" t="n">
        <v>14.02005767</v>
      </c>
      <c r="R23" s="20" t="n">
        <v>2.23317118</v>
      </c>
    </row>
    <row r="24" spans="1:18">
      <c r="A24" s="15" t="s">
        <v>448</v>
      </c>
      <c r="B24" s="17" t="n">
        <v>3338</v>
      </c>
      <c r="C24" s="18">
        <f>(2959.0/B24*100)</f>
        <v/>
      </c>
      <c r="D24" s="19" t="n">
        <v>379</v>
      </c>
      <c r="E24" s="18" t="n">
        <v>15.0931441</v>
      </c>
      <c r="F24" s="20" t="n">
        <v>2.20246512</v>
      </c>
      <c r="G24" s="18" t="n">
        <v>78.12247214</v>
      </c>
      <c r="H24" s="20" t="n">
        <v>2.60323172</v>
      </c>
      <c r="I24" s="18" t="s">
        <v>431</v>
      </c>
      <c r="J24" s="20" t="s">
        <v>431</v>
      </c>
      <c r="K24" s="18" t="n">
        <v>0.99851807</v>
      </c>
      <c r="L24" s="20" t="n">
        <v>0.49160361</v>
      </c>
      <c r="M24" s="18" t="n">
        <v>0</v>
      </c>
      <c r="N24" s="20" t="n">
        <v>0</v>
      </c>
      <c r="O24" s="18" t="n">
        <v>0</v>
      </c>
      <c r="P24" s="20" t="n">
        <v>0</v>
      </c>
      <c r="Q24" s="18" t="n">
        <v>5.78586569</v>
      </c>
      <c r="R24" s="20" t="n">
        <v>1.12432982</v>
      </c>
    </row>
    <row r="25" spans="1:18">
      <c r="A25" s="15" t="s">
        <v>449</v>
      </c>
      <c r="B25" s="17" t="n">
        <v>2912</v>
      </c>
      <c r="C25" s="18">
        <f>(2561.0/B25*100)</f>
        <v/>
      </c>
      <c r="D25" s="19" t="n">
        <v>351</v>
      </c>
      <c r="E25" s="18" t="n">
        <v>11.2219994</v>
      </c>
      <c r="F25" s="20" t="n">
        <v>1.8973815</v>
      </c>
      <c r="G25" s="18" t="n">
        <v>83.20127073</v>
      </c>
      <c r="H25" s="20" t="n">
        <v>2.47212557</v>
      </c>
      <c r="I25" s="18" t="s">
        <v>431</v>
      </c>
      <c r="J25" s="20" t="s">
        <v>431</v>
      </c>
      <c r="K25" s="18" t="n">
        <v>1.36146485</v>
      </c>
      <c r="L25" s="20" t="n">
        <v>0.61926781</v>
      </c>
      <c r="M25" s="18" t="n">
        <v>0</v>
      </c>
      <c r="N25" s="20" t="n">
        <v>0</v>
      </c>
      <c r="O25" s="18" t="n">
        <v>0</v>
      </c>
      <c r="P25" s="20" t="n">
        <v>0</v>
      </c>
      <c r="Q25" s="18" t="n">
        <v>4.21526502</v>
      </c>
      <c r="R25" s="20" t="n">
        <v>1.20227304</v>
      </c>
    </row>
    <row r="26" spans="1:18">
      <c r="A26" s="15" t="s">
        <v>450</v>
      </c>
      <c r="B26" s="17" t="n">
        <v>2450</v>
      </c>
      <c r="C26" s="18">
        <f>(2149.0/B26*100)</f>
        <v/>
      </c>
      <c r="D26" s="19" t="n">
        <v>301</v>
      </c>
      <c r="E26" s="18" t="n">
        <v>40.11184301</v>
      </c>
      <c r="F26" s="20" t="n">
        <v>2.5878743</v>
      </c>
      <c r="G26" s="18" t="n">
        <v>55.14761884</v>
      </c>
      <c r="H26" s="20" t="n">
        <v>2.84885856</v>
      </c>
      <c r="I26" s="18" t="s">
        <v>431</v>
      </c>
      <c r="J26" s="20" t="s">
        <v>431</v>
      </c>
      <c r="K26" s="18" t="n">
        <v>0</v>
      </c>
      <c r="L26" s="20" t="n">
        <v>0</v>
      </c>
      <c r="M26" s="18" t="n">
        <v>0.23283737</v>
      </c>
      <c r="N26" s="20" t="n">
        <v>0.2336545</v>
      </c>
      <c r="O26" s="18" t="n">
        <v>0</v>
      </c>
      <c r="P26" s="20" t="n">
        <v>0</v>
      </c>
      <c r="Q26" s="18" t="n">
        <v>4.50770078</v>
      </c>
      <c r="R26" s="20" t="n">
        <v>1.32097891</v>
      </c>
    </row>
    <row r="27" spans="1:18">
      <c r="A27" s="15" t="s">
        <v>451</v>
      </c>
      <c r="B27" s="17" t="n">
        <v>2616</v>
      </c>
      <c r="C27" s="18">
        <f>(2317.0/B27*100)</f>
        <v/>
      </c>
      <c r="D27" s="19" t="n">
        <v>299</v>
      </c>
      <c r="E27" s="18" t="n">
        <v>26.13796776</v>
      </c>
      <c r="F27" s="20" t="n">
        <v>2.45796899</v>
      </c>
      <c r="G27" s="18" t="n">
        <v>60.27723497</v>
      </c>
      <c r="H27" s="20" t="n">
        <v>2.72860712</v>
      </c>
      <c r="I27" s="18" t="s">
        <v>431</v>
      </c>
      <c r="J27" s="20" t="s">
        <v>431</v>
      </c>
      <c r="K27" s="18" t="n">
        <v>2.78735362</v>
      </c>
      <c r="L27" s="20" t="n">
        <v>0.96457717</v>
      </c>
      <c r="M27" s="18" t="n">
        <v>0</v>
      </c>
      <c r="N27" s="20" t="n">
        <v>0</v>
      </c>
      <c r="O27" s="18" t="n">
        <v>0</v>
      </c>
      <c r="P27" s="20" t="n">
        <v>0</v>
      </c>
      <c r="Q27" s="18" t="n">
        <v>10.79744365</v>
      </c>
      <c r="R27" s="20" t="n">
        <v>1.83735093</v>
      </c>
    </row>
    <row r="28" spans="1:18">
      <c r="A28" s="15" t="s">
        <v>452</v>
      </c>
      <c r="B28" s="17" t="n">
        <v>3765</v>
      </c>
      <c r="C28" s="18">
        <f>(3362.0/B28*100)</f>
        <v/>
      </c>
      <c r="D28" s="19" t="n">
        <v>403</v>
      </c>
      <c r="E28" s="18" t="n">
        <v>53.93567729</v>
      </c>
      <c r="F28" s="20" t="n">
        <v>2.21061526</v>
      </c>
      <c r="G28" s="18" t="n">
        <v>41.10206167</v>
      </c>
      <c r="H28" s="20" t="n">
        <v>2.1842872</v>
      </c>
      <c r="I28" s="18" t="s">
        <v>431</v>
      </c>
      <c r="J28" s="20" t="s">
        <v>431</v>
      </c>
      <c r="K28" s="18" t="n">
        <v>1.41317868</v>
      </c>
      <c r="L28" s="20" t="n">
        <v>0.66777116</v>
      </c>
      <c r="M28" s="18" t="n">
        <v>0</v>
      </c>
      <c r="N28" s="20" t="n">
        <v>0</v>
      </c>
      <c r="O28" s="18" t="n">
        <v>0</v>
      </c>
      <c r="P28" s="20" t="n">
        <v>0</v>
      </c>
      <c r="Q28" s="18" t="n">
        <v>3.54908236</v>
      </c>
      <c r="R28" s="20" t="n">
        <v>0.9437306</v>
      </c>
    </row>
    <row r="29" spans="1:18">
      <c r="A29" s="15" t="s">
        <v>453</v>
      </c>
      <c r="B29" s="17" t="n">
        <v>2685</v>
      </c>
      <c r="C29" s="18">
        <f>(2363.0/B29*100)</f>
        <v/>
      </c>
      <c r="D29" s="19" t="n">
        <v>322</v>
      </c>
      <c r="E29" s="18" t="n">
        <v>25.84968149</v>
      </c>
      <c r="F29" s="20" t="n">
        <v>2.26539106</v>
      </c>
      <c r="G29" s="18" t="n">
        <v>71.76886598999999</v>
      </c>
      <c r="H29" s="20" t="n">
        <v>2.45646865</v>
      </c>
      <c r="I29" s="18" t="s">
        <v>431</v>
      </c>
      <c r="J29" s="20" t="s">
        <v>431</v>
      </c>
      <c r="K29" s="18" t="n">
        <v>0.87968735</v>
      </c>
      <c r="L29" s="20" t="n">
        <v>0.52804237</v>
      </c>
      <c r="M29" s="18" t="n">
        <v>0</v>
      </c>
      <c r="N29" s="20" t="n">
        <v>0</v>
      </c>
      <c r="O29" s="18" t="n">
        <v>0</v>
      </c>
      <c r="P29" s="20" t="n">
        <v>0</v>
      </c>
      <c r="Q29" s="18" t="n">
        <v>1.50176517</v>
      </c>
      <c r="R29" s="20" t="n">
        <v>0.68263849</v>
      </c>
    </row>
    <row r="30" spans="1:18">
      <c r="A30" s="15" t="s">
        <v>454</v>
      </c>
      <c r="B30" s="17" t="n">
        <v>2263</v>
      </c>
      <c r="C30" s="18">
        <f>(1999.0/B30*100)</f>
        <v/>
      </c>
      <c r="D30" s="19" t="n">
        <v>264</v>
      </c>
      <c r="E30" s="18" t="n">
        <v>26.09470694</v>
      </c>
      <c r="F30" s="20" t="n">
        <v>2.87416404</v>
      </c>
      <c r="G30" s="18" t="n">
        <v>62.70119866</v>
      </c>
      <c r="H30" s="20" t="n">
        <v>3.13682077</v>
      </c>
      <c r="I30" s="18" t="s">
        <v>431</v>
      </c>
      <c r="J30" s="20" t="s">
        <v>431</v>
      </c>
      <c r="K30" s="18" t="n">
        <v>0.9565061500000001</v>
      </c>
      <c r="L30" s="20" t="n">
        <v>0.53260935</v>
      </c>
      <c r="M30" s="18" t="n">
        <v>0</v>
      </c>
      <c r="N30" s="20" t="n">
        <v>0</v>
      </c>
      <c r="O30" s="18" t="n">
        <v>0</v>
      </c>
      <c r="P30" s="20" t="n">
        <v>0</v>
      </c>
      <c r="Q30" s="18" t="n">
        <v>10.24758825</v>
      </c>
      <c r="R30" s="20" t="n">
        <v>2.02486682</v>
      </c>
    </row>
    <row r="31" spans="1:18">
      <c r="A31" s="15" t="s">
        <v>455</v>
      </c>
      <c r="B31" s="17" t="n">
        <v>2750</v>
      </c>
      <c r="C31" s="18">
        <f>(2433.0/B31*100)</f>
        <v/>
      </c>
      <c r="D31" s="19" t="n">
        <v>317</v>
      </c>
      <c r="E31" s="18" t="n">
        <v>27.33967474</v>
      </c>
      <c r="F31" s="20" t="n">
        <v>2.5970979</v>
      </c>
      <c r="G31" s="18" t="n">
        <v>63.75705442</v>
      </c>
      <c r="H31" s="20" t="n">
        <v>2.74867622</v>
      </c>
      <c r="I31" s="18" t="s">
        <v>431</v>
      </c>
      <c r="J31" s="20" t="s">
        <v>431</v>
      </c>
      <c r="K31" s="18" t="n">
        <v>2.25420529</v>
      </c>
      <c r="L31" s="20" t="n">
        <v>0.86348219</v>
      </c>
      <c r="M31" s="18" t="n">
        <v>0</v>
      </c>
      <c r="N31" s="20" t="n">
        <v>0</v>
      </c>
      <c r="O31" s="18" t="n">
        <v>0</v>
      </c>
      <c r="P31" s="20" t="n">
        <v>0</v>
      </c>
      <c r="Q31" s="18" t="n">
        <v>6.64906555</v>
      </c>
      <c r="R31" s="20" t="n">
        <v>1.33064449</v>
      </c>
    </row>
    <row r="32" spans="1:18">
      <c r="A32" s="15" t="s">
        <v>456</v>
      </c>
      <c r="B32" s="17" t="n">
        <v>2269</v>
      </c>
      <c r="C32" s="18">
        <f>(1900.0/B32*100)</f>
        <v/>
      </c>
      <c r="D32" s="19" t="n">
        <v>369</v>
      </c>
      <c r="E32" s="18" t="n">
        <v>32.0036761</v>
      </c>
      <c r="F32" s="20" t="n">
        <v>2.05403793</v>
      </c>
      <c r="G32" s="18" t="n">
        <v>59.49897734</v>
      </c>
      <c r="H32" s="20" t="n">
        <v>2.17135245</v>
      </c>
      <c r="I32" s="18" t="s">
        <v>431</v>
      </c>
      <c r="J32" s="20" t="s">
        <v>431</v>
      </c>
      <c r="K32" s="18" t="n">
        <v>1.01070529</v>
      </c>
      <c r="L32" s="20" t="n">
        <v>0.4816328</v>
      </c>
      <c r="M32" s="18" t="n">
        <v>0.25392195</v>
      </c>
      <c r="N32" s="20" t="n">
        <v>0.25355974</v>
      </c>
      <c r="O32" s="18" t="n">
        <v>0</v>
      </c>
      <c r="P32" s="20" t="n">
        <v>0</v>
      </c>
      <c r="Q32" s="18" t="n">
        <v>7.23271932</v>
      </c>
      <c r="R32" s="20" t="n">
        <v>1.44198601</v>
      </c>
    </row>
    <row r="33" spans="1:18">
      <c r="A33" s="15" t="s">
        <v>457</v>
      </c>
      <c r="B33" s="17" t="n">
        <v>3674</v>
      </c>
      <c r="C33" s="18">
        <f>(3249.0/B33*100)</f>
        <v/>
      </c>
      <c r="D33" s="19" t="n">
        <v>425</v>
      </c>
      <c r="E33" s="18" t="n">
        <v>26.80733844</v>
      </c>
      <c r="F33" s="20" t="n">
        <v>3.00950138</v>
      </c>
      <c r="G33" s="18" t="n">
        <v>62.8958129</v>
      </c>
      <c r="H33" s="20" t="n">
        <v>2.73703508</v>
      </c>
      <c r="I33" s="18" t="s">
        <v>431</v>
      </c>
      <c r="J33" s="20" t="s">
        <v>431</v>
      </c>
      <c r="K33" s="18" t="n">
        <v>0.95847194</v>
      </c>
      <c r="L33" s="20" t="n">
        <v>0.46763567</v>
      </c>
      <c r="M33" s="18" t="n">
        <v>0</v>
      </c>
      <c r="N33" s="20" t="n">
        <v>0</v>
      </c>
      <c r="O33" s="18" t="n">
        <v>0</v>
      </c>
      <c r="P33" s="20" t="n">
        <v>0</v>
      </c>
      <c r="Q33" s="18" t="n">
        <v>9.33837673</v>
      </c>
      <c r="R33" s="20" t="n">
        <v>1.76988438</v>
      </c>
    </row>
    <row r="34" spans="1:18">
      <c r="A34" s="15" t="s">
        <v>458</v>
      </c>
      <c r="B34" s="17" t="n">
        <v>3315</v>
      </c>
      <c r="C34" s="18">
        <f>(2927.0/B34*100)</f>
        <v/>
      </c>
      <c r="D34" s="19" t="n">
        <v>388</v>
      </c>
      <c r="E34" s="18" t="n">
        <v>32.87148667</v>
      </c>
      <c r="F34" s="20" t="n">
        <v>2.68282131</v>
      </c>
      <c r="G34" s="18" t="n">
        <v>52.79259229</v>
      </c>
      <c r="H34" s="20" t="n">
        <v>2.7861589</v>
      </c>
      <c r="I34" s="18" t="s">
        <v>431</v>
      </c>
      <c r="J34" s="20" t="s">
        <v>431</v>
      </c>
      <c r="K34" s="18" t="n">
        <v>0.55274931</v>
      </c>
      <c r="L34" s="20" t="n">
        <v>0.56762911</v>
      </c>
      <c r="M34" s="18" t="n">
        <v>0</v>
      </c>
      <c r="N34" s="20" t="n">
        <v>0</v>
      </c>
      <c r="O34" s="18" t="n">
        <v>0</v>
      </c>
      <c r="P34" s="20" t="n">
        <v>0</v>
      </c>
      <c r="Q34" s="18" t="n">
        <v>13.78317173</v>
      </c>
      <c r="R34" s="20" t="n">
        <v>1.50435367</v>
      </c>
    </row>
    <row r="35" spans="1:18">
      <c r="A35" s="15" t="s">
        <v>459</v>
      </c>
      <c r="B35" s="17" t="n">
        <v>3505</v>
      </c>
      <c r="C35" s="18">
        <f>(3082.0/B35*100)</f>
        <v/>
      </c>
      <c r="D35" s="19" t="n">
        <v>423</v>
      </c>
      <c r="E35" s="18" t="n">
        <v>33.16806688</v>
      </c>
      <c r="F35" s="20" t="n">
        <v>3.25574079</v>
      </c>
      <c r="G35" s="18" t="n">
        <v>58.03030238</v>
      </c>
      <c r="H35" s="20" t="n">
        <v>3.1108653</v>
      </c>
      <c r="I35" s="18" t="s">
        <v>431</v>
      </c>
      <c r="J35" s="20" t="s">
        <v>431</v>
      </c>
      <c r="K35" s="18" t="n">
        <v>0.50527994</v>
      </c>
      <c r="L35" s="20" t="n">
        <v>0.28128671</v>
      </c>
      <c r="M35" s="18" t="n">
        <v>0.44501133</v>
      </c>
      <c r="N35" s="20" t="n">
        <v>0.4466762</v>
      </c>
      <c r="O35" s="18" t="n">
        <v>0</v>
      </c>
      <c r="P35" s="20" t="n">
        <v>0</v>
      </c>
      <c r="Q35" s="18" t="n">
        <v>7.85133947</v>
      </c>
      <c r="R35" s="20" t="n">
        <v>1.80717348</v>
      </c>
    </row>
    <row r="36" spans="1:18">
      <c r="A36" s="15" t="s">
        <v>460</v>
      </c>
      <c r="B36" s="17" t="n">
        <v>3332</v>
      </c>
      <c r="C36" s="18">
        <f>(2941.0/B36*100)</f>
        <v/>
      </c>
      <c r="D36" s="19" t="n">
        <v>391</v>
      </c>
      <c r="E36" s="18" t="n">
        <v>36.24103686</v>
      </c>
      <c r="F36" s="20" t="n">
        <v>2.78944854</v>
      </c>
      <c r="G36" s="18" t="n">
        <v>53.93797129</v>
      </c>
      <c r="H36" s="20" t="n">
        <v>2.68269949</v>
      </c>
      <c r="I36" s="18" t="s">
        <v>431</v>
      </c>
      <c r="J36" s="20" t="s">
        <v>431</v>
      </c>
      <c r="K36" s="18" t="n">
        <v>1.0377833</v>
      </c>
      <c r="L36" s="20" t="n">
        <v>0.53210417</v>
      </c>
      <c r="M36" s="18" t="n">
        <v>0</v>
      </c>
      <c r="N36" s="20" t="n">
        <v>0</v>
      </c>
      <c r="O36" s="18" t="n">
        <v>0</v>
      </c>
      <c r="P36" s="20" t="n">
        <v>0</v>
      </c>
      <c r="Q36" s="18" t="n">
        <v>8.783208549999999</v>
      </c>
      <c r="R36" s="20" t="n">
        <v>1.5259147</v>
      </c>
    </row>
    <row r="37" spans="1:18">
      <c r="A37" s="15" t="s">
        <v>461</v>
      </c>
      <c r="B37" s="17" t="n">
        <v>2727</v>
      </c>
      <c r="C37" s="18">
        <f>(2404.0/B37*100)</f>
        <v/>
      </c>
      <c r="D37" s="19" t="n">
        <v>323</v>
      </c>
      <c r="E37" s="18" t="n">
        <v>27.06963563</v>
      </c>
      <c r="F37" s="20" t="n">
        <v>2.67026153</v>
      </c>
      <c r="G37" s="18" t="n">
        <v>58.20404828</v>
      </c>
      <c r="H37" s="20" t="n">
        <v>3.0824759</v>
      </c>
      <c r="I37" s="18" t="s">
        <v>431</v>
      </c>
      <c r="J37" s="20" t="s">
        <v>431</v>
      </c>
      <c r="K37" s="18" t="n">
        <v>5.09376296</v>
      </c>
      <c r="L37" s="20" t="n">
        <v>0.99388269</v>
      </c>
      <c r="M37" s="18" t="n">
        <v>0</v>
      </c>
      <c r="N37" s="20" t="n">
        <v>0</v>
      </c>
      <c r="O37" s="18" t="n">
        <v>0</v>
      </c>
      <c r="P37" s="20" t="n">
        <v>0</v>
      </c>
      <c r="Q37" s="18" t="n">
        <v>9.632553140000001</v>
      </c>
      <c r="R37" s="20" t="n">
        <v>1.65448698</v>
      </c>
    </row>
    <row r="38" spans="1:18">
      <c r="A38" s="15" t="s">
        <v>462</v>
      </c>
      <c r="B38" s="17" t="n">
        <v>3053</v>
      </c>
      <c r="C38" s="18">
        <f>(2555.0/B38*100)</f>
        <v/>
      </c>
      <c r="D38" s="19" t="n">
        <v>498</v>
      </c>
      <c r="E38" s="18" t="n">
        <v>32.38939523</v>
      </c>
      <c r="F38" s="20" t="n">
        <v>2.19530682</v>
      </c>
      <c r="G38" s="18" t="n">
        <v>61.2606007</v>
      </c>
      <c r="H38" s="20" t="n">
        <v>2.15849186</v>
      </c>
      <c r="I38" s="18" t="s">
        <v>431</v>
      </c>
      <c r="J38" s="20" t="s">
        <v>431</v>
      </c>
      <c r="K38" s="18" t="n">
        <v>1.46279626</v>
      </c>
      <c r="L38" s="20" t="n">
        <v>0.56188754</v>
      </c>
      <c r="M38" s="18" t="n">
        <v>0</v>
      </c>
      <c r="N38" s="20" t="n">
        <v>0</v>
      </c>
      <c r="O38" s="18" t="n">
        <v>0</v>
      </c>
      <c r="P38" s="20" t="n">
        <v>0</v>
      </c>
      <c r="Q38" s="18" t="n">
        <v>4.8872078</v>
      </c>
      <c r="R38" s="20" t="n">
        <v>0.94205881</v>
      </c>
    </row>
    <row r="39" spans="1:18">
      <c r="A39" s="15" t="s">
        <v>463</v>
      </c>
      <c r="B39" s="17" t="n">
        <v>2957</v>
      </c>
      <c r="C39" s="18">
        <f>(2594.0/B39*100)</f>
        <v/>
      </c>
      <c r="D39" s="19" t="n">
        <v>363</v>
      </c>
      <c r="E39" s="18" t="n">
        <v>44.85726094</v>
      </c>
      <c r="F39" s="20" t="n">
        <v>3.29779749</v>
      </c>
      <c r="G39" s="18" t="n">
        <v>39.67452469</v>
      </c>
      <c r="H39" s="20" t="n">
        <v>3.5248846</v>
      </c>
      <c r="I39" s="18" t="s">
        <v>431</v>
      </c>
      <c r="J39" s="20" t="s">
        <v>431</v>
      </c>
      <c r="K39" s="18" t="n">
        <v>1.53143896</v>
      </c>
      <c r="L39" s="20" t="n">
        <v>0.64132163</v>
      </c>
      <c r="M39" s="18" t="n">
        <v>0.12372106</v>
      </c>
      <c r="N39" s="20" t="n">
        <v>0.08845647</v>
      </c>
      <c r="O39" s="18" t="n">
        <v>0</v>
      </c>
      <c r="P39" s="20" t="n">
        <v>0</v>
      </c>
      <c r="Q39" s="18" t="n">
        <v>13.81305435</v>
      </c>
      <c r="R39" s="20" t="n">
        <v>1.78552877</v>
      </c>
    </row>
    <row r="40" spans="1:18">
      <c r="A40" s="15" t="s">
        <v>464</v>
      </c>
      <c r="B40" s="17" t="n">
        <v>7235</v>
      </c>
      <c r="C40" s="18">
        <f>(6349.0/B40*100)</f>
        <v/>
      </c>
      <c r="D40" s="19" t="n">
        <v>886</v>
      </c>
      <c r="E40" s="18" t="n">
        <v>30.91420031</v>
      </c>
      <c r="F40" s="20" t="n">
        <v>2.68247233</v>
      </c>
      <c r="G40" s="18" t="n">
        <v>60.16718877</v>
      </c>
      <c r="H40" s="20" t="n">
        <v>2.6749645</v>
      </c>
      <c r="I40" s="18" t="s">
        <v>431</v>
      </c>
      <c r="J40" s="20" t="s">
        <v>431</v>
      </c>
      <c r="K40" s="18" t="n">
        <v>0.75877762</v>
      </c>
      <c r="L40" s="20" t="n">
        <v>0.35396532</v>
      </c>
      <c r="M40" s="18" t="n">
        <v>0.58140714</v>
      </c>
      <c r="N40" s="20" t="n">
        <v>0.44209778</v>
      </c>
      <c r="O40" s="18" t="n">
        <v>0</v>
      </c>
      <c r="P40" s="20" t="n">
        <v>0</v>
      </c>
      <c r="Q40" s="18" t="n">
        <v>7.57842616</v>
      </c>
      <c r="R40" s="20" t="n">
        <v>1.1691219</v>
      </c>
    </row>
    <row r="41" spans="1:18">
      <c r="A41" s="15" t="s">
        <v>465</v>
      </c>
      <c r="B41" s="17" t="n">
        <v>2858</v>
      </c>
      <c r="C41" s="18">
        <f>(2498.0/B41*100)</f>
        <v/>
      </c>
      <c r="D41" s="19" t="n">
        <v>360</v>
      </c>
      <c r="E41" s="18" t="n">
        <v>35.83809841</v>
      </c>
      <c r="F41" s="20" t="n">
        <v>2.6615074</v>
      </c>
      <c r="G41" s="18" t="n">
        <v>60.35156807</v>
      </c>
      <c r="H41" s="20" t="n">
        <v>2.7003358</v>
      </c>
      <c r="I41" s="18" t="s">
        <v>431</v>
      </c>
      <c r="J41" s="20" t="s">
        <v>431</v>
      </c>
      <c r="K41" s="18" t="n">
        <v>0.62110869</v>
      </c>
      <c r="L41" s="20" t="n">
        <v>0.10895448</v>
      </c>
      <c r="M41" s="18" t="n">
        <v>0</v>
      </c>
      <c r="N41" s="20" t="n">
        <v>0</v>
      </c>
      <c r="O41" s="18" t="n">
        <v>0</v>
      </c>
      <c r="P41" s="20" t="n">
        <v>0</v>
      </c>
      <c r="Q41" s="18" t="n">
        <v>3.18922484</v>
      </c>
      <c r="R41" s="20" t="n">
        <v>0.8674212100000001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(10073.0/B46*100)</f>
        <v/>
      </c>
      <c r="D46" s="19" t="n">
        <v>995</v>
      </c>
      <c r="E46" s="18" t="n">
        <v>34.71357059</v>
      </c>
      <c r="F46" s="20" t="n">
        <v>2.177331</v>
      </c>
      <c r="G46" s="18" t="n">
        <v>43.9935622</v>
      </c>
      <c r="H46" s="20" t="n">
        <v>2.11603362</v>
      </c>
      <c r="I46" s="18" t="s">
        <v>431</v>
      </c>
      <c r="J46" s="20" t="s">
        <v>431</v>
      </c>
      <c r="K46" s="18" t="n">
        <v>2.9165846</v>
      </c>
      <c r="L46" s="20" t="n">
        <v>0.67213513</v>
      </c>
      <c r="M46" s="18" t="n">
        <v>0.25465692</v>
      </c>
      <c r="N46" s="20" t="n">
        <v>0.17023363</v>
      </c>
      <c r="O46" s="18" t="n">
        <v>0</v>
      </c>
      <c r="P46" s="20" t="n">
        <v>0</v>
      </c>
      <c r="Q46" s="18" t="n">
        <v>18.12162569</v>
      </c>
      <c r="R46" s="20" t="n">
        <v>1.38542121</v>
      </c>
    </row>
    <row r="47" spans="1:18">
      <c r="A47" s="15" t="s">
        <v>471</v>
      </c>
      <c r="B47" s="17" t="n">
        <v>3105</v>
      </c>
      <c r="C47" s="18">
        <f>(2733.0/B47*100)</f>
        <v/>
      </c>
      <c r="D47" s="19" t="n">
        <v>372</v>
      </c>
      <c r="E47" s="18" t="n">
        <v>32.60582698</v>
      </c>
      <c r="F47" s="20" t="n">
        <v>2.53008091</v>
      </c>
      <c r="G47" s="18" t="n">
        <v>46.98858641</v>
      </c>
      <c r="H47" s="20" t="n">
        <v>2.81410948</v>
      </c>
      <c r="I47" s="18" t="s">
        <v>431</v>
      </c>
      <c r="J47" s="20" t="s">
        <v>431</v>
      </c>
      <c r="K47" s="18" t="n">
        <v>0</v>
      </c>
      <c r="L47" s="20" t="n">
        <v>0</v>
      </c>
      <c r="M47" s="18" t="n">
        <v>0</v>
      </c>
      <c r="N47" s="20" t="n">
        <v>0</v>
      </c>
      <c r="O47" s="18" t="n">
        <v>0</v>
      </c>
      <c r="P47" s="20" t="n">
        <v>0</v>
      </c>
      <c r="Q47" s="18" t="n">
        <v>20.4055866</v>
      </c>
      <c r="R47" s="20" t="n">
        <v>2.30035782</v>
      </c>
    </row>
    <row r="48" spans="1:18">
      <c r="A48" s="15" t="s">
        <v>472</v>
      </c>
      <c r="B48" s="17" t="n">
        <v>5159</v>
      </c>
      <c r="C48" s="18">
        <f>(4556.0/B48*100)</f>
        <v/>
      </c>
      <c r="D48" s="19" t="n">
        <v>603</v>
      </c>
      <c r="E48" s="18" t="n">
        <v>18.06133649</v>
      </c>
      <c r="F48" s="20" t="n">
        <v>2.07442435</v>
      </c>
      <c r="G48" s="18" t="n">
        <v>74.11910134</v>
      </c>
      <c r="H48" s="20" t="n">
        <v>2.55118696</v>
      </c>
      <c r="I48" s="18" t="s">
        <v>431</v>
      </c>
      <c r="J48" s="20" t="s">
        <v>431</v>
      </c>
      <c r="K48" s="18" t="n">
        <v>1.63723676</v>
      </c>
      <c r="L48" s="20" t="n">
        <v>0.71634526</v>
      </c>
      <c r="M48" s="18" t="n">
        <v>0</v>
      </c>
      <c r="N48" s="20" t="n">
        <v>0</v>
      </c>
      <c r="O48" s="18" t="n">
        <v>0</v>
      </c>
      <c r="P48" s="20" t="n">
        <v>0</v>
      </c>
      <c r="Q48" s="18" t="n">
        <v>6.18232541</v>
      </c>
      <c r="R48" s="20" t="n">
        <v>1.31773819</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(4997.0/B50*100)</f>
        <v/>
      </c>
      <c r="D50" s="19" t="n">
        <v>640</v>
      </c>
      <c r="E50" s="18" t="n">
        <v>44.03903772</v>
      </c>
      <c r="F50" s="20" t="n">
        <v>2.62173343</v>
      </c>
      <c r="G50" s="18" t="n">
        <v>43.99647297</v>
      </c>
      <c r="H50" s="20" t="n">
        <v>2.5319487</v>
      </c>
      <c r="I50" s="18" t="s">
        <v>431</v>
      </c>
      <c r="J50" s="20" t="s">
        <v>431</v>
      </c>
      <c r="K50" s="18" t="n">
        <v>4.25294747</v>
      </c>
      <c r="L50" s="20" t="n">
        <v>1.0471112</v>
      </c>
      <c r="M50" s="18" t="n">
        <v>0</v>
      </c>
      <c r="N50" s="20" t="n">
        <v>0</v>
      </c>
      <c r="O50" s="18" t="n">
        <v>0</v>
      </c>
      <c r="P50" s="20" t="n">
        <v>0</v>
      </c>
      <c r="Q50" s="18" t="n">
        <v>7.71154184</v>
      </c>
      <c r="R50" s="20" t="n">
        <v>1.78873714</v>
      </c>
    </row>
    <row r="51" spans="1:18">
      <c r="A51" s="15" t="s">
        <v>475</v>
      </c>
      <c r="B51" s="17" t="n">
        <v>3372</v>
      </c>
      <c r="C51" s="18">
        <f>(3023.0/B51*100)</f>
        <v/>
      </c>
      <c r="D51" s="19" t="n">
        <v>349</v>
      </c>
      <c r="E51" s="18" t="n">
        <v>44.63141576</v>
      </c>
      <c r="F51" s="20" t="n">
        <v>3.15844694</v>
      </c>
      <c r="G51" s="18" t="n">
        <v>44.49583733</v>
      </c>
      <c r="H51" s="20" t="n">
        <v>3.15144191</v>
      </c>
      <c r="I51" s="18" t="s">
        <v>431</v>
      </c>
      <c r="J51" s="20" t="s">
        <v>431</v>
      </c>
      <c r="K51" s="18" t="n">
        <v>3.06635421</v>
      </c>
      <c r="L51" s="20" t="n">
        <v>1.01906676</v>
      </c>
      <c r="M51" s="18" t="n">
        <v>0</v>
      </c>
      <c r="N51" s="20" t="n">
        <v>0</v>
      </c>
      <c r="O51" s="18" t="n">
        <v>0</v>
      </c>
      <c r="P51" s="20" t="n">
        <v>0</v>
      </c>
      <c r="Q51" s="18" t="n">
        <v>7.8063927</v>
      </c>
      <c r="R51" s="20" t="n">
        <v>1.52755499</v>
      </c>
    </row>
    <row r="52" spans="1:18">
      <c r="A52" s="15" t="s">
        <v>476</v>
      </c>
      <c r="B52" s="17" t="n">
        <v>2796</v>
      </c>
      <c r="C52" s="18">
        <f>(2448.0/B52*100)</f>
        <v/>
      </c>
      <c r="D52" s="19" t="n">
        <v>348</v>
      </c>
      <c r="E52" s="18" t="n">
        <v>32.15378229</v>
      </c>
      <c r="F52" s="20" t="n">
        <v>2.57741711</v>
      </c>
      <c r="G52" s="18" t="n">
        <v>57.11001362</v>
      </c>
      <c r="H52" s="20" t="n">
        <v>2.59535594</v>
      </c>
      <c r="I52" s="18" t="s">
        <v>431</v>
      </c>
      <c r="J52" s="20" t="s">
        <v>431</v>
      </c>
      <c r="K52" s="18" t="n">
        <v>0.88116701</v>
      </c>
      <c r="L52" s="20" t="n">
        <v>0.51770408</v>
      </c>
      <c r="M52" s="18" t="n">
        <v>0</v>
      </c>
      <c r="N52" s="20" t="n">
        <v>0</v>
      </c>
      <c r="O52" s="18" t="n">
        <v>0</v>
      </c>
      <c r="P52" s="20" t="n">
        <v>0</v>
      </c>
      <c r="Q52" s="18" t="n">
        <v>9.85503707</v>
      </c>
      <c r="R52" s="20" t="n">
        <v>1.23209343</v>
      </c>
    </row>
    <row r="53" spans="1:18">
      <c r="A53" s="15" t="s">
        <v>477</v>
      </c>
      <c r="B53" s="17" t="n">
        <v>2811</v>
      </c>
      <c r="C53" s="18">
        <f>(2477.0/B53*100)</f>
        <v/>
      </c>
      <c r="D53" s="19" t="n">
        <v>334</v>
      </c>
      <c r="E53" s="18" t="n">
        <v>29.54840656</v>
      </c>
      <c r="F53" s="20" t="n">
        <v>2.50607222</v>
      </c>
      <c r="G53" s="18" t="n">
        <v>44.17052873</v>
      </c>
      <c r="H53" s="20" t="n">
        <v>3.01564845</v>
      </c>
      <c r="I53" s="18" t="s">
        <v>431</v>
      </c>
      <c r="J53" s="20" t="s">
        <v>431</v>
      </c>
      <c r="K53" s="18" t="n">
        <v>3.13125849</v>
      </c>
      <c r="L53" s="20" t="n">
        <v>0.87750836</v>
      </c>
      <c r="M53" s="18" t="n">
        <v>0</v>
      </c>
      <c r="N53" s="20" t="n">
        <v>0</v>
      </c>
      <c r="O53" s="18" t="n">
        <v>0</v>
      </c>
      <c r="P53" s="20" t="n">
        <v>0</v>
      </c>
      <c r="Q53" s="18" t="n">
        <v>23.14980622</v>
      </c>
      <c r="R53" s="20" t="n">
        <v>2.42280009</v>
      </c>
    </row>
    <row r="54" spans="1:18">
      <c r="A54" s="15" t="s">
        <v>478</v>
      </c>
      <c r="B54" s="17" t="n">
        <v>2266</v>
      </c>
      <c r="C54" s="18">
        <f>(1909.0/B54*100)</f>
        <v/>
      </c>
      <c r="D54" s="19" t="n">
        <v>357</v>
      </c>
      <c r="E54" s="18" t="n">
        <v>42.19871144</v>
      </c>
      <c r="F54" s="20" t="n">
        <v>2.9262982</v>
      </c>
      <c r="G54" s="18" t="n">
        <v>23.17124058</v>
      </c>
      <c r="H54" s="20" t="n">
        <v>2.66293687</v>
      </c>
      <c r="I54" s="18" t="s">
        <v>431</v>
      </c>
      <c r="J54" s="20" t="s">
        <v>431</v>
      </c>
      <c r="K54" s="18" t="n">
        <v>14.97412592</v>
      </c>
      <c r="L54" s="20" t="n">
        <v>1.88265645</v>
      </c>
      <c r="M54" s="18" t="n">
        <v>0.55029287</v>
      </c>
      <c r="N54" s="20" t="n">
        <v>0.38236403</v>
      </c>
      <c r="O54" s="18" t="n">
        <v>0</v>
      </c>
      <c r="P54" s="20" t="n">
        <v>0</v>
      </c>
      <c r="Q54" s="18" t="n">
        <v>19.10562919</v>
      </c>
      <c r="R54" s="20" t="n">
        <v>2.41480733</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(2338.0/B56*100)</f>
        <v/>
      </c>
      <c r="D56" s="19" t="n">
        <v>346</v>
      </c>
      <c r="E56" s="18" t="n">
        <v>12.05143531</v>
      </c>
      <c r="F56" s="20" t="n">
        <v>1.63569963</v>
      </c>
      <c r="G56" s="18" t="n">
        <v>84.44521543</v>
      </c>
      <c r="H56" s="20" t="n">
        <v>1.97074207</v>
      </c>
      <c r="I56" s="18" t="s">
        <v>431</v>
      </c>
      <c r="J56" s="20" t="s">
        <v>431</v>
      </c>
      <c r="K56" s="18" t="n">
        <v>1.18623886</v>
      </c>
      <c r="L56" s="20" t="n">
        <v>0.6630705099999999</v>
      </c>
      <c r="M56" s="18" t="n">
        <v>0</v>
      </c>
      <c r="N56" s="20" t="n">
        <v>0</v>
      </c>
      <c r="O56" s="18" t="n">
        <v>0</v>
      </c>
      <c r="P56" s="20" t="n">
        <v>0</v>
      </c>
      <c r="Q56" s="18" t="n">
        <v>2.3171104</v>
      </c>
      <c r="R56" s="20" t="n">
        <v>0.7574313499999999</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(2920.0/B61*100)</f>
        <v/>
      </c>
      <c r="D61" s="19" t="n">
        <v>404</v>
      </c>
      <c r="E61" s="18" t="n">
        <v>35.32029769</v>
      </c>
      <c r="F61" s="20" t="n">
        <v>2.28308757</v>
      </c>
      <c r="G61" s="18" t="n">
        <v>53.6380971</v>
      </c>
      <c r="H61" s="20" t="n">
        <v>2.71128886</v>
      </c>
      <c r="I61" s="18" t="s">
        <v>431</v>
      </c>
      <c r="J61" s="20" t="s">
        <v>431</v>
      </c>
      <c r="K61" s="18" t="n">
        <v>1.90721996</v>
      </c>
      <c r="L61" s="20" t="n">
        <v>0.8425965399999999</v>
      </c>
      <c r="M61" s="18" t="n">
        <v>0</v>
      </c>
      <c r="N61" s="20" t="n">
        <v>0</v>
      </c>
      <c r="O61" s="18" t="n">
        <v>0</v>
      </c>
      <c r="P61" s="20" t="n">
        <v>0</v>
      </c>
      <c r="Q61" s="18" t="n">
        <v>9.13438526</v>
      </c>
      <c r="R61" s="20" t="n">
        <v>1.50517275</v>
      </c>
    </row>
    <row r="62" spans="1:18">
      <c r="A62" s="15" t="s">
        <v>486</v>
      </c>
      <c r="B62" s="17" t="n">
        <v>2246</v>
      </c>
      <c r="C62" s="18">
        <f>(1971.0/B62*100)</f>
        <v/>
      </c>
      <c r="D62" s="19" t="n">
        <v>275</v>
      </c>
      <c r="E62" s="18" t="n">
        <v>13.83100475</v>
      </c>
      <c r="F62" s="20" t="n">
        <v>1.69473934</v>
      </c>
      <c r="G62" s="18" t="n">
        <v>84.36435499</v>
      </c>
      <c r="H62" s="20" t="n">
        <v>1.92148183</v>
      </c>
      <c r="I62" s="18" t="s">
        <v>431</v>
      </c>
      <c r="J62" s="20" t="s">
        <v>431</v>
      </c>
      <c r="K62" s="18" t="n">
        <v>0</v>
      </c>
      <c r="L62" s="20" t="n">
        <v>0</v>
      </c>
      <c r="M62" s="18" t="n">
        <v>0</v>
      </c>
      <c r="N62" s="20" t="n">
        <v>0</v>
      </c>
      <c r="O62" s="18" t="n">
        <v>0</v>
      </c>
      <c r="P62" s="20" t="n">
        <v>0</v>
      </c>
      <c r="Q62" s="18" t="n">
        <v>1.80464026</v>
      </c>
      <c r="R62" s="20" t="n">
        <v>0.81244795</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(2539.0/B66*100)</f>
        <v/>
      </c>
      <c r="D66" s="19" t="n">
        <v>355</v>
      </c>
      <c r="E66" s="18" t="n">
        <v>26.39727118</v>
      </c>
      <c r="F66" s="20" t="n">
        <v>2.3612635</v>
      </c>
      <c r="G66" s="18" t="n">
        <v>39.41845413</v>
      </c>
      <c r="H66" s="20" t="n">
        <v>2.82477498</v>
      </c>
      <c r="I66" s="18" t="s">
        <v>431</v>
      </c>
      <c r="J66" s="20" t="s">
        <v>431</v>
      </c>
      <c r="K66" s="18" t="n">
        <v>4.72015422</v>
      </c>
      <c r="L66" s="20" t="n">
        <v>1.15497884</v>
      </c>
      <c r="M66" s="18" t="n">
        <v>0.71052248</v>
      </c>
      <c r="N66" s="20" t="n">
        <v>0.52886545</v>
      </c>
      <c r="O66" s="18" t="n">
        <v>0</v>
      </c>
      <c r="P66" s="20" t="n">
        <v>0</v>
      </c>
      <c r="Q66" s="18" t="n">
        <v>28.753598</v>
      </c>
      <c r="R66" s="20" t="n">
        <v>2.50437032</v>
      </c>
    </row>
    <row r="67" spans="1:18">
      <c r="A67" s="15" t="s">
        <v>491</v>
      </c>
      <c r="B67" s="17" t="n">
        <v>3511</v>
      </c>
      <c r="C67" s="18">
        <f>(3139.0/B67*100)</f>
        <v/>
      </c>
      <c r="D67" s="19" t="n">
        <v>372</v>
      </c>
      <c r="E67" s="18" t="n">
        <v>47.45249793</v>
      </c>
      <c r="F67" s="20" t="n">
        <v>2.42722811</v>
      </c>
      <c r="G67" s="18" t="n">
        <v>42.95947801</v>
      </c>
      <c r="H67" s="20" t="n">
        <v>2.46435787</v>
      </c>
      <c r="I67" s="18" t="s">
        <v>431</v>
      </c>
      <c r="J67" s="20" t="s">
        <v>431</v>
      </c>
      <c r="K67" s="18" t="n">
        <v>0.75242762</v>
      </c>
      <c r="L67" s="20" t="n">
        <v>0.43059275</v>
      </c>
      <c r="M67" s="18" t="n">
        <v>0</v>
      </c>
      <c r="N67" s="20" t="n">
        <v>0</v>
      </c>
      <c r="O67" s="18" t="n">
        <v>0</v>
      </c>
      <c r="P67" s="20" t="n">
        <v>0</v>
      </c>
      <c r="Q67" s="18" t="n">
        <v>8.835596430000001</v>
      </c>
      <c r="R67" s="20" t="n">
        <v>1.49065326</v>
      </c>
    </row>
    <row r="68" spans="1:18">
      <c r="A68" s="15" t="s">
        <v>492</v>
      </c>
      <c r="B68" s="17" t="n">
        <v>6049</v>
      </c>
      <c r="C68" s="18">
        <f>(5046.0/B68*100)</f>
        <v/>
      </c>
      <c r="D68" s="19" t="n">
        <v>1003</v>
      </c>
      <c r="E68" s="18" t="n">
        <v>36.47286167</v>
      </c>
      <c r="F68" s="20" t="n">
        <v>1.47822774</v>
      </c>
      <c r="G68" s="18" t="n">
        <v>42.30949038</v>
      </c>
      <c r="H68" s="20" t="n">
        <v>1.65602539</v>
      </c>
      <c r="I68" s="18" t="s">
        <v>431</v>
      </c>
      <c r="J68" s="20" t="s">
        <v>431</v>
      </c>
      <c r="K68" s="18" t="n">
        <v>6.16929107</v>
      </c>
      <c r="L68" s="20" t="n">
        <v>0.70995903</v>
      </c>
      <c r="M68" s="18" t="n">
        <v>0</v>
      </c>
      <c r="N68" s="20" t="n">
        <v>0</v>
      </c>
      <c r="O68" s="18" t="n">
        <v>0</v>
      </c>
      <c r="P68" s="20" t="n">
        <v>0</v>
      </c>
      <c r="Q68" s="18" t="n">
        <v>15.04835688</v>
      </c>
      <c r="R68" s="20" t="n">
        <v>1.04496135</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(2611.0/B70*100)</f>
        <v/>
      </c>
      <c r="D70" s="19" t="n">
        <v>318</v>
      </c>
      <c r="E70" s="18" t="n">
        <v>28.26968226</v>
      </c>
      <c r="F70" s="20" t="n">
        <v>2.92909435</v>
      </c>
      <c r="G70" s="18" t="n">
        <v>65.86065995</v>
      </c>
      <c r="H70" s="20" t="n">
        <v>2.78607917</v>
      </c>
      <c r="I70" s="18" t="s">
        <v>431</v>
      </c>
      <c r="J70" s="20" t="s">
        <v>431</v>
      </c>
      <c r="K70" s="18" t="n">
        <v>0.93978969</v>
      </c>
      <c r="L70" s="20" t="n">
        <v>0.47772121</v>
      </c>
      <c r="M70" s="18" t="n">
        <v>0</v>
      </c>
      <c r="N70" s="20" t="n">
        <v>0</v>
      </c>
      <c r="O70" s="18" t="n">
        <v>0</v>
      </c>
      <c r="P70" s="20" t="n">
        <v>0</v>
      </c>
      <c r="Q70" s="18" t="n">
        <v>4.92986811</v>
      </c>
      <c r="R70" s="20" t="n">
        <v>1.33455788</v>
      </c>
    </row>
    <row r="71" spans="1:18">
      <c r="A71" s="15" t="s">
        <v>495</v>
      </c>
      <c r="B71" s="17" t="n">
        <v>3142</v>
      </c>
      <c r="C71" s="18">
        <f>(2762.0/B71*100)</f>
        <v/>
      </c>
      <c r="D71" s="19" t="n">
        <v>380</v>
      </c>
      <c r="E71" s="18" t="n">
        <v>15.07160807</v>
      </c>
      <c r="F71" s="20" t="n">
        <v>1.87122497</v>
      </c>
      <c r="G71" s="18" t="n">
        <v>80.50561877</v>
      </c>
      <c r="H71" s="20" t="n">
        <v>2.08576973</v>
      </c>
      <c r="I71" s="18" t="s">
        <v>431</v>
      </c>
      <c r="J71" s="20" t="s">
        <v>431</v>
      </c>
      <c r="K71" s="18" t="n">
        <v>1.1988527</v>
      </c>
      <c r="L71" s="20" t="n">
        <v>0.5416172</v>
      </c>
      <c r="M71" s="18" t="n">
        <v>0</v>
      </c>
      <c r="N71" s="20" t="n">
        <v>0</v>
      </c>
      <c r="O71" s="18" t="n">
        <v>0</v>
      </c>
      <c r="P71" s="20" t="n">
        <v>0</v>
      </c>
      <c r="Q71" s="18" t="n">
        <v>3.22392046</v>
      </c>
      <c r="R71" s="20" t="n">
        <v>0.7609702</v>
      </c>
    </row>
    <row r="72" spans="1:18">
      <c r="A72" s="15" t="s">
        <v>496</v>
      </c>
      <c r="B72" s="17" t="n">
        <v>3889</v>
      </c>
      <c r="C72" s="18">
        <f>(3403.0/B72*100)</f>
        <v/>
      </c>
      <c r="D72" s="19" t="n">
        <v>486</v>
      </c>
      <c r="E72" s="18" t="n">
        <v>18.93247186</v>
      </c>
      <c r="F72" s="20" t="n">
        <v>1.98588014</v>
      </c>
      <c r="G72" s="18" t="n">
        <v>76.98761137</v>
      </c>
      <c r="H72" s="20" t="n">
        <v>1.96894793</v>
      </c>
      <c r="I72" s="18" t="s">
        <v>431</v>
      </c>
      <c r="J72" s="20" t="s">
        <v>431</v>
      </c>
      <c r="K72" s="18" t="n">
        <v>0.16188694</v>
      </c>
      <c r="L72" s="20" t="n">
        <v>0.16185791</v>
      </c>
      <c r="M72" s="18" t="n">
        <v>0</v>
      </c>
      <c r="N72" s="20" t="n">
        <v>0</v>
      </c>
      <c r="O72" s="18" t="n">
        <v>0</v>
      </c>
      <c r="P72" s="20" t="n">
        <v>0</v>
      </c>
      <c r="Q72" s="18" t="n">
        <v>3.91802983</v>
      </c>
      <c r="R72" s="20" t="n">
        <v>0.9060416100000001</v>
      </c>
    </row>
    <row r="73" spans="1:18">
      <c r="A73" s="15" t="s">
        <v>497</v>
      </c>
      <c r="B73" s="17" t="n">
        <v>3597</v>
      </c>
      <c r="C73" s="18">
        <f>(3207.0/B73*100)</f>
        <v/>
      </c>
      <c r="D73" s="19" t="n">
        <v>390</v>
      </c>
      <c r="E73" s="18" t="n">
        <v>43.5013882</v>
      </c>
      <c r="F73" s="20" t="n">
        <v>3.05975482</v>
      </c>
      <c r="G73" s="18" t="n">
        <v>53.44322888</v>
      </c>
      <c r="H73" s="20" t="n">
        <v>3.17768793</v>
      </c>
      <c r="I73" s="18" t="s">
        <v>431</v>
      </c>
      <c r="J73" s="20" t="s">
        <v>431</v>
      </c>
      <c r="K73" s="18" t="n">
        <v>0</v>
      </c>
      <c r="L73" s="20" t="n">
        <v>0</v>
      </c>
      <c r="M73" s="18" t="n">
        <v>0.69098792</v>
      </c>
      <c r="N73" s="20" t="n">
        <v>0.64022835</v>
      </c>
      <c r="O73" s="18" t="n">
        <v>0</v>
      </c>
      <c r="P73" s="20" t="n">
        <v>0</v>
      </c>
      <c r="Q73" s="18" t="n">
        <v>2.36439499</v>
      </c>
      <c r="R73" s="20" t="n">
        <v>0.89074412</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(2143.0/B75*100)</f>
        <v/>
      </c>
      <c r="D75" s="19" t="n">
        <v>263</v>
      </c>
      <c r="E75" s="18" t="n">
        <v>35.4602224</v>
      </c>
      <c r="F75" s="20" t="n">
        <v>2.58360392</v>
      </c>
      <c r="G75" s="18" t="n">
        <v>35.0556715</v>
      </c>
      <c r="H75" s="20" t="n">
        <v>3.26870534</v>
      </c>
      <c r="I75" s="18" t="s">
        <v>431</v>
      </c>
      <c r="J75" s="20" t="s">
        <v>431</v>
      </c>
      <c r="K75" s="18" t="n">
        <v>6.6466901</v>
      </c>
      <c r="L75" s="20" t="n">
        <v>1.69761122</v>
      </c>
      <c r="M75" s="18" t="n">
        <v>0</v>
      </c>
      <c r="N75" s="20" t="n">
        <v>0</v>
      </c>
      <c r="O75" s="18" t="n">
        <v>0</v>
      </c>
      <c r="P75" s="20" t="n">
        <v>0</v>
      </c>
      <c r="Q75" s="18" t="n">
        <v>22.837416</v>
      </c>
      <c r="R75" s="20" t="n">
        <v>2.89217642</v>
      </c>
    </row>
    <row r="76" spans="1:18">
      <c r="A76" s="15" t="s">
        <v>500</v>
      </c>
      <c r="B76" s="17" t="n">
        <v>7052</v>
      </c>
      <c r="C76" s="18">
        <f>(6188.0/B76*100)</f>
        <v/>
      </c>
      <c r="D76" s="19" t="n">
        <v>864</v>
      </c>
      <c r="E76" s="18" t="n">
        <v>40.90003238</v>
      </c>
      <c r="F76" s="20" t="n">
        <v>2.08784621</v>
      </c>
      <c r="G76" s="18" t="n">
        <v>47.66312729</v>
      </c>
      <c r="H76" s="20" t="n">
        <v>2.14871965</v>
      </c>
      <c r="I76" s="18" t="s">
        <v>431</v>
      </c>
      <c r="J76" s="20" t="s">
        <v>431</v>
      </c>
      <c r="K76" s="18" t="n">
        <v>1.46749263</v>
      </c>
      <c r="L76" s="20" t="n">
        <v>0.51423523</v>
      </c>
      <c r="M76" s="18" t="n">
        <v>0.5168067</v>
      </c>
      <c r="N76" s="20" t="n">
        <v>0.34976967</v>
      </c>
      <c r="O76" s="18" t="n">
        <v>0</v>
      </c>
      <c r="P76" s="20" t="n">
        <v>0</v>
      </c>
      <c r="Q76" s="18" t="n">
        <v>9.452541</v>
      </c>
      <c r="R76" s="20" t="n">
        <v>1.12450174</v>
      </c>
    </row>
    <row r="77" spans="1:18">
      <c r="A77" s="15" t="s">
        <v>501</v>
      </c>
      <c r="B77" s="17" t="n">
        <v>2908</v>
      </c>
      <c r="C77" s="18">
        <f>(2598.0/B77*100)</f>
        <v/>
      </c>
      <c r="D77" s="19" t="n">
        <v>310</v>
      </c>
      <c r="E77" s="18" t="n">
        <v>30.82697037</v>
      </c>
      <c r="F77" s="20" t="n">
        <v>2.61087262</v>
      </c>
      <c r="G77" s="18" t="n">
        <v>45.74640002</v>
      </c>
      <c r="H77" s="20" t="n">
        <v>2.77352486</v>
      </c>
      <c r="I77" s="18" t="s">
        <v>431</v>
      </c>
      <c r="J77" s="20" t="s">
        <v>431</v>
      </c>
      <c r="K77" s="18" t="n">
        <v>6.24169646</v>
      </c>
      <c r="L77" s="20" t="n">
        <v>1.55132936</v>
      </c>
      <c r="M77" s="18" t="n">
        <v>0</v>
      </c>
      <c r="N77" s="20" t="n">
        <v>0</v>
      </c>
      <c r="O77" s="18" t="n">
        <v>0</v>
      </c>
      <c r="P77" s="20" t="n">
        <v>0</v>
      </c>
      <c r="Q77" s="18" t="n">
        <v>17.18493315</v>
      </c>
      <c r="R77" s="20" t="n">
        <v>2.02222758</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(3668.0/B81*100)</f>
        <v/>
      </c>
      <c r="D81" s="19" t="n">
        <v>495</v>
      </c>
      <c r="E81" s="18" t="n">
        <v>40.85592415</v>
      </c>
      <c r="F81" s="20" t="n">
        <v>2.88098727</v>
      </c>
      <c r="G81" s="18" t="n">
        <v>54.81637897</v>
      </c>
      <c r="H81" s="20" t="n">
        <v>2.98747207</v>
      </c>
      <c r="I81" s="18" t="s">
        <v>431</v>
      </c>
      <c r="J81" s="20" t="s">
        <v>431</v>
      </c>
      <c r="K81" s="18" t="n">
        <v>0.84357005</v>
      </c>
      <c r="L81" s="20" t="n">
        <v>0.4338087</v>
      </c>
      <c r="M81" s="18" t="n">
        <v>0</v>
      </c>
      <c r="N81" s="20" t="n">
        <v>0</v>
      </c>
      <c r="O81" s="18" t="n">
        <v>0</v>
      </c>
      <c r="P81" s="20" t="n">
        <v>0</v>
      </c>
      <c r="Q81" s="18" t="n">
        <v>3.48412683</v>
      </c>
      <c r="R81" s="20" t="n">
        <v>1.04772662</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(6490.0/B7*100)</f>
        <v/>
      </c>
      <c r="D7" s="19" t="n">
        <v>877</v>
      </c>
      <c r="E7" s="18" t="n">
        <v>19.43607606</v>
      </c>
      <c r="F7" s="20" t="n">
        <v>1.5334703</v>
      </c>
      <c r="G7" s="18" t="n">
        <v>78.89314944</v>
      </c>
      <c r="H7" s="20" t="n">
        <v>1.59320333</v>
      </c>
      <c r="I7" s="18" t="s">
        <v>431</v>
      </c>
      <c r="J7" s="20" t="s">
        <v>431</v>
      </c>
      <c r="K7" s="18" t="n">
        <v>1.25798423</v>
      </c>
      <c r="L7" s="20" t="n">
        <v>0.37829935</v>
      </c>
      <c r="M7" s="18" t="n">
        <v>0</v>
      </c>
      <c r="N7" s="20" t="n">
        <v>0</v>
      </c>
      <c r="O7" s="18" t="n">
        <v>0</v>
      </c>
      <c r="P7" s="20" t="n">
        <v>0</v>
      </c>
      <c r="Q7" s="18" t="n">
        <v>0.41279027</v>
      </c>
      <c r="R7" s="20" t="n">
        <v>0.20228859</v>
      </c>
    </row>
    <row r="8" spans="1:18">
      <c r="A8" s="15" t="s">
        <v>432</v>
      </c>
      <c r="B8" s="17" t="n">
        <v>3564</v>
      </c>
      <c r="C8" s="18">
        <f>(3093.0/B8*100)</f>
        <v/>
      </c>
      <c r="D8" s="19" t="n">
        <v>471</v>
      </c>
      <c r="E8" s="18" t="n">
        <v>20.65108751</v>
      </c>
      <c r="F8" s="20" t="n">
        <v>2.27323212</v>
      </c>
      <c r="G8" s="18" t="n">
        <v>78.00358521</v>
      </c>
      <c r="H8" s="20" t="n">
        <v>2.25815423</v>
      </c>
      <c r="I8" s="18" t="s">
        <v>431</v>
      </c>
      <c r="J8" s="20" t="s">
        <v>431</v>
      </c>
      <c r="K8" s="18" t="n">
        <v>0.87500845</v>
      </c>
      <c r="L8" s="20" t="n">
        <v>0.48884673</v>
      </c>
      <c r="M8" s="18" t="n">
        <v>0</v>
      </c>
      <c r="N8" s="20" t="n">
        <v>0</v>
      </c>
      <c r="O8" s="18" t="n">
        <v>0</v>
      </c>
      <c r="P8" s="20" t="n">
        <v>0</v>
      </c>
      <c r="Q8" s="18" t="n">
        <v>0.47031884</v>
      </c>
      <c r="R8" s="20" t="n">
        <v>0.3473482</v>
      </c>
    </row>
    <row r="9" spans="1:18">
      <c r="A9" s="15" t="s">
        <v>433</v>
      </c>
      <c r="B9" s="17" t="n">
        <v>4899</v>
      </c>
      <c r="C9" s="18">
        <f>(4311.0/B9*100)</f>
        <v/>
      </c>
      <c r="D9" s="19" t="n">
        <v>588</v>
      </c>
      <c r="E9" s="18" t="n">
        <v>14.48324275</v>
      </c>
      <c r="F9" s="20" t="n">
        <v>1.36987332</v>
      </c>
      <c r="G9" s="18" t="n">
        <v>84.78821044</v>
      </c>
      <c r="H9" s="20" t="n">
        <v>1.36872854</v>
      </c>
      <c r="I9" s="18" t="s">
        <v>431</v>
      </c>
      <c r="J9" s="20" t="s">
        <v>431</v>
      </c>
      <c r="K9" s="18" t="n">
        <v>0.28239799</v>
      </c>
      <c r="L9" s="20" t="n">
        <v>0.18173318</v>
      </c>
      <c r="M9" s="18" t="n">
        <v>0</v>
      </c>
      <c r="N9" s="20" t="n">
        <v>0</v>
      </c>
      <c r="O9" s="18" t="n">
        <v>0</v>
      </c>
      <c r="P9" s="20" t="n">
        <v>0</v>
      </c>
      <c r="Q9" s="18" t="n">
        <v>0.44614883</v>
      </c>
      <c r="R9" s="20" t="n">
        <v>0.30316142</v>
      </c>
    </row>
    <row r="10" spans="1:18">
      <c r="A10" s="15" t="s">
        <v>434</v>
      </c>
      <c r="B10" s="17" t="n">
        <v>10036</v>
      </c>
      <c r="C10" s="18">
        <f>(8786.0/B10*100)</f>
        <v/>
      </c>
      <c r="D10" s="19" t="n">
        <v>1250</v>
      </c>
      <c r="E10" s="18" t="n">
        <v>13.35506297</v>
      </c>
      <c r="F10" s="20" t="n">
        <v>1.27835215</v>
      </c>
      <c r="G10" s="18" t="n">
        <v>85.54955200000001</v>
      </c>
      <c r="H10" s="20" t="n">
        <v>1.27300988</v>
      </c>
      <c r="I10" s="18" t="s">
        <v>431</v>
      </c>
      <c r="J10" s="20" t="s">
        <v>431</v>
      </c>
      <c r="K10" s="18" t="n">
        <v>1.09538503</v>
      </c>
      <c r="L10" s="20" t="n">
        <v>0.37741811</v>
      </c>
      <c r="M10" s="18" t="n">
        <v>0</v>
      </c>
      <c r="N10" s="20" t="n">
        <v>0</v>
      </c>
      <c r="O10" s="18" t="n">
        <v>0</v>
      </c>
      <c r="P10" s="20" t="n">
        <v>0</v>
      </c>
      <c r="Q10" s="18" t="n">
        <v>0</v>
      </c>
      <c r="R10" s="20" t="n">
        <v>0</v>
      </c>
    </row>
    <row r="11" spans="1:18">
      <c r="A11" s="15" t="s">
        <v>435</v>
      </c>
      <c r="B11" s="17" t="n">
        <v>3553</v>
      </c>
      <c r="C11" s="18">
        <f>(3123.0/B11*100)</f>
        <v/>
      </c>
      <c r="D11" s="19" t="n">
        <v>430</v>
      </c>
      <c r="E11" s="18" t="n">
        <v>24.90014655</v>
      </c>
      <c r="F11" s="20" t="n">
        <v>2.58993998</v>
      </c>
      <c r="G11" s="18" t="n">
        <v>70.74629326</v>
      </c>
      <c r="H11" s="20" t="n">
        <v>2.83894506</v>
      </c>
      <c r="I11" s="18" t="s">
        <v>431</v>
      </c>
      <c r="J11" s="20" t="s">
        <v>431</v>
      </c>
      <c r="K11" s="18" t="n">
        <v>3.05033133</v>
      </c>
      <c r="L11" s="20" t="n">
        <v>1.02128074</v>
      </c>
      <c r="M11" s="18" t="n">
        <v>0</v>
      </c>
      <c r="N11" s="20" t="n">
        <v>0</v>
      </c>
      <c r="O11" s="18" t="n">
        <v>0</v>
      </c>
      <c r="P11" s="20" t="n">
        <v>0</v>
      </c>
      <c r="Q11" s="18" t="n">
        <v>1.30322886</v>
      </c>
      <c r="R11" s="20" t="n">
        <v>0.70094989</v>
      </c>
    </row>
    <row r="12" spans="1:18">
      <c r="A12" s="15" t="s">
        <v>436</v>
      </c>
      <c r="B12" s="17" t="n">
        <v>3472</v>
      </c>
      <c r="C12" s="18">
        <f>(3064.0/B12*100)</f>
        <v/>
      </c>
      <c r="D12" s="19" t="n">
        <v>408</v>
      </c>
      <c r="E12" s="18" t="n">
        <v>24.70629437</v>
      </c>
      <c r="F12" s="20" t="n">
        <v>2.71212692</v>
      </c>
      <c r="G12" s="18" t="n">
        <v>73.45212048</v>
      </c>
      <c r="H12" s="20" t="n">
        <v>2.74110188</v>
      </c>
      <c r="I12" s="18" t="s">
        <v>431</v>
      </c>
      <c r="J12" s="20" t="s">
        <v>431</v>
      </c>
      <c r="K12" s="18" t="n">
        <v>0.71653261</v>
      </c>
      <c r="L12" s="20" t="n">
        <v>0.25804027</v>
      </c>
      <c r="M12" s="18" t="n">
        <v>0</v>
      </c>
      <c r="N12" s="20" t="n">
        <v>0</v>
      </c>
      <c r="O12" s="18" t="n">
        <v>0</v>
      </c>
      <c r="P12" s="20" t="n">
        <v>0</v>
      </c>
      <c r="Q12" s="18" t="n">
        <v>1.12505253</v>
      </c>
      <c r="R12" s="20" t="n">
        <v>0.55821677</v>
      </c>
    </row>
    <row r="13" spans="1:18">
      <c r="A13" s="15" t="s">
        <v>437</v>
      </c>
      <c r="B13" s="17" t="n">
        <v>3559</v>
      </c>
      <c r="C13" s="18">
        <f>(3146.0/B13*100)</f>
        <v/>
      </c>
      <c r="D13" s="19" t="n">
        <v>413</v>
      </c>
      <c r="E13" s="18" t="n">
        <v>17.92128594</v>
      </c>
      <c r="F13" s="20" t="n">
        <v>2.07122327</v>
      </c>
      <c r="G13" s="18" t="n">
        <v>80.32768478</v>
      </c>
      <c r="H13" s="20" t="n">
        <v>2.10695562</v>
      </c>
      <c r="I13" s="18" t="s">
        <v>431</v>
      </c>
      <c r="J13" s="20" t="s">
        <v>431</v>
      </c>
      <c r="K13" s="18" t="n">
        <v>1.35595047</v>
      </c>
      <c r="L13" s="20" t="n">
        <v>0.59007138</v>
      </c>
      <c r="M13" s="18" t="n">
        <v>0</v>
      </c>
      <c r="N13" s="20" t="n">
        <v>0</v>
      </c>
      <c r="O13" s="18" t="n">
        <v>0</v>
      </c>
      <c r="P13" s="20" t="n">
        <v>0</v>
      </c>
      <c r="Q13" s="18" t="n">
        <v>0.39507881</v>
      </c>
      <c r="R13" s="20" t="n">
        <v>0.30999284</v>
      </c>
    </row>
    <row r="14" spans="1:18">
      <c r="A14" s="15" t="s">
        <v>438</v>
      </c>
      <c r="B14" s="17" t="n">
        <v>2799</v>
      </c>
      <c r="C14" s="18">
        <f>(2462.0/B14*100)</f>
        <v/>
      </c>
      <c r="D14" s="19" t="n">
        <v>337</v>
      </c>
      <c r="E14" s="18" t="n">
        <v>12.03543298</v>
      </c>
      <c r="F14" s="20" t="n">
        <v>1.99828534</v>
      </c>
      <c r="G14" s="18" t="n">
        <v>87.06894853999999</v>
      </c>
      <c r="H14" s="20" t="n">
        <v>1.99327236</v>
      </c>
      <c r="I14" s="18" t="s">
        <v>431</v>
      </c>
      <c r="J14" s="20" t="s">
        <v>431</v>
      </c>
      <c r="K14" s="18" t="n">
        <v>0.47324215</v>
      </c>
      <c r="L14" s="20" t="n">
        <v>0.31676608</v>
      </c>
      <c r="M14" s="18" t="n">
        <v>0</v>
      </c>
      <c r="N14" s="20" t="n">
        <v>0</v>
      </c>
      <c r="O14" s="18" t="n">
        <v>0</v>
      </c>
      <c r="P14" s="20" t="n">
        <v>0</v>
      </c>
      <c r="Q14" s="18" t="n">
        <v>0.42237633</v>
      </c>
      <c r="R14" s="20" t="n">
        <v>0.30366576</v>
      </c>
    </row>
    <row r="15" spans="1:18">
      <c r="A15" s="15" t="s">
        <v>439</v>
      </c>
      <c r="B15" s="17" t="n">
        <v>3019</v>
      </c>
      <c r="C15" s="18">
        <f>(2650.0/B15*100)</f>
        <v/>
      </c>
      <c r="D15" s="19" t="n">
        <v>369</v>
      </c>
      <c r="E15" s="18" t="n">
        <v>14.62294068</v>
      </c>
      <c r="F15" s="20" t="n">
        <v>1.89016986</v>
      </c>
      <c r="G15" s="18" t="n">
        <v>83.95725917</v>
      </c>
      <c r="H15" s="20" t="n">
        <v>2.08232406</v>
      </c>
      <c r="I15" s="18" t="s">
        <v>431</v>
      </c>
      <c r="J15" s="20" t="s">
        <v>431</v>
      </c>
      <c r="K15" s="18" t="n">
        <v>0.82464609</v>
      </c>
      <c r="L15" s="20" t="n">
        <v>0.48148606</v>
      </c>
      <c r="M15" s="18" t="n">
        <v>0</v>
      </c>
      <c r="N15" s="20" t="n">
        <v>0</v>
      </c>
      <c r="O15" s="18" t="n">
        <v>0</v>
      </c>
      <c r="P15" s="20" t="n">
        <v>0</v>
      </c>
      <c r="Q15" s="18" t="n">
        <v>0.59515406</v>
      </c>
      <c r="R15" s="20" t="n">
        <v>0.42701433</v>
      </c>
    </row>
    <row r="16" spans="1:18">
      <c r="A16" s="15" t="s">
        <v>440</v>
      </c>
      <c r="B16" s="17" t="n">
        <v>2997</v>
      </c>
      <c r="C16" s="18">
        <f>(2646.0/B16*100)</f>
        <v/>
      </c>
      <c r="D16" s="19" t="n">
        <v>351</v>
      </c>
      <c r="E16" s="18" t="n">
        <v>17.39707078</v>
      </c>
      <c r="F16" s="20" t="n">
        <v>2.27907363</v>
      </c>
      <c r="G16" s="18" t="n">
        <v>76.64068107</v>
      </c>
      <c r="H16" s="20" t="n">
        <v>2.59187339</v>
      </c>
      <c r="I16" s="18" t="s">
        <v>431</v>
      </c>
      <c r="J16" s="20" t="s">
        <v>431</v>
      </c>
      <c r="K16" s="18" t="n">
        <v>5.44732966</v>
      </c>
      <c r="L16" s="20" t="n">
        <v>1.49228981</v>
      </c>
      <c r="M16" s="18" t="n">
        <v>0</v>
      </c>
      <c r="N16" s="20" t="n">
        <v>0</v>
      </c>
      <c r="O16" s="18" t="n">
        <v>0</v>
      </c>
      <c r="P16" s="20" t="n">
        <v>0</v>
      </c>
      <c r="Q16" s="18" t="n">
        <v>0.51491849</v>
      </c>
      <c r="R16" s="20" t="n">
        <v>0.37083159</v>
      </c>
    </row>
    <row r="17" spans="1:18">
      <c r="A17" s="15" t="s">
        <v>441</v>
      </c>
      <c r="B17" s="17" t="n">
        <v>3307</v>
      </c>
      <c r="C17" s="18">
        <f>(2913.0/B17*100)</f>
        <v/>
      </c>
      <c r="D17" s="19" t="n">
        <v>394</v>
      </c>
      <c r="E17" s="18" t="n">
        <v>11.95894097</v>
      </c>
      <c r="F17" s="20" t="n">
        <v>2.11319016</v>
      </c>
      <c r="G17" s="18" t="n">
        <v>86.09480431</v>
      </c>
      <c r="H17" s="20" t="n">
        <v>2.17529363</v>
      </c>
      <c r="I17" s="18" t="s">
        <v>431</v>
      </c>
      <c r="J17" s="20" t="s">
        <v>431</v>
      </c>
      <c r="K17" s="18" t="n">
        <v>0.88509375</v>
      </c>
      <c r="L17" s="20" t="n">
        <v>0.43754203</v>
      </c>
      <c r="M17" s="18" t="n">
        <v>0</v>
      </c>
      <c r="N17" s="20" t="n">
        <v>0</v>
      </c>
      <c r="O17" s="18" t="n">
        <v>0</v>
      </c>
      <c r="P17" s="20" t="n">
        <v>0</v>
      </c>
      <c r="Q17" s="18" t="n">
        <v>1.06116097</v>
      </c>
      <c r="R17" s="20" t="n">
        <v>0.47278197</v>
      </c>
    </row>
    <row r="18" spans="1:18">
      <c r="A18" s="15" t="s">
        <v>442</v>
      </c>
      <c r="B18" s="17" t="n">
        <v>2826</v>
      </c>
      <c r="C18" s="18">
        <f>(2484.0/B18*100)</f>
        <v/>
      </c>
      <c r="D18" s="19" t="n">
        <v>342</v>
      </c>
      <c r="E18" s="18" t="n">
        <v>27.12548714</v>
      </c>
      <c r="F18" s="20" t="n">
        <v>2.65097856</v>
      </c>
      <c r="G18" s="18" t="n">
        <v>68.37573739</v>
      </c>
      <c r="H18" s="20" t="n">
        <v>2.52100207</v>
      </c>
      <c r="I18" s="18" t="s">
        <v>431</v>
      </c>
      <c r="J18" s="20" t="s">
        <v>431</v>
      </c>
      <c r="K18" s="18" t="n">
        <v>2.98415898</v>
      </c>
      <c r="L18" s="20" t="n">
        <v>1.17954104</v>
      </c>
      <c r="M18" s="18" t="n">
        <v>0</v>
      </c>
      <c r="N18" s="20" t="n">
        <v>0</v>
      </c>
      <c r="O18" s="18" t="n">
        <v>0</v>
      </c>
      <c r="P18" s="20" t="n">
        <v>0</v>
      </c>
      <c r="Q18" s="18" t="n">
        <v>1.5146165</v>
      </c>
      <c r="R18" s="20" t="n">
        <v>0.80768485</v>
      </c>
    </row>
    <row r="19" spans="1:18">
      <c r="A19" s="15" t="s">
        <v>443</v>
      </c>
      <c r="B19" s="17" t="n">
        <v>2808</v>
      </c>
      <c r="C19" s="18">
        <f>(2464.0/B19*100)</f>
        <v/>
      </c>
      <c r="D19" s="19" t="n">
        <v>344</v>
      </c>
      <c r="E19" s="18" t="n">
        <v>22.25422111</v>
      </c>
      <c r="F19" s="20" t="n">
        <v>2.32788454</v>
      </c>
      <c r="G19" s="18" t="n">
        <v>75.57765453</v>
      </c>
      <c r="H19" s="20" t="n">
        <v>2.74551829</v>
      </c>
      <c r="I19" s="18" t="s">
        <v>431</v>
      </c>
      <c r="J19" s="20" t="s">
        <v>431</v>
      </c>
      <c r="K19" s="18" t="n">
        <v>1.47236676</v>
      </c>
      <c r="L19" s="20" t="n">
        <v>0.91269456</v>
      </c>
      <c r="M19" s="18" t="n">
        <v>0</v>
      </c>
      <c r="N19" s="20" t="n">
        <v>0</v>
      </c>
      <c r="O19" s="18" t="n">
        <v>0</v>
      </c>
      <c r="P19" s="20" t="n">
        <v>0</v>
      </c>
      <c r="Q19" s="18" t="n">
        <v>0.69575761</v>
      </c>
      <c r="R19" s="20" t="n">
        <v>0.64424894</v>
      </c>
    </row>
    <row r="20" spans="1:18">
      <c r="A20" s="15" t="s">
        <v>444</v>
      </c>
      <c r="B20" s="17" t="n">
        <v>1630</v>
      </c>
      <c r="C20" s="18">
        <f>(1446.0/B20*100)</f>
        <v/>
      </c>
      <c r="D20" s="19" t="n">
        <v>184</v>
      </c>
      <c r="E20" s="18" t="n">
        <v>27.40585441</v>
      </c>
      <c r="F20" s="20" t="n">
        <v>3.44544052</v>
      </c>
      <c r="G20" s="18" t="n">
        <v>68.29718867</v>
      </c>
      <c r="H20" s="20" t="n">
        <v>3.37207775</v>
      </c>
      <c r="I20" s="18" t="s">
        <v>431</v>
      </c>
      <c r="J20" s="20" t="s">
        <v>431</v>
      </c>
      <c r="K20" s="18" t="n">
        <v>2.81611891</v>
      </c>
      <c r="L20" s="20" t="n">
        <v>1.19376834</v>
      </c>
      <c r="M20" s="18" t="n">
        <v>0</v>
      </c>
      <c r="N20" s="20" t="n">
        <v>0</v>
      </c>
      <c r="O20" s="18" t="n">
        <v>0</v>
      </c>
      <c r="P20" s="20" t="n">
        <v>0</v>
      </c>
      <c r="Q20" s="18" t="n">
        <v>1.48083801</v>
      </c>
      <c r="R20" s="20" t="n">
        <v>0.8496268</v>
      </c>
    </row>
    <row r="21" spans="1:18">
      <c r="A21" s="15" t="s">
        <v>445</v>
      </c>
      <c r="B21" s="17" t="n">
        <v>2908</v>
      </c>
      <c r="C21" s="18">
        <f>(2425.0/B21*100)</f>
        <v/>
      </c>
      <c r="D21" s="19" t="n">
        <v>483</v>
      </c>
      <c r="E21" s="18" t="n">
        <v>11.88537365</v>
      </c>
      <c r="F21" s="20" t="n">
        <v>1.48225374</v>
      </c>
      <c r="G21" s="18" t="n">
        <v>86.92389068999999</v>
      </c>
      <c r="H21" s="20" t="n">
        <v>1.59498762</v>
      </c>
      <c r="I21" s="18" t="s">
        <v>431</v>
      </c>
      <c r="J21" s="20" t="s">
        <v>431</v>
      </c>
      <c r="K21" s="18" t="n">
        <v>0.40594131</v>
      </c>
      <c r="L21" s="20" t="n">
        <v>0.28880211</v>
      </c>
      <c r="M21" s="18" t="n">
        <v>0</v>
      </c>
      <c r="N21" s="20" t="n">
        <v>0</v>
      </c>
      <c r="O21" s="18" t="n">
        <v>0</v>
      </c>
      <c r="P21" s="20" t="n">
        <v>0</v>
      </c>
      <c r="Q21" s="18" t="n">
        <v>0.78479435</v>
      </c>
      <c r="R21" s="20" t="n">
        <v>0.42852273</v>
      </c>
    </row>
    <row r="22" spans="1:18">
      <c r="A22" s="15" t="s">
        <v>446</v>
      </c>
      <c r="B22" s="17" t="n">
        <v>2931</v>
      </c>
      <c r="C22" s="18">
        <f>(2582.0/B22*100)</f>
        <v/>
      </c>
      <c r="D22" s="19" t="n">
        <v>349</v>
      </c>
      <c r="E22" s="18" t="n">
        <v>29.25247652</v>
      </c>
      <c r="F22" s="20" t="n">
        <v>2.78080227</v>
      </c>
      <c r="G22" s="18" t="n">
        <v>65.73392804</v>
      </c>
      <c r="H22" s="20" t="n">
        <v>2.54853084</v>
      </c>
      <c r="I22" s="18" t="s">
        <v>431</v>
      </c>
      <c r="J22" s="20" t="s">
        <v>431</v>
      </c>
      <c r="K22" s="18" t="n">
        <v>4.04625555</v>
      </c>
      <c r="L22" s="20" t="n">
        <v>1.10142155</v>
      </c>
      <c r="M22" s="18" t="n">
        <v>0</v>
      </c>
      <c r="N22" s="20" t="n">
        <v>0</v>
      </c>
      <c r="O22" s="18" t="n">
        <v>0</v>
      </c>
      <c r="P22" s="20" t="n">
        <v>0</v>
      </c>
      <c r="Q22" s="18" t="n">
        <v>0.96733988</v>
      </c>
      <c r="R22" s="20" t="n">
        <v>0.48465956</v>
      </c>
    </row>
    <row r="23" spans="1:18">
      <c r="A23" s="15" t="s">
        <v>447</v>
      </c>
      <c r="B23" s="17" t="n">
        <v>5791</v>
      </c>
      <c r="C23" s="18">
        <f>(5055.0/B23*100)</f>
        <v/>
      </c>
      <c r="D23" s="19" t="n">
        <v>736</v>
      </c>
      <c r="E23" s="18" t="n">
        <v>19.56580717</v>
      </c>
      <c r="F23" s="20" t="n">
        <v>2.55653816</v>
      </c>
      <c r="G23" s="18" t="n">
        <v>78.70894948</v>
      </c>
      <c r="H23" s="20" t="n">
        <v>2.62526704</v>
      </c>
      <c r="I23" s="18" t="s">
        <v>431</v>
      </c>
      <c r="J23" s="20" t="s">
        <v>431</v>
      </c>
      <c r="K23" s="18" t="n">
        <v>1.15112219</v>
      </c>
      <c r="L23" s="20" t="n">
        <v>0.50378006</v>
      </c>
      <c r="M23" s="18" t="n">
        <v>0</v>
      </c>
      <c r="N23" s="20" t="n">
        <v>0</v>
      </c>
      <c r="O23" s="18" t="n">
        <v>0</v>
      </c>
      <c r="P23" s="20" t="n">
        <v>0</v>
      </c>
      <c r="Q23" s="18" t="n">
        <v>0.57412116</v>
      </c>
      <c r="R23" s="20" t="n">
        <v>0.32285303</v>
      </c>
    </row>
    <row r="24" spans="1:18">
      <c r="A24" s="15" t="s">
        <v>448</v>
      </c>
      <c r="B24" s="17" t="n">
        <v>3338</v>
      </c>
      <c r="C24" s="18">
        <f>(2955.0/B24*100)</f>
        <v/>
      </c>
      <c r="D24" s="19" t="n">
        <v>383</v>
      </c>
      <c r="E24" s="18" t="n">
        <v>11.74215052</v>
      </c>
      <c r="F24" s="20" t="n">
        <v>1.74453474</v>
      </c>
      <c r="G24" s="18" t="n">
        <v>87.00407087000001</v>
      </c>
      <c r="H24" s="20" t="n">
        <v>1.81418965</v>
      </c>
      <c r="I24" s="18" t="s">
        <v>431</v>
      </c>
      <c r="J24" s="20" t="s">
        <v>431</v>
      </c>
      <c r="K24" s="18" t="n">
        <v>1.25377861</v>
      </c>
      <c r="L24" s="20" t="n">
        <v>0.55143096</v>
      </c>
      <c r="M24" s="18" t="n">
        <v>0</v>
      </c>
      <c r="N24" s="20" t="n">
        <v>0</v>
      </c>
      <c r="O24" s="18" t="n">
        <v>0</v>
      </c>
      <c r="P24" s="20" t="n">
        <v>0</v>
      </c>
      <c r="Q24" s="18" t="n">
        <v>0</v>
      </c>
      <c r="R24" s="20" t="n">
        <v>0</v>
      </c>
    </row>
    <row r="25" spans="1:18">
      <c r="A25" s="15" t="s">
        <v>449</v>
      </c>
      <c r="B25" s="17" t="n">
        <v>2912</v>
      </c>
      <c r="C25" s="18">
        <f>(2561.0/B25*100)</f>
        <v/>
      </c>
      <c r="D25" s="19" t="n">
        <v>351</v>
      </c>
      <c r="E25" s="18" t="n">
        <v>10.43036995</v>
      </c>
      <c r="F25" s="20" t="n">
        <v>1.79335239</v>
      </c>
      <c r="G25" s="18" t="n">
        <v>87.94596591</v>
      </c>
      <c r="H25" s="20" t="n">
        <v>1.95452551</v>
      </c>
      <c r="I25" s="18" t="s">
        <v>431</v>
      </c>
      <c r="J25" s="20" t="s">
        <v>431</v>
      </c>
      <c r="K25" s="18" t="n">
        <v>1.36146485</v>
      </c>
      <c r="L25" s="20" t="n">
        <v>0.61926781</v>
      </c>
      <c r="M25" s="18" t="n">
        <v>0</v>
      </c>
      <c r="N25" s="20" t="n">
        <v>0</v>
      </c>
      <c r="O25" s="18" t="n">
        <v>0</v>
      </c>
      <c r="P25" s="20" t="n">
        <v>0</v>
      </c>
      <c r="Q25" s="18" t="n">
        <v>0.2621993</v>
      </c>
      <c r="R25" s="20" t="n">
        <v>0.26229156</v>
      </c>
    </row>
    <row r="26" spans="1:18">
      <c r="A26" s="15" t="s">
        <v>450</v>
      </c>
      <c r="B26" s="17" t="n">
        <v>2450</v>
      </c>
      <c r="C26" s="18">
        <f>(2149.0/B26*100)</f>
        <v/>
      </c>
      <c r="D26" s="19" t="n">
        <v>301</v>
      </c>
      <c r="E26" s="18" t="n">
        <v>16.94687956</v>
      </c>
      <c r="F26" s="20" t="n">
        <v>2.29316163</v>
      </c>
      <c r="G26" s="18" t="n">
        <v>82.11259928</v>
      </c>
      <c r="H26" s="20" t="n">
        <v>2.27639463</v>
      </c>
      <c r="I26" s="18" t="s">
        <v>431</v>
      </c>
      <c r="J26" s="20" t="s">
        <v>431</v>
      </c>
      <c r="K26" s="18" t="n">
        <v>0</v>
      </c>
      <c r="L26" s="20" t="n">
        <v>0</v>
      </c>
      <c r="M26" s="18" t="n">
        <v>0</v>
      </c>
      <c r="N26" s="20" t="n">
        <v>0</v>
      </c>
      <c r="O26" s="18" t="n">
        <v>0</v>
      </c>
      <c r="P26" s="20" t="n">
        <v>0</v>
      </c>
      <c r="Q26" s="18" t="n">
        <v>0.94052115</v>
      </c>
      <c r="R26" s="20" t="n">
        <v>0.66363303</v>
      </c>
    </row>
    <row r="27" spans="1:18">
      <c r="A27" s="15" t="s">
        <v>451</v>
      </c>
      <c r="B27" s="17" t="n">
        <v>2616</v>
      </c>
      <c r="C27" s="18">
        <f>(2313.0/B27*100)</f>
        <v/>
      </c>
      <c r="D27" s="19" t="n">
        <v>303</v>
      </c>
      <c r="E27" s="18" t="n">
        <v>20.90742243</v>
      </c>
      <c r="F27" s="20" t="n">
        <v>2.36662594</v>
      </c>
      <c r="G27" s="18" t="n">
        <v>75.68239221</v>
      </c>
      <c r="H27" s="20" t="n">
        <v>2.52034464</v>
      </c>
      <c r="I27" s="18" t="s">
        <v>431</v>
      </c>
      <c r="J27" s="20" t="s">
        <v>431</v>
      </c>
      <c r="K27" s="18" t="n">
        <v>2.74888912</v>
      </c>
      <c r="L27" s="20" t="n">
        <v>0.94996214</v>
      </c>
      <c r="M27" s="18" t="n">
        <v>0</v>
      </c>
      <c r="N27" s="20" t="n">
        <v>0</v>
      </c>
      <c r="O27" s="18" t="n">
        <v>0</v>
      </c>
      <c r="P27" s="20" t="n">
        <v>0</v>
      </c>
      <c r="Q27" s="18" t="n">
        <v>0.66129625</v>
      </c>
      <c r="R27" s="20" t="n">
        <v>0.47386502</v>
      </c>
    </row>
    <row r="28" spans="1:18">
      <c r="A28" s="15" t="s">
        <v>452</v>
      </c>
      <c r="B28" s="17" t="n">
        <v>3765</v>
      </c>
      <c r="C28" s="18">
        <f>(3360.0/B28*100)</f>
        <v/>
      </c>
      <c r="D28" s="19" t="n">
        <v>405</v>
      </c>
      <c r="E28" s="18" t="n">
        <v>33.41780453</v>
      </c>
      <c r="F28" s="20" t="n">
        <v>2.80576263</v>
      </c>
      <c r="G28" s="18" t="n">
        <v>65.17351514000001</v>
      </c>
      <c r="H28" s="20" t="n">
        <v>2.56752911</v>
      </c>
      <c r="I28" s="18" t="s">
        <v>431</v>
      </c>
      <c r="J28" s="20" t="s">
        <v>431</v>
      </c>
      <c r="K28" s="18" t="n">
        <v>1.40868033</v>
      </c>
      <c r="L28" s="20" t="n">
        <v>0.66548072</v>
      </c>
      <c r="M28" s="18" t="n">
        <v>0</v>
      </c>
      <c r="N28" s="20" t="n">
        <v>0</v>
      </c>
      <c r="O28" s="18" t="n">
        <v>0</v>
      </c>
      <c r="P28" s="20" t="n">
        <v>0</v>
      </c>
      <c r="Q28" s="18" t="n">
        <v>0</v>
      </c>
      <c r="R28" s="20" t="n">
        <v>0</v>
      </c>
    </row>
    <row r="29" spans="1:18">
      <c r="A29" s="15" t="s">
        <v>453</v>
      </c>
      <c r="B29" s="17" t="n">
        <v>2685</v>
      </c>
      <c r="C29" s="18">
        <f>(2363.0/B29*100)</f>
        <v/>
      </c>
      <c r="D29" s="19" t="n">
        <v>322</v>
      </c>
      <c r="E29" s="18" t="n">
        <v>10.94862675</v>
      </c>
      <c r="F29" s="20" t="n">
        <v>1.55161188</v>
      </c>
      <c r="G29" s="18" t="n">
        <v>87.94739231</v>
      </c>
      <c r="H29" s="20" t="n">
        <v>1.68923431</v>
      </c>
      <c r="I29" s="18" t="s">
        <v>431</v>
      </c>
      <c r="J29" s="20" t="s">
        <v>431</v>
      </c>
      <c r="K29" s="18" t="n">
        <v>1.10398094</v>
      </c>
      <c r="L29" s="20" t="n">
        <v>0.69772891</v>
      </c>
      <c r="M29" s="18" t="n">
        <v>0</v>
      </c>
      <c r="N29" s="20" t="n">
        <v>0</v>
      </c>
      <c r="O29" s="18" t="n">
        <v>0</v>
      </c>
      <c r="P29" s="20" t="n">
        <v>0</v>
      </c>
      <c r="Q29" s="18" t="n">
        <v>0</v>
      </c>
      <c r="R29" s="20" t="n">
        <v>0</v>
      </c>
    </row>
    <row r="30" spans="1:18">
      <c r="A30" s="15" t="s">
        <v>454</v>
      </c>
      <c r="B30" s="17" t="n">
        <v>2263</v>
      </c>
      <c r="C30" s="18">
        <f>(1999.0/B30*100)</f>
        <v/>
      </c>
      <c r="D30" s="19" t="n">
        <v>264</v>
      </c>
      <c r="E30" s="18" t="n">
        <v>13.87486917</v>
      </c>
      <c r="F30" s="20" t="n">
        <v>2.21324433</v>
      </c>
      <c r="G30" s="18" t="n">
        <v>84.00777892000001</v>
      </c>
      <c r="H30" s="20" t="n">
        <v>2.36908129</v>
      </c>
      <c r="I30" s="18" t="s">
        <v>431</v>
      </c>
      <c r="J30" s="20" t="s">
        <v>431</v>
      </c>
      <c r="K30" s="18" t="n">
        <v>0.9565061500000001</v>
      </c>
      <c r="L30" s="20" t="n">
        <v>0.53260935</v>
      </c>
      <c r="M30" s="18" t="n">
        <v>0</v>
      </c>
      <c r="N30" s="20" t="n">
        <v>0</v>
      </c>
      <c r="O30" s="18" t="n">
        <v>0</v>
      </c>
      <c r="P30" s="20" t="n">
        <v>0</v>
      </c>
      <c r="Q30" s="18" t="n">
        <v>1.16084575</v>
      </c>
      <c r="R30" s="20" t="n">
        <v>0.68142563</v>
      </c>
    </row>
    <row r="31" spans="1:18">
      <c r="A31" s="15" t="s">
        <v>455</v>
      </c>
      <c r="B31" s="17" t="n">
        <v>2750</v>
      </c>
      <c r="C31" s="18">
        <f>(2433.0/B31*100)</f>
        <v/>
      </c>
      <c r="D31" s="19" t="n">
        <v>317</v>
      </c>
      <c r="E31" s="18" t="n">
        <v>24.12620696</v>
      </c>
      <c r="F31" s="20" t="n">
        <v>2.44895795</v>
      </c>
      <c r="G31" s="18" t="n">
        <v>73.02075214</v>
      </c>
      <c r="H31" s="20" t="n">
        <v>2.5473303</v>
      </c>
      <c r="I31" s="18" t="s">
        <v>431</v>
      </c>
      <c r="J31" s="20" t="s">
        <v>431</v>
      </c>
      <c r="K31" s="18" t="n">
        <v>2.25420529</v>
      </c>
      <c r="L31" s="20" t="n">
        <v>0.86348219</v>
      </c>
      <c r="M31" s="18" t="n">
        <v>0</v>
      </c>
      <c r="N31" s="20" t="n">
        <v>0</v>
      </c>
      <c r="O31" s="18" t="n">
        <v>0</v>
      </c>
      <c r="P31" s="20" t="n">
        <v>0</v>
      </c>
      <c r="Q31" s="18" t="n">
        <v>0.59883561</v>
      </c>
      <c r="R31" s="20" t="n">
        <v>0.42349583</v>
      </c>
    </row>
    <row r="32" spans="1:18">
      <c r="A32" s="15" t="s">
        <v>456</v>
      </c>
      <c r="B32" s="17" t="n">
        <v>2269</v>
      </c>
      <c r="C32" s="18">
        <f>(1899.0/B32*100)</f>
        <v/>
      </c>
      <c r="D32" s="19" t="n">
        <v>370</v>
      </c>
      <c r="E32" s="18" t="n">
        <v>21.46008097</v>
      </c>
      <c r="F32" s="20" t="n">
        <v>1.74632943</v>
      </c>
      <c r="G32" s="18" t="n">
        <v>77.29864087999999</v>
      </c>
      <c r="H32" s="20" t="n">
        <v>1.91866562</v>
      </c>
      <c r="I32" s="18" t="s">
        <v>431</v>
      </c>
      <c r="J32" s="20" t="s">
        <v>431</v>
      </c>
      <c r="K32" s="18" t="n">
        <v>1.24127815</v>
      </c>
      <c r="L32" s="20" t="n">
        <v>0.53525552</v>
      </c>
      <c r="M32" s="18" t="n">
        <v>0</v>
      </c>
      <c r="N32" s="20" t="n">
        <v>0</v>
      </c>
      <c r="O32" s="18" t="n">
        <v>0</v>
      </c>
      <c r="P32" s="20" t="n">
        <v>0</v>
      </c>
      <c r="Q32" s="18" t="n">
        <v>0</v>
      </c>
      <c r="R32" s="20" t="n">
        <v>0</v>
      </c>
    </row>
    <row r="33" spans="1:18">
      <c r="A33" s="15" t="s">
        <v>457</v>
      </c>
      <c r="B33" s="17" t="n">
        <v>3674</v>
      </c>
      <c r="C33" s="18">
        <f>(3245.0/B33*100)</f>
        <v/>
      </c>
      <c r="D33" s="19" t="n">
        <v>429</v>
      </c>
      <c r="E33" s="18" t="n">
        <v>19.71336939</v>
      </c>
      <c r="F33" s="20" t="n">
        <v>2.24521777</v>
      </c>
      <c r="G33" s="18" t="n">
        <v>78.16311640000001</v>
      </c>
      <c r="H33" s="20" t="n">
        <v>2.36850948</v>
      </c>
      <c r="I33" s="18" t="s">
        <v>431</v>
      </c>
      <c r="J33" s="20" t="s">
        <v>431</v>
      </c>
      <c r="K33" s="18" t="n">
        <v>0.94638445</v>
      </c>
      <c r="L33" s="20" t="n">
        <v>0.46135611</v>
      </c>
      <c r="M33" s="18" t="n">
        <v>0</v>
      </c>
      <c r="N33" s="20" t="n">
        <v>0</v>
      </c>
      <c r="O33" s="18" t="n">
        <v>0</v>
      </c>
      <c r="P33" s="20" t="n">
        <v>0</v>
      </c>
      <c r="Q33" s="18" t="n">
        <v>1.17712976</v>
      </c>
      <c r="R33" s="20" t="n">
        <v>0.65221917</v>
      </c>
    </row>
    <row r="34" spans="1:18">
      <c r="A34" s="15" t="s">
        <v>458</v>
      </c>
      <c r="B34" s="17" t="n">
        <v>3315</v>
      </c>
      <c r="C34" s="18">
        <f>(2927.0/B34*100)</f>
        <v/>
      </c>
      <c r="D34" s="19" t="n">
        <v>388</v>
      </c>
      <c r="E34" s="18" t="n">
        <v>28.34086614</v>
      </c>
      <c r="F34" s="20" t="n">
        <v>2.44988107</v>
      </c>
      <c r="G34" s="18" t="n">
        <v>70.45890547</v>
      </c>
      <c r="H34" s="20" t="n">
        <v>2.52532696</v>
      </c>
      <c r="I34" s="18" t="s">
        <v>431</v>
      </c>
      <c r="J34" s="20" t="s">
        <v>431</v>
      </c>
      <c r="K34" s="18" t="n">
        <v>1.00040222</v>
      </c>
      <c r="L34" s="20" t="n">
        <v>0.9029020800000001</v>
      </c>
      <c r="M34" s="18" t="n">
        <v>0</v>
      </c>
      <c r="N34" s="20" t="n">
        <v>0</v>
      </c>
      <c r="O34" s="18" t="n">
        <v>0</v>
      </c>
      <c r="P34" s="20" t="n">
        <v>0</v>
      </c>
      <c r="Q34" s="18" t="n">
        <v>0.19982618</v>
      </c>
      <c r="R34" s="20" t="n">
        <v>0.19229815</v>
      </c>
    </row>
    <row r="35" spans="1:18">
      <c r="A35" s="15" t="s">
        <v>459</v>
      </c>
      <c r="B35" s="17" t="n">
        <v>3505</v>
      </c>
      <c r="C35" s="18">
        <f>(3082.0/B35*100)</f>
        <v/>
      </c>
      <c r="D35" s="19" t="n">
        <v>423</v>
      </c>
      <c r="E35" s="18" t="n">
        <v>21.00847711</v>
      </c>
      <c r="F35" s="20" t="n">
        <v>2.38581248</v>
      </c>
      <c r="G35" s="18" t="n">
        <v>78.23752533</v>
      </c>
      <c r="H35" s="20" t="n">
        <v>2.41866292</v>
      </c>
      <c r="I35" s="18" t="s">
        <v>431</v>
      </c>
      <c r="J35" s="20" t="s">
        <v>431</v>
      </c>
      <c r="K35" s="18" t="n">
        <v>0.50527994</v>
      </c>
      <c r="L35" s="20" t="n">
        <v>0.28128671</v>
      </c>
      <c r="M35" s="18" t="n">
        <v>0</v>
      </c>
      <c r="N35" s="20" t="n">
        <v>0</v>
      </c>
      <c r="O35" s="18" t="n">
        <v>0</v>
      </c>
      <c r="P35" s="20" t="n">
        <v>0</v>
      </c>
      <c r="Q35" s="18" t="n">
        <v>0.24871762</v>
      </c>
      <c r="R35" s="20" t="n">
        <v>0.1762952</v>
      </c>
    </row>
    <row r="36" spans="1:18">
      <c r="A36" s="15" t="s">
        <v>460</v>
      </c>
      <c r="B36" s="17" t="n">
        <v>3332</v>
      </c>
      <c r="C36" s="18">
        <f>(2938.0/B36*100)</f>
        <v/>
      </c>
      <c r="D36" s="19" t="n">
        <v>394</v>
      </c>
      <c r="E36" s="18" t="n">
        <v>18.66755</v>
      </c>
      <c r="F36" s="20" t="n">
        <v>2.01257907</v>
      </c>
      <c r="G36" s="18" t="n">
        <v>80.30090692</v>
      </c>
      <c r="H36" s="20" t="n">
        <v>2.14349921</v>
      </c>
      <c r="I36" s="18" t="s">
        <v>431</v>
      </c>
      <c r="J36" s="20" t="s">
        <v>431</v>
      </c>
      <c r="K36" s="18" t="n">
        <v>1.03154308</v>
      </c>
      <c r="L36" s="20" t="n">
        <v>0.52927002</v>
      </c>
      <c r="M36" s="18" t="n">
        <v>0</v>
      </c>
      <c r="N36" s="20" t="n">
        <v>0</v>
      </c>
      <c r="O36" s="18" t="n">
        <v>0</v>
      </c>
      <c r="P36" s="20" t="n">
        <v>0</v>
      </c>
      <c r="Q36" s="18" t="n">
        <v>0</v>
      </c>
      <c r="R36" s="20" t="n">
        <v>0</v>
      </c>
    </row>
    <row r="37" spans="1:18">
      <c r="A37" s="15" t="s">
        <v>461</v>
      </c>
      <c r="B37" s="17" t="n">
        <v>2727</v>
      </c>
      <c r="C37" s="18">
        <f>(2403.0/B37*100)</f>
        <v/>
      </c>
      <c r="D37" s="19" t="n">
        <v>324</v>
      </c>
      <c r="E37" s="18" t="n">
        <v>21.58225197</v>
      </c>
      <c r="F37" s="20" t="n">
        <v>2.27249284</v>
      </c>
      <c r="G37" s="18" t="n">
        <v>72.29154693</v>
      </c>
      <c r="H37" s="20" t="n">
        <v>2.44587152</v>
      </c>
      <c r="I37" s="18" t="s">
        <v>431</v>
      </c>
      <c r="J37" s="20" t="s">
        <v>431</v>
      </c>
      <c r="K37" s="18" t="n">
        <v>5.60434566</v>
      </c>
      <c r="L37" s="20" t="n">
        <v>1.05493089</v>
      </c>
      <c r="M37" s="18" t="n">
        <v>0</v>
      </c>
      <c r="N37" s="20" t="n">
        <v>0</v>
      </c>
      <c r="O37" s="18" t="n">
        <v>0</v>
      </c>
      <c r="P37" s="20" t="n">
        <v>0</v>
      </c>
      <c r="Q37" s="18" t="n">
        <v>0.52185543</v>
      </c>
      <c r="R37" s="20" t="n">
        <v>0.36981719</v>
      </c>
    </row>
    <row r="38" spans="1:18">
      <c r="A38" s="15" t="s">
        <v>462</v>
      </c>
      <c r="B38" s="17" t="n">
        <v>3053</v>
      </c>
      <c r="C38" s="18">
        <f>(2555.0/B38*100)</f>
        <v/>
      </c>
      <c r="D38" s="19" t="n">
        <v>498</v>
      </c>
      <c r="E38" s="18" t="n">
        <v>19.13010576</v>
      </c>
      <c r="F38" s="20" t="n">
        <v>2.1409384</v>
      </c>
      <c r="G38" s="18" t="n">
        <v>78.21066741</v>
      </c>
      <c r="H38" s="20" t="n">
        <v>2.24935872</v>
      </c>
      <c r="I38" s="18" t="s">
        <v>431</v>
      </c>
      <c r="J38" s="20" t="s">
        <v>431</v>
      </c>
      <c r="K38" s="18" t="n">
        <v>1.46279626</v>
      </c>
      <c r="L38" s="20" t="n">
        <v>0.56188754</v>
      </c>
      <c r="M38" s="18" t="n">
        <v>0</v>
      </c>
      <c r="N38" s="20" t="n">
        <v>0</v>
      </c>
      <c r="O38" s="18" t="n">
        <v>0</v>
      </c>
      <c r="P38" s="20" t="n">
        <v>0</v>
      </c>
      <c r="Q38" s="18" t="n">
        <v>1.19643057</v>
      </c>
      <c r="R38" s="20" t="n">
        <v>0.51020322</v>
      </c>
    </row>
    <row r="39" spans="1:18">
      <c r="A39" s="15" t="s">
        <v>463</v>
      </c>
      <c r="B39" s="17" t="n">
        <v>2957</v>
      </c>
      <c r="C39" s="18">
        <f>(2593.0/B39*100)</f>
        <v/>
      </c>
      <c r="D39" s="19" t="n">
        <v>364</v>
      </c>
      <c r="E39" s="18" t="n">
        <v>36.64457705</v>
      </c>
      <c r="F39" s="20" t="n">
        <v>2.76754769</v>
      </c>
      <c r="G39" s="18" t="n">
        <v>60.42309856</v>
      </c>
      <c r="H39" s="20" t="n">
        <v>2.92821928</v>
      </c>
      <c r="I39" s="18" t="s">
        <v>431</v>
      </c>
      <c r="J39" s="20" t="s">
        <v>431</v>
      </c>
      <c r="K39" s="18" t="n">
        <v>2.13271303</v>
      </c>
      <c r="L39" s="20" t="n">
        <v>0.60745939</v>
      </c>
      <c r="M39" s="18" t="n">
        <v>0</v>
      </c>
      <c r="N39" s="20" t="n">
        <v>0</v>
      </c>
      <c r="O39" s="18" t="n">
        <v>0</v>
      </c>
      <c r="P39" s="20" t="n">
        <v>0</v>
      </c>
      <c r="Q39" s="18" t="n">
        <v>0.7996113500000001</v>
      </c>
      <c r="R39" s="20" t="n">
        <v>0.48709624</v>
      </c>
    </row>
    <row r="40" spans="1:18">
      <c r="A40" s="15" t="s">
        <v>464</v>
      </c>
      <c r="B40" s="17" t="n">
        <v>7235</v>
      </c>
      <c r="C40" s="18">
        <f>(6347.0/B40*100)</f>
        <v/>
      </c>
      <c r="D40" s="19" t="n">
        <v>888</v>
      </c>
      <c r="E40" s="18" t="n">
        <v>17.30356604</v>
      </c>
      <c r="F40" s="20" t="n">
        <v>1.90976085</v>
      </c>
      <c r="G40" s="18" t="n">
        <v>81.09430653</v>
      </c>
      <c r="H40" s="20" t="n">
        <v>1.98156019</v>
      </c>
      <c r="I40" s="18" t="s">
        <v>431</v>
      </c>
      <c r="J40" s="20" t="s">
        <v>431</v>
      </c>
      <c r="K40" s="18" t="n">
        <v>1.16566447</v>
      </c>
      <c r="L40" s="20" t="n">
        <v>0.5049282899999999</v>
      </c>
      <c r="M40" s="18" t="n">
        <v>0</v>
      </c>
      <c r="N40" s="20" t="n">
        <v>0</v>
      </c>
      <c r="O40" s="18" t="n">
        <v>0</v>
      </c>
      <c r="P40" s="20" t="n">
        <v>0</v>
      </c>
      <c r="Q40" s="18" t="n">
        <v>0.43646296</v>
      </c>
      <c r="R40" s="20" t="n">
        <v>0.38400676</v>
      </c>
    </row>
    <row r="41" spans="1:18">
      <c r="A41" s="15" t="s">
        <v>465</v>
      </c>
      <c r="B41" s="17" t="n">
        <v>2858</v>
      </c>
      <c r="C41" s="18">
        <f>(2498.0/B41*100)</f>
        <v/>
      </c>
      <c r="D41" s="19" t="n">
        <v>360</v>
      </c>
      <c r="E41" s="18" t="n">
        <v>20.07243862</v>
      </c>
      <c r="F41" s="20" t="n">
        <v>1.89359563</v>
      </c>
      <c r="G41" s="18" t="n">
        <v>78.57943262000001</v>
      </c>
      <c r="H41" s="20" t="n">
        <v>1.87404584</v>
      </c>
      <c r="I41" s="18" t="s">
        <v>431</v>
      </c>
      <c r="J41" s="20" t="s">
        <v>431</v>
      </c>
      <c r="K41" s="18" t="n">
        <v>0.91118045</v>
      </c>
      <c r="L41" s="20" t="n">
        <v>0.27943167</v>
      </c>
      <c r="M41" s="18" t="n">
        <v>0</v>
      </c>
      <c r="N41" s="20" t="n">
        <v>0</v>
      </c>
      <c r="O41" s="18" t="n">
        <v>0</v>
      </c>
      <c r="P41" s="20" t="n">
        <v>0</v>
      </c>
      <c r="Q41" s="18" t="n">
        <v>0.4369483</v>
      </c>
      <c r="R41" s="20" t="n">
        <v>0.29673556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(10057.0/B46*100)</f>
        <v/>
      </c>
      <c r="D46" s="19" t="n">
        <v>1011</v>
      </c>
      <c r="E46" s="18" t="n">
        <v>40.66445871</v>
      </c>
      <c r="F46" s="20" t="n">
        <v>2.07477328</v>
      </c>
      <c r="G46" s="18" t="n">
        <v>55.0512815</v>
      </c>
      <c r="H46" s="20" t="n">
        <v>2.15403102</v>
      </c>
      <c r="I46" s="18" t="s">
        <v>431</v>
      </c>
      <c r="J46" s="20" t="s">
        <v>431</v>
      </c>
      <c r="K46" s="18" t="n">
        <v>3.24368674</v>
      </c>
      <c r="L46" s="20" t="n">
        <v>0.71110938</v>
      </c>
      <c r="M46" s="18" t="n">
        <v>0</v>
      </c>
      <c r="N46" s="20" t="n">
        <v>0</v>
      </c>
      <c r="O46" s="18" t="n">
        <v>0</v>
      </c>
      <c r="P46" s="20" t="n">
        <v>0</v>
      </c>
      <c r="Q46" s="18" t="n">
        <v>1.04057306</v>
      </c>
      <c r="R46" s="20" t="n">
        <v>0.45089701</v>
      </c>
    </row>
    <row r="47" spans="1:18">
      <c r="A47" s="15" t="s">
        <v>471</v>
      </c>
      <c r="B47" s="17" t="n">
        <v>3105</v>
      </c>
      <c r="C47" s="18">
        <f>(2732.0/B47*100)</f>
        <v/>
      </c>
      <c r="D47" s="19" t="n">
        <v>373</v>
      </c>
      <c r="E47" s="18" t="n">
        <v>33.82245011</v>
      </c>
      <c r="F47" s="20" t="n">
        <v>2.36179469</v>
      </c>
      <c r="G47" s="18" t="n">
        <v>65.09316921999999</v>
      </c>
      <c r="H47" s="20" t="n">
        <v>2.39539524</v>
      </c>
      <c r="I47" s="18" t="s">
        <v>431</v>
      </c>
      <c r="J47" s="20" t="s">
        <v>431</v>
      </c>
      <c r="K47" s="18" t="n">
        <v>0.25444884</v>
      </c>
      <c r="L47" s="20" t="n">
        <v>0.24517485</v>
      </c>
      <c r="M47" s="18" t="n">
        <v>0</v>
      </c>
      <c r="N47" s="20" t="n">
        <v>0</v>
      </c>
      <c r="O47" s="18" t="n">
        <v>0</v>
      </c>
      <c r="P47" s="20" t="n">
        <v>0</v>
      </c>
      <c r="Q47" s="18" t="n">
        <v>0.82993182</v>
      </c>
      <c r="R47" s="20" t="n">
        <v>0.49498535</v>
      </c>
    </row>
    <row r="48" spans="1:18">
      <c r="A48" s="15" t="s">
        <v>472</v>
      </c>
      <c r="B48" s="17" t="n">
        <v>5159</v>
      </c>
      <c r="C48" s="18">
        <f>(4554.0/B48*100)</f>
        <v/>
      </c>
      <c r="D48" s="19" t="n">
        <v>605</v>
      </c>
      <c r="E48" s="18" t="n">
        <v>9.65481915</v>
      </c>
      <c r="F48" s="20" t="n">
        <v>1.59711564</v>
      </c>
      <c r="G48" s="18" t="n">
        <v>88.65158728999999</v>
      </c>
      <c r="H48" s="20" t="n">
        <v>1.80578486</v>
      </c>
      <c r="I48" s="18" t="s">
        <v>431</v>
      </c>
      <c r="J48" s="20" t="s">
        <v>431</v>
      </c>
      <c r="K48" s="18" t="n">
        <v>1.69359356</v>
      </c>
      <c r="L48" s="20" t="n">
        <v>0.71920856</v>
      </c>
      <c r="M48" s="18" t="n">
        <v>0</v>
      </c>
      <c r="N48" s="20" t="n">
        <v>0</v>
      </c>
      <c r="O48" s="18" t="n">
        <v>0</v>
      </c>
      <c r="P48" s="20" t="n">
        <v>0</v>
      </c>
      <c r="Q48" s="18" t="n">
        <v>0</v>
      </c>
      <c r="R48" s="20" t="n">
        <v>0</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(4996.0/B50*100)</f>
        <v/>
      </c>
      <c r="D50" s="19" t="n">
        <v>641</v>
      </c>
      <c r="E50" s="18" t="n">
        <v>28.61125675</v>
      </c>
      <c r="F50" s="20" t="n">
        <v>2.36976862</v>
      </c>
      <c r="G50" s="18" t="n">
        <v>65.67759854000001</v>
      </c>
      <c r="H50" s="20" t="n">
        <v>2.46639937</v>
      </c>
      <c r="I50" s="18" t="s">
        <v>431</v>
      </c>
      <c r="J50" s="20" t="s">
        <v>431</v>
      </c>
      <c r="K50" s="18" t="n">
        <v>4.79910183</v>
      </c>
      <c r="L50" s="20" t="n">
        <v>1.09817466</v>
      </c>
      <c r="M50" s="18" t="n">
        <v>0</v>
      </c>
      <c r="N50" s="20" t="n">
        <v>0</v>
      </c>
      <c r="O50" s="18" t="n">
        <v>0</v>
      </c>
      <c r="P50" s="20" t="n">
        <v>0</v>
      </c>
      <c r="Q50" s="18" t="n">
        <v>0.91204288</v>
      </c>
      <c r="R50" s="20" t="n">
        <v>0.69478662</v>
      </c>
    </row>
    <row r="51" spans="1:18">
      <c r="A51" s="15" t="s">
        <v>475</v>
      </c>
      <c r="B51" s="17" t="n">
        <v>3372</v>
      </c>
      <c r="C51" s="18">
        <f>(3021.0/B51*100)</f>
        <v/>
      </c>
      <c r="D51" s="19" t="n">
        <v>351</v>
      </c>
      <c r="E51" s="18" t="n">
        <v>20.93584279</v>
      </c>
      <c r="F51" s="20" t="n">
        <v>2.22861145</v>
      </c>
      <c r="G51" s="18" t="n">
        <v>74.40857753</v>
      </c>
      <c r="H51" s="20" t="n">
        <v>2.41608845</v>
      </c>
      <c r="I51" s="18" t="s">
        <v>431</v>
      </c>
      <c r="J51" s="20" t="s">
        <v>431</v>
      </c>
      <c r="K51" s="18" t="n">
        <v>3.72445359</v>
      </c>
      <c r="L51" s="20" t="n">
        <v>0.99638119</v>
      </c>
      <c r="M51" s="18" t="n">
        <v>0</v>
      </c>
      <c r="N51" s="20" t="n">
        <v>0</v>
      </c>
      <c r="O51" s="18" t="n">
        <v>0</v>
      </c>
      <c r="P51" s="20" t="n">
        <v>0</v>
      </c>
      <c r="Q51" s="18" t="n">
        <v>0.93112609</v>
      </c>
      <c r="R51" s="20" t="n">
        <v>0.49619323</v>
      </c>
    </row>
    <row r="52" spans="1:18">
      <c r="A52" s="15" t="s">
        <v>476</v>
      </c>
      <c r="B52" s="17" t="n">
        <v>2796</v>
      </c>
      <c r="C52" s="18">
        <f>(2448.0/B52*100)</f>
        <v/>
      </c>
      <c r="D52" s="19" t="n">
        <v>348</v>
      </c>
      <c r="E52" s="18" t="n">
        <v>18.8526176</v>
      </c>
      <c r="F52" s="20" t="n">
        <v>2.16484668</v>
      </c>
      <c r="G52" s="18" t="n">
        <v>80.04501095000001</v>
      </c>
      <c r="H52" s="20" t="n">
        <v>2.04810941</v>
      </c>
      <c r="I52" s="18" t="s">
        <v>431</v>
      </c>
      <c r="J52" s="20" t="s">
        <v>431</v>
      </c>
      <c r="K52" s="18" t="n">
        <v>0.88116701</v>
      </c>
      <c r="L52" s="20" t="n">
        <v>0.51770408</v>
      </c>
      <c r="M52" s="18" t="n">
        <v>0</v>
      </c>
      <c r="N52" s="20" t="n">
        <v>0</v>
      </c>
      <c r="O52" s="18" t="n">
        <v>0</v>
      </c>
      <c r="P52" s="20" t="n">
        <v>0</v>
      </c>
      <c r="Q52" s="18" t="n">
        <v>0.22120444</v>
      </c>
      <c r="R52" s="20" t="n">
        <v>0.22222466</v>
      </c>
    </row>
    <row r="53" spans="1:18">
      <c r="A53" s="15" t="s">
        <v>477</v>
      </c>
      <c r="B53" s="17" t="n">
        <v>2811</v>
      </c>
      <c r="C53" s="18">
        <f>(2477.0/B53*100)</f>
        <v/>
      </c>
      <c r="D53" s="19" t="n">
        <v>334</v>
      </c>
      <c r="E53" s="18" t="n">
        <v>39.75077431</v>
      </c>
      <c r="F53" s="20" t="n">
        <v>2.67164957</v>
      </c>
      <c r="G53" s="18" t="n">
        <v>55.77082628</v>
      </c>
      <c r="H53" s="20" t="n">
        <v>2.84703316</v>
      </c>
      <c r="I53" s="18" t="s">
        <v>431</v>
      </c>
      <c r="J53" s="20" t="s">
        <v>431</v>
      </c>
      <c r="K53" s="18" t="n">
        <v>3.34828864</v>
      </c>
      <c r="L53" s="20" t="n">
        <v>0.89519044</v>
      </c>
      <c r="M53" s="18" t="n">
        <v>0</v>
      </c>
      <c r="N53" s="20" t="n">
        <v>0</v>
      </c>
      <c r="O53" s="18" t="n">
        <v>0</v>
      </c>
      <c r="P53" s="20" t="n">
        <v>0</v>
      </c>
      <c r="Q53" s="18" t="n">
        <v>1.13011077</v>
      </c>
      <c r="R53" s="20" t="n">
        <v>0.57983829</v>
      </c>
    </row>
    <row r="54" spans="1:18">
      <c r="A54" s="15" t="s">
        <v>478</v>
      </c>
      <c r="B54" s="17" t="n">
        <v>2266</v>
      </c>
      <c r="C54" s="18">
        <f>(1908.0/B54*100)</f>
        <v/>
      </c>
      <c r="D54" s="19" t="n">
        <v>358</v>
      </c>
      <c r="E54" s="18" t="n">
        <v>43.80430358</v>
      </c>
      <c r="F54" s="20" t="n">
        <v>2.92992705</v>
      </c>
      <c r="G54" s="18" t="n">
        <v>37.66250017</v>
      </c>
      <c r="H54" s="20" t="n">
        <v>2.94605716</v>
      </c>
      <c r="I54" s="18" t="s">
        <v>431</v>
      </c>
      <c r="J54" s="20" t="s">
        <v>431</v>
      </c>
      <c r="K54" s="18" t="n">
        <v>16.79422161</v>
      </c>
      <c r="L54" s="20" t="n">
        <v>1.98864846</v>
      </c>
      <c r="M54" s="18" t="n">
        <v>0</v>
      </c>
      <c r="N54" s="20" t="n">
        <v>0</v>
      </c>
      <c r="O54" s="18" t="n">
        <v>0</v>
      </c>
      <c r="P54" s="20" t="n">
        <v>0</v>
      </c>
      <c r="Q54" s="18" t="n">
        <v>1.73897463</v>
      </c>
      <c r="R54" s="20" t="n">
        <v>0.95123128</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(2338.0/B56*100)</f>
        <v/>
      </c>
      <c r="D56" s="19" t="n">
        <v>346</v>
      </c>
      <c r="E56" s="18" t="n">
        <v>11.54537553</v>
      </c>
      <c r="F56" s="20" t="n">
        <v>1.79271323</v>
      </c>
      <c r="G56" s="18" t="n">
        <v>86.85876743</v>
      </c>
      <c r="H56" s="20" t="n">
        <v>1.77434335</v>
      </c>
      <c r="I56" s="18" t="s">
        <v>431</v>
      </c>
      <c r="J56" s="20" t="s">
        <v>431</v>
      </c>
      <c r="K56" s="18" t="n">
        <v>1.38873773</v>
      </c>
      <c r="L56" s="20" t="n">
        <v>0.69333198</v>
      </c>
      <c r="M56" s="18" t="n">
        <v>0</v>
      </c>
      <c r="N56" s="20" t="n">
        <v>0</v>
      </c>
      <c r="O56" s="18" t="n">
        <v>0</v>
      </c>
      <c r="P56" s="20" t="n">
        <v>0</v>
      </c>
      <c r="Q56" s="18" t="n">
        <v>0.20711932</v>
      </c>
      <c r="R56" s="20" t="n">
        <v>0.21240475</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(2919.0/B61*100)</f>
        <v/>
      </c>
      <c r="D61" s="19" t="n">
        <v>405</v>
      </c>
      <c r="E61" s="18" t="n">
        <v>20.13803378</v>
      </c>
      <c r="F61" s="20" t="n">
        <v>2.21697609</v>
      </c>
      <c r="G61" s="18" t="n">
        <v>77.56611251</v>
      </c>
      <c r="H61" s="20" t="n">
        <v>2.22493274</v>
      </c>
      <c r="I61" s="18" t="s">
        <v>431</v>
      </c>
      <c r="J61" s="20" t="s">
        <v>431</v>
      </c>
      <c r="K61" s="18" t="n">
        <v>1.95719478</v>
      </c>
      <c r="L61" s="20" t="n">
        <v>0.84151283</v>
      </c>
      <c r="M61" s="18" t="n">
        <v>0</v>
      </c>
      <c r="N61" s="20" t="n">
        <v>0</v>
      </c>
      <c r="O61" s="18" t="n">
        <v>0</v>
      </c>
      <c r="P61" s="20" t="n">
        <v>0</v>
      </c>
      <c r="Q61" s="18" t="n">
        <v>0.33865893</v>
      </c>
      <c r="R61" s="20" t="n">
        <v>0.31714391</v>
      </c>
    </row>
    <row r="62" spans="1:18">
      <c r="A62" s="15" t="s">
        <v>486</v>
      </c>
      <c r="B62" s="17" t="n">
        <v>2246</v>
      </c>
      <c r="C62" s="18">
        <f>(1969.0/B62*100)</f>
        <v/>
      </c>
      <c r="D62" s="19" t="n">
        <v>277</v>
      </c>
      <c r="E62" s="18" t="n">
        <v>12.28203854</v>
      </c>
      <c r="F62" s="20" t="n">
        <v>1.7938823</v>
      </c>
      <c r="G62" s="18" t="n">
        <v>87.71796146</v>
      </c>
      <c r="H62" s="20" t="n">
        <v>1.7938823</v>
      </c>
      <c r="I62" s="18" t="s">
        <v>431</v>
      </c>
      <c r="J62" s="20" t="s">
        <v>431</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(2537.0/B66*100)</f>
        <v/>
      </c>
      <c r="D66" s="19" t="n">
        <v>357</v>
      </c>
      <c r="E66" s="18" t="n">
        <v>32.89606768</v>
      </c>
      <c r="F66" s="20" t="n">
        <v>2.83088025</v>
      </c>
      <c r="G66" s="18" t="n">
        <v>61.04397325</v>
      </c>
      <c r="H66" s="20" t="n">
        <v>2.94366935</v>
      </c>
      <c r="I66" s="18" t="s">
        <v>431</v>
      </c>
      <c r="J66" s="20" t="s">
        <v>431</v>
      </c>
      <c r="K66" s="18" t="n">
        <v>5.53116694</v>
      </c>
      <c r="L66" s="20" t="n">
        <v>1.31367774</v>
      </c>
      <c r="M66" s="18" t="n">
        <v>0</v>
      </c>
      <c r="N66" s="20" t="n">
        <v>0</v>
      </c>
      <c r="O66" s="18" t="n">
        <v>0</v>
      </c>
      <c r="P66" s="20" t="n">
        <v>0</v>
      </c>
      <c r="Q66" s="18" t="n">
        <v>0.52879213</v>
      </c>
      <c r="R66" s="20" t="n">
        <v>0.3775738</v>
      </c>
    </row>
    <row r="67" spans="1:18">
      <c r="A67" s="15" t="s">
        <v>491</v>
      </c>
      <c r="B67" s="17" t="n">
        <v>3511</v>
      </c>
      <c r="C67" s="18">
        <f>(3131.0/B67*100)</f>
        <v/>
      </c>
      <c r="D67" s="19" t="n">
        <v>380</v>
      </c>
      <c r="E67" s="18" t="n">
        <v>31.6029697</v>
      </c>
      <c r="F67" s="20" t="n">
        <v>2.87407428</v>
      </c>
      <c r="G67" s="18" t="n">
        <v>67.18875216000001</v>
      </c>
      <c r="H67" s="20" t="n">
        <v>2.91379401</v>
      </c>
      <c r="I67" s="18" t="s">
        <v>431</v>
      </c>
      <c r="J67" s="20" t="s">
        <v>431</v>
      </c>
      <c r="K67" s="18" t="n">
        <v>0.73544129</v>
      </c>
      <c r="L67" s="20" t="n">
        <v>0.42085292</v>
      </c>
      <c r="M67" s="18" t="n">
        <v>0</v>
      </c>
      <c r="N67" s="20" t="n">
        <v>0</v>
      </c>
      <c r="O67" s="18" t="n">
        <v>0</v>
      </c>
      <c r="P67" s="20" t="n">
        <v>0</v>
      </c>
      <c r="Q67" s="18" t="n">
        <v>0.47283685</v>
      </c>
      <c r="R67" s="20" t="n">
        <v>0.33756467</v>
      </c>
    </row>
    <row r="68" spans="1:18">
      <c r="A68" s="15" t="s">
        <v>492</v>
      </c>
      <c r="B68" s="17" t="n">
        <v>6049</v>
      </c>
      <c r="C68" s="18">
        <f>(5047.0/B68*100)</f>
        <v/>
      </c>
      <c r="D68" s="19" t="n">
        <v>1002</v>
      </c>
      <c r="E68" s="18" t="n">
        <v>41.60011643</v>
      </c>
      <c r="F68" s="20" t="n">
        <v>1.57603209</v>
      </c>
      <c r="G68" s="18" t="n">
        <v>48.84153026</v>
      </c>
      <c r="H68" s="20" t="n">
        <v>1.64444398</v>
      </c>
      <c r="I68" s="18" t="s">
        <v>431</v>
      </c>
      <c r="J68" s="20" t="s">
        <v>431</v>
      </c>
      <c r="K68" s="18" t="n">
        <v>6.89155655</v>
      </c>
      <c r="L68" s="20" t="n">
        <v>0.77817173</v>
      </c>
      <c r="M68" s="18" t="n">
        <v>0</v>
      </c>
      <c r="N68" s="20" t="n">
        <v>0</v>
      </c>
      <c r="O68" s="18" t="n">
        <v>0</v>
      </c>
      <c r="P68" s="20" t="n">
        <v>0</v>
      </c>
      <c r="Q68" s="18" t="n">
        <v>2.66679676</v>
      </c>
      <c r="R68" s="20" t="n">
        <v>0.54637577</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(2609.0/B70*100)</f>
        <v/>
      </c>
      <c r="D70" s="19" t="n">
        <v>320</v>
      </c>
      <c r="E70" s="18" t="n">
        <v>15.76796049</v>
      </c>
      <c r="F70" s="20" t="n">
        <v>2.20692612</v>
      </c>
      <c r="G70" s="18" t="n">
        <v>83.04921979</v>
      </c>
      <c r="H70" s="20" t="n">
        <v>2.22474746</v>
      </c>
      <c r="I70" s="18" t="s">
        <v>431</v>
      </c>
      <c r="J70" s="20" t="s">
        <v>431</v>
      </c>
      <c r="K70" s="18" t="n">
        <v>0.93481918</v>
      </c>
      <c r="L70" s="20" t="n">
        <v>0.47516904</v>
      </c>
      <c r="M70" s="18" t="n">
        <v>0</v>
      </c>
      <c r="N70" s="20" t="n">
        <v>0</v>
      </c>
      <c r="O70" s="18" t="n">
        <v>0</v>
      </c>
      <c r="P70" s="20" t="n">
        <v>0</v>
      </c>
      <c r="Q70" s="18" t="n">
        <v>0.24800054</v>
      </c>
      <c r="R70" s="20" t="n">
        <v>0.24902938</v>
      </c>
    </row>
    <row r="71" spans="1:18">
      <c r="A71" s="15" t="s">
        <v>495</v>
      </c>
      <c r="B71" s="17" t="n">
        <v>3142</v>
      </c>
      <c r="C71" s="18">
        <f>(2760.0/B71*100)</f>
        <v/>
      </c>
      <c r="D71" s="19" t="n">
        <v>382</v>
      </c>
      <c r="E71" s="18" t="n">
        <v>15.67513624</v>
      </c>
      <c r="F71" s="20" t="n">
        <v>1.74458003</v>
      </c>
      <c r="G71" s="18" t="n">
        <v>82.70920350999999</v>
      </c>
      <c r="H71" s="20" t="n">
        <v>1.86928668</v>
      </c>
      <c r="I71" s="18" t="s">
        <v>431</v>
      </c>
      <c r="J71" s="20" t="s">
        <v>431</v>
      </c>
      <c r="K71" s="18" t="n">
        <v>1.19307335</v>
      </c>
      <c r="L71" s="20" t="n">
        <v>0.5392879</v>
      </c>
      <c r="M71" s="18" t="n">
        <v>0</v>
      </c>
      <c r="N71" s="20" t="n">
        <v>0</v>
      </c>
      <c r="O71" s="18" t="n">
        <v>0</v>
      </c>
      <c r="P71" s="20" t="n">
        <v>0</v>
      </c>
      <c r="Q71" s="18" t="n">
        <v>0.4225869</v>
      </c>
      <c r="R71" s="20" t="n">
        <v>0.14852154</v>
      </c>
    </row>
    <row r="72" spans="1:18">
      <c r="A72" s="15" t="s">
        <v>496</v>
      </c>
      <c r="B72" s="17" t="n">
        <v>3889</v>
      </c>
      <c r="C72" s="18">
        <f>(3403.0/B72*100)</f>
        <v/>
      </c>
      <c r="D72" s="19" t="n">
        <v>486</v>
      </c>
      <c r="E72" s="18" t="n">
        <v>9.919061940000001</v>
      </c>
      <c r="F72" s="20" t="n">
        <v>1.39505864</v>
      </c>
      <c r="G72" s="18" t="n">
        <v>89.7754389</v>
      </c>
      <c r="H72" s="20" t="n">
        <v>1.39332961</v>
      </c>
      <c r="I72" s="18" t="s">
        <v>431</v>
      </c>
      <c r="J72" s="20" t="s">
        <v>431</v>
      </c>
      <c r="K72" s="18" t="n">
        <v>0.16188694</v>
      </c>
      <c r="L72" s="20" t="n">
        <v>0.16185791</v>
      </c>
      <c r="M72" s="18" t="n">
        <v>0</v>
      </c>
      <c r="N72" s="20" t="n">
        <v>0</v>
      </c>
      <c r="O72" s="18" t="n">
        <v>0</v>
      </c>
      <c r="P72" s="20" t="n">
        <v>0</v>
      </c>
      <c r="Q72" s="18" t="n">
        <v>0.14361223</v>
      </c>
      <c r="R72" s="20" t="n">
        <v>0.14840585</v>
      </c>
    </row>
    <row r="73" spans="1:18">
      <c r="A73" s="15" t="s">
        <v>497</v>
      </c>
      <c r="B73" s="17" t="n">
        <v>3597</v>
      </c>
      <c r="C73" s="18">
        <f>(3205.0/B73*100)</f>
        <v/>
      </c>
      <c r="D73" s="19" t="n">
        <v>392</v>
      </c>
      <c r="E73" s="18" t="n">
        <v>53.23226309</v>
      </c>
      <c r="F73" s="20" t="n">
        <v>3.45355657</v>
      </c>
      <c r="G73" s="18" t="n">
        <v>46.22244383</v>
      </c>
      <c r="H73" s="20" t="n">
        <v>3.43843074</v>
      </c>
      <c r="I73" s="18" t="s">
        <v>431</v>
      </c>
      <c r="J73" s="20" t="s">
        <v>431</v>
      </c>
      <c r="K73" s="18" t="n">
        <v>0</v>
      </c>
      <c r="L73" s="20" t="n">
        <v>0</v>
      </c>
      <c r="M73" s="18" t="n">
        <v>0</v>
      </c>
      <c r="N73" s="20" t="n">
        <v>0</v>
      </c>
      <c r="O73" s="18" t="n">
        <v>0</v>
      </c>
      <c r="P73" s="20" t="n">
        <v>0</v>
      </c>
      <c r="Q73" s="18" t="n">
        <v>0.54529307</v>
      </c>
      <c r="R73" s="20" t="n">
        <v>0.41210975</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(2144.0/B75*100)</f>
        <v/>
      </c>
      <c r="D75" s="19" t="n">
        <v>262</v>
      </c>
      <c r="E75" s="18" t="n">
        <v>36.28761766</v>
      </c>
      <c r="F75" s="20" t="n">
        <v>3.03009028</v>
      </c>
      <c r="G75" s="18" t="n">
        <v>55.48888865</v>
      </c>
      <c r="H75" s="20" t="n">
        <v>3.63519207</v>
      </c>
      <c r="I75" s="18" t="s">
        <v>431</v>
      </c>
      <c r="J75" s="20" t="s">
        <v>431</v>
      </c>
      <c r="K75" s="18" t="n">
        <v>7.43687761</v>
      </c>
      <c r="L75" s="20" t="n">
        <v>1.76485644</v>
      </c>
      <c r="M75" s="18" t="n">
        <v>0</v>
      </c>
      <c r="N75" s="20" t="n">
        <v>0</v>
      </c>
      <c r="O75" s="18" t="n">
        <v>0</v>
      </c>
      <c r="P75" s="20" t="n">
        <v>0</v>
      </c>
      <c r="Q75" s="18" t="n">
        <v>0.7866160800000001</v>
      </c>
      <c r="R75" s="20" t="n">
        <v>0.55299315</v>
      </c>
    </row>
    <row r="76" spans="1:18">
      <c r="A76" s="15" t="s">
        <v>500</v>
      </c>
      <c r="B76" s="17" t="n">
        <v>7052</v>
      </c>
      <c r="C76" s="18">
        <f>(6190.0/B76*100)</f>
        <v/>
      </c>
      <c r="D76" s="19" t="n">
        <v>862</v>
      </c>
      <c r="E76" s="18" t="n">
        <v>39.2449825</v>
      </c>
      <c r="F76" s="20" t="n">
        <v>2.05865778</v>
      </c>
      <c r="G76" s="18" t="n">
        <v>56.91150097</v>
      </c>
      <c r="H76" s="20" t="n">
        <v>2.02480759</v>
      </c>
      <c r="I76" s="18" t="s">
        <v>431</v>
      </c>
      <c r="J76" s="20" t="s">
        <v>431</v>
      </c>
      <c r="K76" s="18" t="n">
        <v>2.11428631</v>
      </c>
      <c r="L76" s="20" t="n">
        <v>0.68678943</v>
      </c>
      <c r="M76" s="18" t="n">
        <v>0</v>
      </c>
      <c r="N76" s="20" t="n">
        <v>0</v>
      </c>
      <c r="O76" s="18" t="n">
        <v>0</v>
      </c>
      <c r="P76" s="20" t="n">
        <v>0</v>
      </c>
      <c r="Q76" s="18" t="n">
        <v>1.72923022</v>
      </c>
      <c r="R76" s="20" t="n">
        <v>0.56120504</v>
      </c>
    </row>
    <row r="77" spans="1:18">
      <c r="A77" s="15" t="s">
        <v>501</v>
      </c>
      <c r="B77" s="17" t="n">
        <v>2908</v>
      </c>
      <c r="C77" s="18">
        <f>(2596.0/B77*100)</f>
        <v/>
      </c>
      <c r="D77" s="19" t="n">
        <v>312</v>
      </c>
      <c r="E77" s="18" t="n">
        <v>30.56623842</v>
      </c>
      <c r="F77" s="20" t="n">
        <v>2.77145912</v>
      </c>
      <c r="G77" s="18" t="n">
        <v>61.55961329</v>
      </c>
      <c r="H77" s="20" t="n">
        <v>2.94369609</v>
      </c>
      <c r="I77" s="18" t="s">
        <v>431</v>
      </c>
      <c r="J77" s="20" t="s">
        <v>431</v>
      </c>
      <c r="K77" s="18" t="n">
        <v>6.86889125</v>
      </c>
      <c r="L77" s="20" t="n">
        <v>1.59530934</v>
      </c>
      <c r="M77" s="18" t="n">
        <v>0</v>
      </c>
      <c r="N77" s="20" t="n">
        <v>0</v>
      </c>
      <c r="O77" s="18" t="n">
        <v>0</v>
      </c>
      <c r="P77" s="20" t="n">
        <v>0</v>
      </c>
      <c r="Q77" s="18" t="n">
        <v>1.00525704</v>
      </c>
      <c r="R77" s="20" t="n">
        <v>0.50513432</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(3667.0/B81*100)</f>
        <v/>
      </c>
      <c r="D81" s="19" t="n">
        <v>496</v>
      </c>
      <c r="E81" s="18" t="n">
        <v>29.13864436</v>
      </c>
      <c r="F81" s="20" t="n">
        <v>2.51989784</v>
      </c>
      <c r="G81" s="18" t="n">
        <v>68.75570406</v>
      </c>
      <c r="H81" s="20" t="n">
        <v>2.60813006</v>
      </c>
      <c r="I81" s="18" t="s">
        <v>431</v>
      </c>
      <c r="J81" s="20" t="s">
        <v>431</v>
      </c>
      <c r="K81" s="18" t="n">
        <v>1.73140953</v>
      </c>
      <c r="L81" s="20" t="n">
        <v>0.67233697</v>
      </c>
      <c r="M81" s="18" t="n">
        <v>0</v>
      </c>
      <c r="N81" s="20" t="n">
        <v>0</v>
      </c>
      <c r="O81" s="18" t="n">
        <v>0</v>
      </c>
      <c r="P81" s="20" t="n">
        <v>0</v>
      </c>
      <c r="Q81" s="18" t="n">
        <v>0.37424205</v>
      </c>
      <c r="R81" s="20" t="n">
        <v>0.37288494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(6490.0/B7*100)</f>
        <v/>
      </c>
      <c r="D7" s="19" t="n">
        <v>877</v>
      </c>
      <c r="E7" s="18" t="n">
        <v>32.83361107</v>
      </c>
      <c r="F7" s="20" t="n">
        <v>1.86444525</v>
      </c>
      <c r="G7" s="18" t="n">
        <v>65.44948644999999</v>
      </c>
      <c r="H7" s="20" t="n">
        <v>1.8123518</v>
      </c>
      <c r="I7" s="18" t="s">
        <v>431</v>
      </c>
      <c r="J7" s="20" t="s">
        <v>431</v>
      </c>
      <c r="K7" s="18" t="n">
        <v>1.71690248</v>
      </c>
      <c r="L7" s="20" t="n">
        <v>0.46507909</v>
      </c>
      <c r="M7" s="18" t="n">
        <v>0</v>
      </c>
      <c r="N7" s="20" t="n">
        <v>0</v>
      </c>
      <c r="O7" s="18" t="n">
        <v>0</v>
      </c>
      <c r="P7" s="20" t="n">
        <v>0</v>
      </c>
      <c r="Q7" s="18" t="n">
        <v>0</v>
      </c>
      <c r="R7" s="20" t="n">
        <v>0</v>
      </c>
    </row>
    <row r="8" spans="1:18">
      <c r="A8" s="15" t="s">
        <v>432</v>
      </c>
      <c r="B8" s="17" t="n">
        <v>3564</v>
      </c>
      <c r="C8" s="18">
        <f>(3094.0/B8*100)</f>
        <v/>
      </c>
      <c r="D8" s="19" t="n">
        <v>470</v>
      </c>
      <c r="E8" s="18" t="n">
        <v>37.69392911</v>
      </c>
      <c r="F8" s="20" t="n">
        <v>2.65205743</v>
      </c>
      <c r="G8" s="18" t="n">
        <v>60.74124574</v>
      </c>
      <c r="H8" s="20" t="n">
        <v>2.55786641</v>
      </c>
      <c r="I8" s="18" t="s">
        <v>431</v>
      </c>
      <c r="J8" s="20" t="s">
        <v>431</v>
      </c>
      <c r="K8" s="18" t="n">
        <v>1.56482515</v>
      </c>
      <c r="L8" s="20" t="n">
        <v>0.63760754</v>
      </c>
      <c r="M8" s="18" t="n">
        <v>0</v>
      </c>
      <c r="N8" s="20" t="n">
        <v>0</v>
      </c>
      <c r="O8" s="18" t="n">
        <v>0</v>
      </c>
      <c r="P8" s="20" t="n">
        <v>0</v>
      </c>
      <c r="Q8" s="18" t="n">
        <v>0</v>
      </c>
      <c r="R8" s="20" t="n">
        <v>0</v>
      </c>
    </row>
    <row r="9" spans="1:18">
      <c r="A9" s="15" t="s">
        <v>433</v>
      </c>
      <c r="B9" s="17" t="n">
        <v>4899</v>
      </c>
      <c r="C9" s="18">
        <f>(4312.0/B9*100)</f>
        <v/>
      </c>
      <c r="D9" s="19" t="n">
        <v>587</v>
      </c>
      <c r="E9" s="18" t="n">
        <v>31.06587919</v>
      </c>
      <c r="F9" s="20" t="n">
        <v>2.2145658</v>
      </c>
      <c r="G9" s="18" t="n">
        <v>67.96622461</v>
      </c>
      <c r="H9" s="20" t="n">
        <v>2.17222837</v>
      </c>
      <c r="I9" s="18" t="s">
        <v>431</v>
      </c>
      <c r="J9" s="20" t="s">
        <v>431</v>
      </c>
      <c r="K9" s="18" t="n">
        <v>0.9678962</v>
      </c>
      <c r="L9" s="20" t="n">
        <v>0.39063025</v>
      </c>
      <c r="M9" s="18" t="n">
        <v>0</v>
      </c>
      <c r="N9" s="20" t="n">
        <v>0</v>
      </c>
      <c r="O9" s="18" t="n">
        <v>0</v>
      </c>
      <c r="P9" s="20" t="n">
        <v>0</v>
      </c>
      <c r="Q9" s="18" t="n">
        <v>0</v>
      </c>
      <c r="R9" s="20" t="n">
        <v>0</v>
      </c>
    </row>
    <row r="10" spans="1:18">
      <c r="A10" s="15" t="s">
        <v>434</v>
      </c>
      <c r="B10" s="17" t="n">
        <v>10036</v>
      </c>
      <c r="C10" s="18">
        <f>(8786.0/B10*100)</f>
        <v/>
      </c>
      <c r="D10" s="19" t="n">
        <v>1250</v>
      </c>
      <c r="E10" s="18" t="n">
        <v>29.43749069</v>
      </c>
      <c r="F10" s="20" t="n">
        <v>1.71918191</v>
      </c>
      <c r="G10" s="18" t="n">
        <v>68.77044656</v>
      </c>
      <c r="H10" s="20" t="n">
        <v>1.747802</v>
      </c>
      <c r="I10" s="18" t="s">
        <v>431</v>
      </c>
      <c r="J10" s="20" t="s">
        <v>431</v>
      </c>
      <c r="K10" s="18" t="n">
        <v>1.79206274</v>
      </c>
      <c r="L10" s="20" t="n">
        <v>0.57892288</v>
      </c>
      <c r="M10" s="18" t="n">
        <v>0</v>
      </c>
      <c r="N10" s="20" t="n">
        <v>0</v>
      </c>
      <c r="O10" s="18" t="n">
        <v>0</v>
      </c>
      <c r="P10" s="20" t="n">
        <v>0</v>
      </c>
      <c r="Q10" s="18" t="n">
        <v>0</v>
      </c>
      <c r="R10" s="20" t="n">
        <v>0</v>
      </c>
    </row>
    <row r="11" spans="1:18">
      <c r="A11" s="15" t="s">
        <v>435</v>
      </c>
      <c r="B11" s="17" t="n">
        <v>3553</v>
      </c>
      <c r="C11" s="18">
        <f>(3123.0/B11*100)</f>
        <v/>
      </c>
      <c r="D11" s="19" t="n">
        <v>430</v>
      </c>
      <c r="E11" s="18" t="n">
        <v>41.37304575</v>
      </c>
      <c r="F11" s="20" t="n">
        <v>2.38787559</v>
      </c>
      <c r="G11" s="18" t="n">
        <v>53.5831776</v>
      </c>
      <c r="H11" s="20" t="n">
        <v>2.62286414</v>
      </c>
      <c r="I11" s="18" t="s">
        <v>431</v>
      </c>
      <c r="J11" s="20" t="s">
        <v>431</v>
      </c>
      <c r="K11" s="18" t="n">
        <v>5.04377665</v>
      </c>
      <c r="L11" s="20" t="n">
        <v>1.66230304</v>
      </c>
      <c r="M11" s="18" t="n">
        <v>0</v>
      </c>
      <c r="N11" s="20" t="n">
        <v>0</v>
      </c>
      <c r="O11" s="18" t="n">
        <v>0</v>
      </c>
      <c r="P11" s="20" t="n">
        <v>0</v>
      </c>
      <c r="Q11" s="18" t="n">
        <v>0</v>
      </c>
      <c r="R11" s="20" t="n">
        <v>0</v>
      </c>
    </row>
    <row r="12" spans="1:18">
      <c r="A12" s="15" t="s">
        <v>436</v>
      </c>
      <c r="B12" s="17" t="n">
        <v>3472</v>
      </c>
      <c r="C12" s="18">
        <f>(3066.0/B12*100)</f>
        <v/>
      </c>
      <c r="D12" s="19" t="n">
        <v>406</v>
      </c>
      <c r="E12" s="18" t="n">
        <v>38.1784198</v>
      </c>
      <c r="F12" s="20" t="n">
        <v>3.02377445</v>
      </c>
      <c r="G12" s="18" t="n">
        <v>59.86195994</v>
      </c>
      <c r="H12" s="20" t="n">
        <v>3.14094758</v>
      </c>
      <c r="I12" s="18" t="s">
        <v>431</v>
      </c>
      <c r="J12" s="20" t="s">
        <v>431</v>
      </c>
      <c r="K12" s="18" t="n">
        <v>1.95962027</v>
      </c>
      <c r="L12" s="20" t="n">
        <v>0.7486368799999999</v>
      </c>
      <c r="M12" s="18" t="n">
        <v>0</v>
      </c>
      <c r="N12" s="20" t="n">
        <v>0</v>
      </c>
      <c r="O12" s="18" t="n">
        <v>0</v>
      </c>
      <c r="P12" s="20" t="n">
        <v>0</v>
      </c>
      <c r="Q12" s="18" t="n">
        <v>0</v>
      </c>
      <c r="R12" s="20" t="n">
        <v>0</v>
      </c>
    </row>
    <row r="13" spans="1:18">
      <c r="A13" s="15" t="s">
        <v>437</v>
      </c>
      <c r="B13" s="17" t="n">
        <v>3559</v>
      </c>
      <c r="C13" s="18">
        <f>(3146.0/B13*100)</f>
        <v/>
      </c>
      <c r="D13" s="19" t="n">
        <v>413</v>
      </c>
      <c r="E13" s="18" t="n">
        <v>34.25200751</v>
      </c>
      <c r="F13" s="20" t="n">
        <v>2.50000742</v>
      </c>
      <c r="G13" s="18" t="n">
        <v>64.35141424</v>
      </c>
      <c r="H13" s="20" t="n">
        <v>2.48956318</v>
      </c>
      <c r="I13" s="18" t="s">
        <v>431</v>
      </c>
      <c r="J13" s="20" t="s">
        <v>431</v>
      </c>
      <c r="K13" s="18" t="n">
        <v>1.39657824</v>
      </c>
      <c r="L13" s="20" t="n">
        <v>0.59063436</v>
      </c>
      <c r="M13" s="18" t="n">
        <v>0</v>
      </c>
      <c r="N13" s="20" t="n">
        <v>0</v>
      </c>
      <c r="O13" s="18" t="n">
        <v>0</v>
      </c>
      <c r="P13" s="20" t="n">
        <v>0</v>
      </c>
      <c r="Q13" s="18" t="n">
        <v>0</v>
      </c>
      <c r="R13" s="20" t="n">
        <v>0</v>
      </c>
    </row>
    <row r="14" spans="1:18">
      <c r="A14" s="15" t="s">
        <v>438</v>
      </c>
      <c r="B14" s="17" t="n">
        <v>2799</v>
      </c>
      <c r="C14" s="18">
        <f>(2462.0/B14*100)</f>
        <v/>
      </c>
      <c r="D14" s="19" t="n">
        <v>337</v>
      </c>
      <c r="E14" s="18" t="n">
        <v>31.67669946</v>
      </c>
      <c r="F14" s="20" t="n">
        <v>3.06832376</v>
      </c>
      <c r="G14" s="18" t="n">
        <v>67.62260465</v>
      </c>
      <c r="H14" s="20" t="n">
        <v>3.03926343</v>
      </c>
      <c r="I14" s="18" t="s">
        <v>431</v>
      </c>
      <c r="J14" s="20" t="s">
        <v>431</v>
      </c>
      <c r="K14" s="18" t="n">
        <v>0.70069589</v>
      </c>
      <c r="L14" s="20" t="n">
        <v>0.37957573</v>
      </c>
      <c r="M14" s="18" t="n">
        <v>0</v>
      </c>
      <c r="N14" s="20" t="n">
        <v>0</v>
      </c>
      <c r="O14" s="18" t="n">
        <v>0</v>
      </c>
      <c r="P14" s="20" t="n">
        <v>0</v>
      </c>
      <c r="Q14" s="18" t="n">
        <v>0</v>
      </c>
      <c r="R14" s="20" t="n">
        <v>0</v>
      </c>
    </row>
    <row r="15" spans="1:18">
      <c r="A15" s="15" t="s">
        <v>439</v>
      </c>
      <c r="B15" s="17" t="n">
        <v>3019</v>
      </c>
      <c r="C15" s="18">
        <f>(2650.0/B15*100)</f>
        <v/>
      </c>
      <c r="D15" s="19" t="n">
        <v>369</v>
      </c>
      <c r="E15" s="18" t="n">
        <v>48.49704745</v>
      </c>
      <c r="F15" s="20" t="n">
        <v>2.68741293</v>
      </c>
      <c r="G15" s="18" t="n">
        <v>50.67830646</v>
      </c>
      <c r="H15" s="20" t="n">
        <v>2.69721794</v>
      </c>
      <c r="I15" s="18" t="s">
        <v>431</v>
      </c>
      <c r="J15" s="20" t="s">
        <v>431</v>
      </c>
      <c r="K15" s="18" t="n">
        <v>0.82464609</v>
      </c>
      <c r="L15" s="20" t="n">
        <v>0.48148606</v>
      </c>
      <c r="M15" s="18" t="n">
        <v>0</v>
      </c>
      <c r="N15" s="20" t="n">
        <v>0</v>
      </c>
      <c r="O15" s="18" t="n">
        <v>0</v>
      </c>
      <c r="P15" s="20" t="n">
        <v>0</v>
      </c>
      <c r="Q15" s="18" t="n">
        <v>0</v>
      </c>
      <c r="R15" s="20" t="n">
        <v>0</v>
      </c>
    </row>
    <row r="16" spans="1:18">
      <c r="A16" s="15" t="s">
        <v>440</v>
      </c>
      <c r="B16" s="17" t="n">
        <v>2997</v>
      </c>
      <c r="C16" s="18">
        <f>(2646.0/B16*100)</f>
        <v/>
      </c>
      <c r="D16" s="19" t="n">
        <v>351</v>
      </c>
      <c r="E16" s="18" t="n">
        <v>33.54674399</v>
      </c>
      <c r="F16" s="20" t="n">
        <v>2.34847483</v>
      </c>
      <c r="G16" s="18" t="n">
        <v>60.42793906</v>
      </c>
      <c r="H16" s="20" t="n">
        <v>2.67472763</v>
      </c>
      <c r="I16" s="18" t="s">
        <v>431</v>
      </c>
      <c r="J16" s="20" t="s">
        <v>431</v>
      </c>
      <c r="K16" s="18" t="n">
        <v>6.02531694</v>
      </c>
      <c r="L16" s="20" t="n">
        <v>1.62203002</v>
      </c>
      <c r="M16" s="18" t="n">
        <v>0</v>
      </c>
      <c r="N16" s="20" t="n">
        <v>0</v>
      </c>
      <c r="O16" s="18" t="n">
        <v>0</v>
      </c>
      <c r="P16" s="20" t="n">
        <v>0</v>
      </c>
      <c r="Q16" s="18" t="n">
        <v>0</v>
      </c>
      <c r="R16" s="20" t="n">
        <v>0</v>
      </c>
    </row>
    <row r="17" spans="1:18">
      <c r="A17" s="15" t="s">
        <v>441</v>
      </c>
      <c r="B17" s="17" t="n">
        <v>3307</v>
      </c>
      <c r="C17" s="18">
        <f>(2915.0/B17*100)</f>
        <v/>
      </c>
      <c r="D17" s="19" t="n">
        <v>392</v>
      </c>
      <c r="E17" s="18" t="n">
        <v>33.70090168</v>
      </c>
      <c r="F17" s="20" t="n">
        <v>2.34386802</v>
      </c>
      <c r="G17" s="18" t="n">
        <v>65.1687108</v>
      </c>
      <c r="H17" s="20" t="n">
        <v>2.36779099</v>
      </c>
      <c r="I17" s="18" t="s">
        <v>431</v>
      </c>
      <c r="J17" s="20" t="s">
        <v>431</v>
      </c>
      <c r="K17" s="18" t="n">
        <v>1.13038752</v>
      </c>
      <c r="L17" s="20" t="n">
        <v>0.50669332</v>
      </c>
      <c r="M17" s="18" t="n">
        <v>0</v>
      </c>
      <c r="N17" s="20" t="n">
        <v>0</v>
      </c>
      <c r="O17" s="18" t="n">
        <v>0</v>
      </c>
      <c r="P17" s="20" t="n">
        <v>0</v>
      </c>
      <c r="Q17" s="18" t="n">
        <v>0</v>
      </c>
      <c r="R17" s="20" t="n">
        <v>0</v>
      </c>
    </row>
    <row r="18" spans="1:18">
      <c r="A18" s="15" t="s">
        <v>442</v>
      </c>
      <c r="B18" s="17" t="n">
        <v>2826</v>
      </c>
      <c r="C18" s="18">
        <f>(2484.0/B18*100)</f>
        <v/>
      </c>
      <c r="D18" s="19" t="n">
        <v>342</v>
      </c>
      <c r="E18" s="18" t="n">
        <v>54.42759885</v>
      </c>
      <c r="F18" s="20" t="n">
        <v>3.11064556</v>
      </c>
      <c r="G18" s="18" t="n">
        <v>41.70888528</v>
      </c>
      <c r="H18" s="20" t="n">
        <v>2.96655893</v>
      </c>
      <c r="I18" s="18" t="s">
        <v>431</v>
      </c>
      <c r="J18" s="20" t="s">
        <v>431</v>
      </c>
      <c r="K18" s="18" t="n">
        <v>3.86351587</v>
      </c>
      <c r="L18" s="20" t="n">
        <v>1.22038559</v>
      </c>
      <c r="M18" s="18" t="n">
        <v>0</v>
      </c>
      <c r="N18" s="20" t="n">
        <v>0</v>
      </c>
      <c r="O18" s="18" t="n">
        <v>0</v>
      </c>
      <c r="P18" s="20" t="n">
        <v>0</v>
      </c>
      <c r="Q18" s="18" t="n">
        <v>0</v>
      </c>
      <c r="R18" s="20" t="n">
        <v>0</v>
      </c>
    </row>
    <row r="19" spans="1:18">
      <c r="A19" s="15" t="s">
        <v>443</v>
      </c>
      <c r="B19" s="17" t="n">
        <v>2808</v>
      </c>
      <c r="C19" s="18">
        <f>(2467.0/B19*100)</f>
        <v/>
      </c>
      <c r="D19" s="19" t="n">
        <v>341</v>
      </c>
      <c r="E19" s="18" t="n">
        <v>38.37157778</v>
      </c>
      <c r="F19" s="20" t="n">
        <v>2.72569062</v>
      </c>
      <c r="G19" s="18" t="n">
        <v>59.86276879</v>
      </c>
      <c r="H19" s="20" t="n">
        <v>2.69455932</v>
      </c>
      <c r="I19" s="18" t="s">
        <v>431</v>
      </c>
      <c r="J19" s="20" t="s">
        <v>431</v>
      </c>
      <c r="K19" s="18" t="n">
        <v>1.76565342</v>
      </c>
      <c r="L19" s="20" t="n">
        <v>1.12490586</v>
      </c>
      <c r="M19" s="18" t="n">
        <v>0</v>
      </c>
      <c r="N19" s="20" t="n">
        <v>0</v>
      </c>
      <c r="O19" s="18" t="n">
        <v>0</v>
      </c>
      <c r="P19" s="20" t="n">
        <v>0</v>
      </c>
      <c r="Q19" s="18" t="n">
        <v>0</v>
      </c>
      <c r="R19" s="20" t="n">
        <v>0</v>
      </c>
    </row>
    <row r="20" spans="1:18">
      <c r="A20" s="15" t="s">
        <v>444</v>
      </c>
      <c r="B20" s="17" t="n">
        <v>1630</v>
      </c>
      <c r="C20" s="18">
        <f>(1446.0/B20*100)</f>
        <v/>
      </c>
      <c r="D20" s="19" t="n">
        <v>184</v>
      </c>
      <c r="E20" s="18" t="n">
        <v>40.50858756</v>
      </c>
      <c r="F20" s="20" t="n">
        <v>3.84741219</v>
      </c>
      <c r="G20" s="18" t="n">
        <v>55.11893318</v>
      </c>
      <c r="H20" s="20" t="n">
        <v>3.84403298</v>
      </c>
      <c r="I20" s="18" t="s">
        <v>431</v>
      </c>
      <c r="J20" s="20" t="s">
        <v>431</v>
      </c>
      <c r="K20" s="18" t="n">
        <v>4.37247925</v>
      </c>
      <c r="L20" s="20" t="n">
        <v>1.40300148</v>
      </c>
      <c r="M20" s="18" t="n">
        <v>0</v>
      </c>
      <c r="N20" s="20" t="n">
        <v>0</v>
      </c>
      <c r="O20" s="18" t="n">
        <v>0</v>
      </c>
      <c r="P20" s="20" t="n">
        <v>0</v>
      </c>
      <c r="Q20" s="18" t="n">
        <v>0</v>
      </c>
      <c r="R20" s="20" t="n">
        <v>0</v>
      </c>
    </row>
    <row r="21" spans="1:18">
      <c r="A21" s="15" t="s">
        <v>445</v>
      </c>
      <c r="B21" s="17" t="n">
        <v>2908</v>
      </c>
      <c r="C21" s="18">
        <f>(2425.0/B21*100)</f>
        <v/>
      </c>
      <c r="D21" s="19" t="n">
        <v>483</v>
      </c>
      <c r="E21" s="18" t="n">
        <v>37.87170715</v>
      </c>
      <c r="F21" s="20" t="n">
        <v>1.79716109</v>
      </c>
      <c r="G21" s="18" t="n">
        <v>61.38435149</v>
      </c>
      <c r="H21" s="20" t="n">
        <v>1.89089168</v>
      </c>
      <c r="I21" s="18" t="s">
        <v>431</v>
      </c>
      <c r="J21" s="20" t="s">
        <v>431</v>
      </c>
      <c r="K21" s="18" t="n">
        <v>0.74394136</v>
      </c>
      <c r="L21" s="20" t="n">
        <v>0.44891777</v>
      </c>
      <c r="M21" s="18" t="n">
        <v>0</v>
      </c>
      <c r="N21" s="20" t="n">
        <v>0</v>
      </c>
      <c r="O21" s="18" t="n">
        <v>0</v>
      </c>
      <c r="P21" s="20" t="n">
        <v>0</v>
      </c>
      <c r="Q21" s="18" t="n">
        <v>0</v>
      </c>
      <c r="R21" s="20" t="n">
        <v>0</v>
      </c>
    </row>
    <row r="22" spans="1:18">
      <c r="A22" s="15" t="s">
        <v>446</v>
      </c>
      <c r="B22" s="17" t="n">
        <v>2931</v>
      </c>
      <c r="C22" s="18">
        <f>(2583.0/B22*100)</f>
        <v/>
      </c>
      <c r="D22" s="19" t="n">
        <v>348</v>
      </c>
      <c r="E22" s="18" t="n">
        <v>37.33583238</v>
      </c>
      <c r="F22" s="20" t="n">
        <v>3.15251322</v>
      </c>
      <c r="G22" s="18" t="n">
        <v>58.13679889</v>
      </c>
      <c r="H22" s="20" t="n">
        <v>3.00165773</v>
      </c>
      <c r="I22" s="18" t="s">
        <v>431</v>
      </c>
      <c r="J22" s="20" t="s">
        <v>431</v>
      </c>
      <c r="K22" s="18" t="n">
        <v>4.52736873</v>
      </c>
      <c r="L22" s="20" t="n">
        <v>1.14904831</v>
      </c>
      <c r="M22" s="18" t="n">
        <v>0</v>
      </c>
      <c r="N22" s="20" t="n">
        <v>0</v>
      </c>
      <c r="O22" s="18" t="n">
        <v>0</v>
      </c>
      <c r="P22" s="20" t="n">
        <v>0</v>
      </c>
      <c r="Q22" s="18" t="n">
        <v>0</v>
      </c>
      <c r="R22" s="20" t="n">
        <v>0</v>
      </c>
    </row>
    <row r="23" spans="1:18">
      <c r="A23" s="15" t="s">
        <v>447</v>
      </c>
      <c r="B23" s="17" t="n">
        <v>5791</v>
      </c>
      <c r="C23" s="18">
        <f>(5057.0/B23*100)</f>
        <v/>
      </c>
      <c r="D23" s="19" t="n">
        <v>734</v>
      </c>
      <c r="E23" s="18" t="n">
        <v>30.76708353</v>
      </c>
      <c r="F23" s="20" t="n">
        <v>2.22529712</v>
      </c>
      <c r="G23" s="18" t="n">
        <v>67.35581581</v>
      </c>
      <c r="H23" s="20" t="n">
        <v>2.24635025</v>
      </c>
      <c r="I23" s="18" t="s">
        <v>431</v>
      </c>
      <c r="J23" s="20" t="s">
        <v>431</v>
      </c>
      <c r="K23" s="18" t="n">
        <v>1.87710066</v>
      </c>
      <c r="L23" s="20" t="n">
        <v>0.6661583599999999</v>
      </c>
      <c r="M23" s="18" t="n">
        <v>0</v>
      </c>
      <c r="N23" s="20" t="n">
        <v>0</v>
      </c>
      <c r="O23" s="18" t="n">
        <v>0</v>
      </c>
      <c r="P23" s="20" t="n">
        <v>0</v>
      </c>
      <c r="Q23" s="18" t="n">
        <v>0</v>
      </c>
      <c r="R23" s="20" t="n">
        <v>0</v>
      </c>
    </row>
    <row r="24" spans="1:18">
      <c r="A24" s="15" t="s">
        <v>448</v>
      </c>
      <c r="B24" s="17" t="n">
        <v>3338</v>
      </c>
      <c r="C24" s="18">
        <f>(2957.0/B24*100)</f>
        <v/>
      </c>
      <c r="D24" s="19" t="n">
        <v>381</v>
      </c>
      <c r="E24" s="18" t="n">
        <v>31.66674973</v>
      </c>
      <c r="F24" s="20" t="n">
        <v>2.42303303</v>
      </c>
      <c r="G24" s="18" t="n">
        <v>66.81668132999999</v>
      </c>
      <c r="H24" s="20" t="n">
        <v>2.43987557</v>
      </c>
      <c r="I24" s="18" t="s">
        <v>431</v>
      </c>
      <c r="J24" s="20" t="s">
        <v>431</v>
      </c>
      <c r="K24" s="18" t="n">
        <v>1.51656894</v>
      </c>
      <c r="L24" s="20" t="n">
        <v>0.60755507</v>
      </c>
      <c r="M24" s="18" t="n">
        <v>0</v>
      </c>
      <c r="N24" s="20" t="n">
        <v>0</v>
      </c>
      <c r="O24" s="18" t="n">
        <v>0</v>
      </c>
      <c r="P24" s="20" t="n">
        <v>0</v>
      </c>
      <c r="Q24" s="18" t="n">
        <v>0</v>
      </c>
      <c r="R24" s="20" t="n">
        <v>0</v>
      </c>
    </row>
    <row r="25" spans="1:18">
      <c r="A25" s="15" t="s">
        <v>449</v>
      </c>
      <c r="B25" s="17" t="n">
        <v>2912</v>
      </c>
      <c r="C25" s="18">
        <f>(2561.0/B25*100)</f>
        <v/>
      </c>
      <c r="D25" s="19" t="n">
        <v>351</v>
      </c>
      <c r="E25" s="18" t="n">
        <v>15.67032322</v>
      </c>
      <c r="F25" s="20" t="n">
        <v>2.33294928</v>
      </c>
      <c r="G25" s="18" t="n">
        <v>82.96821192</v>
      </c>
      <c r="H25" s="20" t="n">
        <v>2.44304846</v>
      </c>
      <c r="I25" s="18" t="s">
        <v>431</v>
      </c>
      <c r="J25" s="20" t="s">
        <v>431</v>
      </c>
      <c r="K25" s="18" t="n">
        <v>1.36146485</v>
      </c>
      <c r="L25" s="20" t="n">
        <v>0.61926781</v>
      </c>
      <c r="M25" s="18" t="n">
        <v>0</v>
      </c>
      <c r="N25" s="20" t="n">
        <v>0</v>
      </c>
      <c r="O25" s="18" t="n">
        <v>0</v>
      </c>
      <c r="P25" s="20" t="n">
        <v>0</v>
      </c>
      <c r="Q25" s="18" t="n">
        <v>0</v>
      </c>
      <c r="R25" s="20" t="n">
        <v>0</v>
      </c>
    </row>
    <row r="26" spans="1:18">
      <c r="A26" s="15" t="s">
        <v>450</v>
      </c>
      <c r="B26" s="17" t="n">
        <v>2450</v>
      </c>
      <c r="C26" s="18">
        <f>(2149.0/B26*100)</f>
        <v/>
      </c>
      <c r="D26" s="19" t="n">
        <v>301</v>
      </c>
      <c r="E26" s="18" t="n">
        <v>47.6728831</v>
      </c>
      <c r="F26" s="20" t="n">
        <v>2.75496531</v>
      </c>
      <c r="G26" s="18" t="n">
        <v>52.02742028</v>
      </c>
      <c r="H26" s="20" t="n">
        <v>2.76569557</v>
      </c>
      <c r="I26" s="18" t="s">
        <v>431</v>
      </c>
      <c r="J26" s="20" t="s">
        <v>431</v>
      </c>
      <c r="K26" s="18" t="n">
        <v>0.29969662</v>
      </c>
      <c r="L26" s="20" t="n">
        <v>0.29360463</v>
      </c>
      <c r="M26" s="18" t="n">
        <v>0</v>
      </c>
      <c r="N26" s="20" t="n">
        <v>0</v>
      </c>
      <c r="O26" s="18" t="n">
        <v>0</v>
      </c>
      <c r="P26" s="20" t="n">
        <v>0</v>
      </c>
      <c r="Q26" s="18" t="n">
        <v>0</v>
      </c>
      <c r="R26" s="20" t="n">
        <v>0</v>
      </c>
    </row>
    <row r="27" spans="1:18">
      <c r="A27" s="15" t="s">
        <v>451</v>
      </c>
      <c r="B27" s="17" t="n">
        <v>2616</v>
      </c>
      <c r="C27" s="18">
        <f>(2316.0/B27*100)</f>
        <v/>
      </c>
      <c r="D27" s="19" t="n">
        <v>300</v>
      </c>
      <c r="E27" s="18" t="n">
        <v>43.88939692</v>
      </c>
      <c r="F27" s="20" t="n">
        <v>2.78999254</v>
      </c>
      <c r="G27" s="18" t="n">
        <v>52.33565292</v>
      </c>
      <c r="H27" s="20" t="n">
        <v>2.82092378</v>
      </c>
      <c r="I27" s="18" t="s">
        <v>431</v>
      </c>
      <c r="J27" s="20" t="s">
        <v>431</v>
      </c>
      <c r="K27" s="18" t="n">
        <v>3.77495016</v>
      </c>
      <c r="L27" s="20" t="n">
        <v>1.08007712</v>
      </c>
      <c r="M27" s="18" t="n">
        <v>0</v>
      </c>
      <c r="N27" s="20" t="n">
        <v>0</v>
      </c>
      <c r="O27" s="18" t="n">
        <v>0</v>
      </c>
      <c r="P27" s="20" t="n">
        <v>0</v>
      </c>
      <c r="Q27" s="18" t="n">
        <v>0</v>
      </c>
      <c r="R27" s="20" t="n">
        <v>0</v>
      </c>
    </row>
    <row r="28" spans="1:18">
      <c r="A28" s="15" t="s">
        <v>452</v>
      </c>
      <c r="B28" s="17" t="n">
        <v>3765</v>
      </c>
      <c r="C28" s="18">
        <f>(3361.0/B28*100)</f>
        <v/>
      </c>
      <c r="D28" s="19" t="n">
        <v>404</v>
      </c>
      <c r="E28" s="18" t="n">
        <v>55.50131534</v>
      </c>
      <c r="F28" s="20" t="n">
        <v>2.72130426</v>
      </c>
      <c r="G28" s="18" t="n">
        <v>42.88081772</v>
      </c>
      <c r="H28" s="20" t="n">
        <v>2.67512346</v>
      </c>
      <c r="I28" s="18" t="s">
        <v>431</v>
      </c>
      <c r="J28" s="20" t="s">
        <v>431</v>
      </c>
      <c r="K28" s="18" t="n">
        <v>1.61786694</v>
      </c>
      <c r="L28" s="20" t="n">
        <v>0.6972219200000001</v>
      </c>
      <c r="M28" s="18" t="n">
        <v>0</v>
      </c>
      <c r="N28" s="20" t="n">
        <v>0</v>
      </c>
      <c r="O28" s="18" t="n">
        <v>0</v>
      </c>
      <c r="P28" s="20" t="n">
        <v>0</v>
      </c>
      <c r="Q28" s="18" t="n">
        <v>0</v>
      </c>
      <c r="R28" s="20" t="n">
        <v>0</v>
      </c>
    </row>
    <row r="29" spans="1:18">
      <c r="A29" s="15" t="s">
        <v>453</v>
      </c>
      <c r="B29" s="17" t="n">
        <v>2685</v>
      </c>
      <c r="C29" s="18">
        <f>(2363.0/B29*100)</f>
        <v/>
      </c>
      <c r="D29" s="19" t="n">
        <v>322</v>
      </c>
      <c r="E29" s="18" t="n">
        <v>23.712313</v>
      </c>
      <c r="F29" s="20" t="n">
        <v>2.45969101</v>
      </c>
      <c r="G29" s="18" t="n">
        <v>74.27040135</v>
      </c>
      <c r="H29" s="20" t="n">
        <v>2.43065344</v>
      </c>
      <c r="I29" s="18" t="s">
        <v>431</v>
      </c>
      <c r="J29" s="20" t="s">
        <v>431</v>
      </c>
      <c r="K29" s="18" t="n">
        <v>2.01728565</v>
      </c>
      <c r="L29" s="20" t="n">
        <v>0.88680968</v>
      </c>
      <c r="M29" s="18" t="n">
        <v>0</v>
      </c>
      <c r="N29" s="20" t="n">
        <v>0</v>
      </c>
      <c r="O29" s="18" t="n">
        <v>0</v>
      </c>
      <c r="P29" s="20" t="n">
        <v>0</v>
      </c>
      <c r="Q29" s="18" t="n">
        <v>0</v>
      </c>
      <c r="R29" s="20" t="n">
        <v>0</v>
      </c>
    </row>
    <row r="30" spans="1:18">
      <c r="A30" s="15" t="s">
        <v>454</v>
      </c>
      <c r="B30" s="17" t="n">
        <v>2263</v>
      </c>
      <c r="C30" s="18">
        <f>(1999.0/B30*100)</f>
        <v/>
      </c>
      <c r="D30" s="19" t="n">
        <v>264</v>
      </c>
      <c r="E30" s="18" t="n">
        <v>32.98812052</v>
      </c>
      <c r="F30" s="20" t="n">
        <v>3.45285463</v>
      </c>
      <c r="G30" s="18" t="n">
        <v>65.62291408</v>
      </c>
      <c r="H30" s="20" t="n">
        <v>3.5710221</v>
      </c>
      <c r="I30" s="18" t="s">
        <v>431</v>
      </c>
      <c r="J30" s="20" t="s">
        <v>431</v>
      </c>
      <c r="K30" s="18" t="n">
        <v>1.3889654</v>
      </c>
      <c r="L30" s="20" t="n">
        <v>0.82293654</v>
      </c>
      <c r="M30" s="18" t="n">
        <v>0</v>
      </c>
      <c r="N30" s="20" t="n">
        <v>0</v>
      </c>
      <c r="O30" s="18" t="n">
        <v>0</v>
      </c>
      <c r="P30" s="20" t="n">
        <v>0</v>
      </c>
      <c r="Q30" s="18" t="n">
        <v>0</v>
      </c>
      <c r="R30" s="20" t="n">
        <v>0</v>
      </c>
    </row>
    <row r="31" spans="1:18">
      <c r="A31" s="15" t="s">
        <v>455</v>
      </c>
      <c r="B31" s="17" t="n">
        <v>2750</v>
      </c>
      <c r="C31" s="18">
        <f>(2433.0/B31*100)</f>
        <v/>
      </c>
      <c r="D31" s="19" t="n">
        <v>317</v>
      </c>
      <c r="E31" s="18" t="n">
        <v>41.54170644</v>
      </c>
      <c r="F31" s="20" t="n">
        <v>2.41994237</v>
      </c>
      <c r="G31" s="18" t="n">
        <v>56.20408826</v>
      </c>
      <c r="H31" s="20" t="n">
        <v>2.48089336</v>
      </c>
      <c r="I31" s="18" t="s">
        <v>431</v>
      </c>
      <c r="J31" s="20" t="s">
        <v>431</v>
      </c>
      <c r="K31" s="18" t="n">
        <v>2.25420529</v>
      </c>
      <c r="L31" s="20" t="n">
        <v>0.86348219</v>
      </c>
      <c r="M31" s="18" t="n">
        <v>0</v>
      </c>
      <c r="N31" s="20" t="n">
        <v>0</v>
      </c>
      <c r="O31" s="18" t="n">
        <v>0</v>
      </c>
      <c r="P31" s="20" t="n">
        <v>0</v>
      </c>
      <c r="Q31" s="18" t="n">
        <v>0</v>
      </c>
      <c r="R31" s="20" t="n">
        <v>0</v>
      </c>
    </row>
    <row r="32" spans="1:18">
      <c r="A32" s="15" t="s">
        <v>456</v>
      </c>
      <c r="B32" s="17" t="n">
        <v>2269</v>
      </c>
      <c r="C32" s="18">
        <f>(1899.0/B32*100)</f>
        <v/>
      </c>
      <c r="D32" s="19" t="n">
        <v>370</v>
      </c>
      <c r="E32" s="18" t="n">
        <v>37.56386746</v>
      </c>
      <c r="F32" s="20" t="n">
        <v>2.86697546</v>
      </c>
      <c r="G32" s="18" t="n">
        <v>61.19485439</v>
      </c>
      <c r="H32" s="20" t="n">
        <v>3.01251492</v>
      </c>
      <c r="I32" s="18" t="s">
        <v>431</v>
      </c>
      <c r="J32" s="20" t="s">
        <v>431</v>
      </c>
      <c r="K32" s="18" t="n">
        <v>1.24127815</v>
      </c>
      <c r="L32" s="20" t="n">
        <v>0.53525552</v>
      </c>
      <c r="M32" s="18" t="n">
        <v>0</v>
      </c>
      <c r="N32" s="20" t="n">
        <v>0</v>
      </c>
      <c r="O32" s="18" t="n">
        <v>0</v>
      </c>
      <c r="P32" s="20" t="n">
        <v>0</v>
      </c>
      <c r="Q32" s="18" t="n">
        <v>0</v>
      </c>
      <c r="R32" s="20" t="n">
        <v>0</v>
      </c>
    </row>
    <row r="33" spans="1:18">
      <c r="A33" s="15" t="s">
        <v>457</v>
      </c>
      <c r="B33" s="17" t="n">
        <v>3674</v>
      </c>
      <c r="C33" s="18">
        <f>(3248.0/B33*100)</f>
        <v/>
      </c>
      <c r="D33" s="19" t="n">
        <v>426</v>
      </c>
      <c r="E33" s="18" t="n">
        <v>34.99061265</v>
      </c>
      <c r="F33" s="20" t="n">
        <v>3.09153928</v>
      </c>
      <c r="G33" s="18" t="n">
        <v>63.21123892</v>
      </c>
      <c r="H33" s="20" t="n">
        <v>3.12102885</v>
      </c>
      <c r="I33" s="18" t="s">
        <v>431</v>
      </c>
      <c r="J33" s="20" t="s">
        <v>431</v>
      </c>
      <c r="K33" s="18" t="n">
        <v>1.79814843</v>
      </c>
      <c r="L33" s="20" t="n">
        <v>0.75487013</v>
      </c>
      <c r="M33" s="18" t="n">
        <v>0</v>
      </c>
      <c r="N33" s="20" t="n">
        <v>0</v>
      </c>
      <c r="O33" s="18" t="n">
        <v>0</v>
      </c>
      <c r="P33" s="20" t="n">
        <v>0</v>
      </c>
      <c r="Q33" s="18" t="n">
        <v>0</v>
      </c>
      <c r="R33" s="20" t="n">
        <v>0</v>
      </c>
    </row>
    <row r="34" spans="1:18">
      <c r="A34" s="15" t="s">
        <v>458</v>
      </c>
      <c r="B34" s="17" t="n">
        <v>3315</v>
      </c>
      <c r="C34" s="18">
        <f>(2927.0/B34*100)</f>
        <v/>
      </c>
      <c r="D34" s="19" t="n">
        <v>388</v>
      </c>
      <c r="E34" s="18" t="n">
        <v>37.15443948</v>
      </c>
      <c r="F34" s="20" t="n">
        <v>2.74713278</v>
      </c>
      <c r="G34" s="18" t="n">
        <v>61.58602656</v>
      </c>
      <c r="H34" s="20" t="n">
        <v>2.71168011</v>
      </c>
      <c r="I34" s="18" t="s">
        <v>431</v>
      </c>
      <c r="J34" s="20" t="s">
        <v>431</v>
      </c>
      <c r="K34" s="18" t="n">
        <v>1.25953396</v>
      </c>
      <c r="L34" s="20" t="n">
        <v>0.93235427</v>
      </c>
      <c r="M34" s="18" t="n">
        <v>0</v>
      </c>
      <c r="N34" s="20" t="n">
        <v>0</v>
      </c>
      <c r="O34" s="18" t="n">
        <v>0</v>
      </c>
      <c r="P34" s="20" t="n">
        <v>0</v>
      </c>
      <c r="Q34" s="18" t="n">
        <v>0</v>
      </c>
      <c r="R34" s="20" t="n">
        <v>0</v>
      </c>
    </row>
    <row r="35" spans="1:18">
      <c r="A35" s="15" t="s">
        <v>459</v>
      </c>
      <c r="B35" s="17" t="n">
        <v>3505</v>
      </c>
      <c r="C35" s="18">
        <f>(3082.0/B35*100)</f>
        <v/>
      </c>
      <c r="D35" s="19" t="n">
        <v>423</v>
      </c>
      <c r="E35" s="18" t="n">
        <v>37.46376228</v>
      </c>
      <c r="F35" s="20" t="n">
        <v>2.76195856</v>
      </c>
      <c r="G35" s="18" t="n">
        <v>62.03095778</v>
      </c>
      <c r="H35" s="20" t="n">
        <v>2.74129075</v>
      </c>
      <c r="I35" s="18" t="s">
        <v>431</v>
      </c>
      <c r="J35" s="20" t="s">
        <v>431</v>
      </c>
      <c r="K35" s="18" t="n">
        <v>0.50527994</v>
      </c>
      <c r="L35" s="20" t="n">
        <v>0.28128671</v>
      </c>
      <c r="M35" s="18" t="n">
        <v>0</v>
      </c>
      <c r="N35" s="20" t="n">
        <v>0</v>
      </c>
      <c r="O35" s="18" t="n">
        <v>0</v>
      </c>
      <c r="P35" s="20" t="n">
        <v>0</v>
      </c>
      <c r="Q35" s="18" t="n">
        <v>0</v>
      </c>
      <c r="R35" s="20" t="n">
        <v>0</v>
      </c>
    </row>
    <row r="36" spans="1:18">
      <c r="A36" s="15" t="s">
        <v>460</v>
      </c>
      <c r="B36" s="17" t="n">
        <v>3332</v>
      </c>
      <c r="C36" s="18">
        <f>(2938.0/B36*100)</f>
        <v/>
      </c>
      <c r="D36" s="19" t="n">
        <v>394</v>
      </c>
      <c r="E36" s="18" t="n">
        <v>35.47326405</v>
      </c>
      <c r="F36" s="20" t="n">
        <v>2.59987406</v>
      </c>
      <c r="G36" s="18" t="n">
        <v>62.32793197</v>
      </c>
      <c r="H36" s="20" t="n">
        <v>2.6017294</v>
      </c>
      <c r="I36" s="18" t="s">
        <v>431</v>
      </c>
      <c r="J36" s="20" t="s">
        <v>431</v>
      </c>
      <c r="K36" s="18" t="n">
        <v>2.19880399</v>
      </c>
      <c r="L36" s="20" t="n">
        <v>0.75307333</v>
      </c>
      <c r="M36" s="18" t="n">
        <v>0</v>
      </c>
      <c r="N36" s="20" t="n">
        <v>0</v>
      </c>
      <c r="O36" s="18" t="n">
        <v>0</v>
      </c>
      <c r="P36" s="20" t="n">
        <v>0</v>
      </c>
      <c r="Q36" s="18" t="n">
        <v>0</v>
      </c>
      <c r="R36" s="20" t="n">
        <v>0</v>
      </c>
    </row>
    <row r="37" spans="1:18">
      <c r="A37" s="15" t="s">
        <v>461</v>
      </c>
      <c r="B37" s="17" t="n">
        <v>2727</v>
      </c>
      <c r="C37" s="18">
        <f>(2403.0/B37*100)</f>
        <v/>
      </c>
      <c r="D37" s="19" t="n">
        <v>324</v>
      </c>
      <c r="E37" s="18" t="n">
        <v>42.7432924</v>
      </c>
      <c r="F37" s="20" t="n">
        <v>2.54606404</v>
      </c>
      <c r="G37" s="18" t="n">
        <v>51.28834524</v>
      </c>
      <c r="H37" s="20" t="n">
        <v>2.70278211</v>
      </c>
      <c r="I37" s="18" t="s">
        <v>431</v>
      </c>
      <c r="J37" s="20" t="s">
        <v>431</v>
      </c>
      <c r="K37" s="18" t="n">
        <v>5.96836236</v>
      </c>
      <c r="L37" s="20" t="n">
        <v>1.09985676</v>
      </c>
      <c r="M37" s="18" t="n">
        <v>0</v>
      </c>
      <c r="N37" s="20" t="n">
        <v>0</v>
      </c>
      <c r="O37" s="18" t="n">
        <v>0</v>
      </c>
      <c r="P37" s="20" t="n">
        <v>0</v>
      </c>
      <c r="Q37" s="18" t="n">
        <v>0</v>
      </c>
      <c r="R37" s="20" t="n">
        <v>0</v>
      </c>
    </row>
    <row r="38" spans="1:18">
      <c r="A38" s="15" t="s">
        <v>462</v>
      </c>
      <c r="B38" s="17" t="n">
        <v>3053</v>
      </c>
      <c r="C38" s="18">
        <f>(2555.0/B38*100)</f>
        <v/>
      </c>
      <c r="D38" s="19" t="n">
        <v>498</v>
      </c>
      <c r="E38" s="18" t="n">
        <v>34.88888795</v>
      </c>
      <c r="F38" s="20" t="n">
        <v>2.07975072</v>
      </c>
      <c r="G38" s="18" t="n">
        <v>62.6220587</v>
      </c>
      <c r="H38" s="20" t="n">
        <v>2.25323644</v>
      </c>
      <c r="I38" s="18" t="s">
        <v>431</v>
      </c>
      <c r="J38" s="20" t="s">
        <v>431</v>
      </c>
      <c r="K38" s="18" t="n">
        <v>2.48905335</v>
      </c>
      <c r="L38" s="20" t="n">
        <v>1.04158898</v>
      </c>
      <c r="M38" s="18" t="n">
        <v>0</v>
      </c>
      <c r="N38" s="20" t="n">
        <v>0</v>
      </c>
      <c r="O38" s="18" t="n">
        <v>0</v>
      </c>
      <c r="P38" s="20" t="n">
        <v>0</v>
      </c>
      <c r="Q38" s="18" t="n">
        <v>0</v>
      </c>
      <c r="R38" s="20" t="n">
        <v>0</v>
      </c>
    </row>
    <row r="39" spans="1:18">
      <c r="A39" s="15" t="s">
        <v>463</v>
      </c>
      <c r="B39" s="17" t="n">
        <v>2957</v>
      </c>
      <c r="C39" s="18">
        <f>(2593.0/B39*100)</f>
        <v/>
      </c>
      <c r="D39" s="19" t="n">
        <v>364</v>
      </c>
      <c r="E39" s="18" t="n">
        <v>46.19103151</v>
      </c>
      <c r="F39" s="20" t="n">
        <v>2.78240722</v>
      </c>
      <c r="G39" s="18" t="n">
        <v>51.35415476</v>
      </c>
      <c r="H39" s="20" t="n">
        <v>2.89523384</v>
      </c>
      <c r="I39" s="18" t="s">
        <v>431</v>
      </c>
      <c r="J39" s="20" t="s">
        <v>431</v>
      </c>
      <c r="K39" s="18" t="n">
        <v>2.45481373</v>
      </c>
      <c r="L39" s="20" t="n">
        <v>0.66704238</v>
      </c>
      <c r="M39" s="18" t="n">
        <v>0</v>
      </c>
      <c r="N39" s="20" t="n">
        <v>0</v>
      </c>
      <c r="O39" s="18" t="n">
        <v>0</v>
      </c>
      <c r="P39" s="20" t="n">
        <v>0</v>
      </c>
      <c r="Q39" s="18" t="n">
        <v>0</v>
      </c>
      <c r="R39" s="20" t="n">
        <v>0</v>
      </c>
    </row>
    <row r="40" spans="1:18">
      <c r="A40" s="15" t="s">
        <v>464</v>
      </c>
      <c r="B40" s="17" t="n">
        <v>7235</v>
      </c>
      <c r="C40" s="18">
        <f>(6348.0/B40*100)</f>
        <v/>
      </c>
      <c r="D40" s="19" t="n">
        <v>887</v>
      </c>
      <c r="E40" s="18" t="n">
        <v>40.86056651</v>
      </c>
      <c r="F40" s="20" t="n">
        <v>2.85758202</v>
      </c>
      <c r="G40" s="18" t="n">
        <v>57.5490836</v>
      </c>
      <c r="H40" s="20" t="n">
        <v>2.91412171</v>
      </c>
      <c r="I40" s="18" t="s">
        <v>431</v>
      </c>
      <c r="J40" s="20" t="s">
        <v>431</v>
      </c>
      <c r="K40" s="18" t="n">
        <v>1.59034988</v>
      </c>
      <c r="L40" s="20" t="n">
        <v>0.56331837</v>
      </c>
      <c r="M40" s="18" t="n">
        <v>0</v>
      </c>
      <c r="N40" s="20" t="n">
        <v>0</v>
      </c>
      <c r="O40" s="18" t="n">
        <v>0</v>
      </c>
      <c r="P40" s="20" t="n">
        <v>0</v>
      </c>
      <c r="Q40" s="18" t="n">
        <v>0</v>
      </c>
      <c r="R40" s="20" t="n">
        <v>0</v>
      </c>
    </row>
    <row r="41" spans="1:18">
      <c r="A41" s="15" t="s">
        <v>465</v>
      </c>
      <c r="B41" s="17" t="n">
        <v>2858</v>
      </c>
      <c r="C41" s="18">
        <f>(2498.0/B41*100)</f>
        <v/>
      </c>
      <c r="D41" s="19" t="n">
        <v>360</v>
      </c>
      <c r="E41" s="18" t="n">
        <v>32.32518012</v>
      </c>
      <c r="F41" s="20" t="n">
        <v>2.4291341</v>
      </c>
      <c r="G41" s="18" t="n">
        <v>66.3332075</v>
      </c>
      <c r="H41" s="20" t="n">
        <v>2.46427618</v>
      </c>
      <c r="I41" s="18" t="s">
        <v>431</v>
      </c>
      <c r="J41" s="20" t="s">
        <v>431</v>
      </c>
      <c r="K41" s="18" t="n">
        <v>1.34161239</v>
      </c>
      <c r="L41" s="20" t="n">
        <v>0.4364812</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(10072.0/B46*100)</f>
        <v/>
      </c>
      <c r="D46" s="19" t="n">
        <v>996</v>
      </c>
      <c r="E46" s="18" t="n">
        <v>48.17445513</v>
      </c>
      <c r="F46" s="20" t="n">
        <v>1.97476923</v>
      </c>
      <c r="G46" s="18" t="n">
        <v>47.72975355</v>
      </c>
      <c r="H46" s="20" t="n">
        <v>1.96285521</v>
      </c>
      <c r="I46" s="18" t="s">
        <v>431</v>
      </c>
      <c r="J46" s="20" t="s">
        <v>431</v>
      </c>
      <c r="K46" s="18" t="n">
        <v>4.09579131</v>
      </c>
      <c r="L46" s="20" t="n">
        <v>0.84789642</v>
      </c>
      <c r="M46" s="18" t="n">
        <v>0</v>
      </c>
      <c r="N46" s="20" t="n">
        <v>0</v>
      </c>
      <c r="O46" s="18" t="n">
        <v>0</v>
      </c>
      <c r="P46" s="20" t="n">
        <v>0</v>
      </c>
      <c r="Q46" s="18" t="n">
        <v>0</v>
      </c>
      <c r="R46" s="20" t="n">
        <v>0</v>
      </c>
    </row>
    <row r="47" spans="1:18">
      <c r="A47" s="15" t="s">
        <v>471</v>
      </c>
      <c r="B47" s="17" t="n">
        <v>3105</v>
      </c>
      <c r="C47" s="18">
        <f>(2733.0/B47*100)</f>
        <v/>
      </c>
      <c r="D47" s="19" t="n">
        <v>372</v>
      </c>
      <c r="E47" s="18" t="n">
        <v>56.07023856</v>
      </c>
      <c r="F47" s="20" t="n">
        <v>2.665066</v>
      </c>
      <c r="G47" s="18" t="n">
        <v>43.38281175</v>
      </c>
      <c r="H47" s="20" t="n">
        <v>2.58799737</v>
      </c>
      <c r="I47" s="18" t="s">
        <v>431</v>
      </c>
      <c r="J47" s="20" t="s">
        <v>431</v>
      </c>
      <c r="K47" s="18" t="n">
        <v>0.54694969</v>
      </c>
      <c r="L47" s="20" t="n">
        <v>0.46652651</v>
      </c>
      <c r="M47" s="18" t="n">
        <v>0</v>
      </c>
      <c r="N47" s="20" t="n">
        <v>0</v>
      </c>
      <c r="O47" s="18" t="n">
        <v>0</v>
      </c>
      <c r="P47" s="20" t="n">
        <v>0</v>
      </c>
      <c r="Q47" s="18" t="n">
        <v>0</v>
      </c>
      <c r="R47" s="20" t="n">
        <v>0</v>
      </c>
    </row>
    <row r="48" spans="1:18">
      <c r="A48" s="15" t="s">
        <v>472</v>
      </c>
      <c r="B48" s="17" t="n">
        <v>5159</v>
      </c>
      <c r="C48" s="18">
        <f>(4556.0/B48*100)</f>
        <v/>
      </c>
      <c r="D48" s="19" t="n">
        <v>603</v>
      </c>
      <c r="E48" s="18" t="n">
        <v>26.01363617</v>
      </c>
      <c r="F48" s="20" t="n">
        <v>2.00884925</v>
      </c>
      <c r="G48" s="18" t="n">
        <v>71.8993904</v>
      </c>
      <c r="H48" s="20" t="n">
        <v>2.0613453</v>
      </c>
      <c r="I48" s="18" t="s">
        <v>431</v>
      </c>
      <c r="J48" s="20" t="s">
        <v>431</v>
      </c>
      <c r="K48" s="18" t="n">
        <v>2.08697343</v>
      </c>
      <c r="L48" s="20" t="n">
        <v>0.81147523</v>
      </c>
      <c r="M48" s="18" t="n">
        <v>0</v>
      </c>
      <c r="N48" s="20" t="n">
        <v>0</v>
      </c>
      <c r="O48" s="18" t="n">
        <v>0</v>
      </c>
      <c r="P48" s="20" t="n">
        <v>0</v>
      </c>
      <c r="Q48" s="18" t="n">
        <v>0</v>
      </c>
      <c r="R48" s="20" t="n">
        <v>0</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(4997.0/B50*100)</f>
        <v/>
      </c>
      <c r="D50" s="19" t="n">
        <v>640</v>
      </c>
      <c r="E50" s="18" t="n">
        <v>47.94733128</v>
      </c>
      <c r="F50" s="20" t="n">
        <v>2.49762779</v>
      </c>
      <c r="G50" s="18" t="n">
        <v>46.61966146</v>
      </c>
      <c r="H50" s="20" t="n">
        <v>2.66580766</v>
      </c>
      <c r="I50" s="18" t="s">
        <v>431</v>
      </c>
      <c r="J50" s="20" t="s">
        <v>431</v>
      </c>
      <c r="K50" s="18" t="n">
        <v>5.43300726</v>
      </c>
      <c r="L50" s="20" t="n">
        <v>1.14434999</v>
      </c>
      <c r="M50" s="18" t="n">
        <v>0</v>
      </c>
      <c r="N50" s="20" t="n">
        <v>0</v>
      </c>
      <c r="O50" s="18" t="n">
        <v>0</v>
      </c>
      <c r="P50" s="20" t="n">
        <v>0</v>
      </c>
      <c r="Q50" s="18" t="n">
        <v>0</v>
      </c>
      <c r="R50" s="20" t="n">
        <v>0</v>
      </c>
    </row>
    <row r="51" spans="1:18">
      <c r="A51" s="15" t="s">
        <v>475</v>
      </c>
      <c r="B51" s="17" t="n">
        <v>3372</v>
      </c>
      <c r="C51" s="18">
        <f>(3023.0/B51*100)</f>
        <v/>
      </c>
      <c r="D51" s="19" t="n">
        <v>349</v>
      </c>
      <c r="E51" s="18" t="n">
        <v>43.79916044</v>
      </c>
      <c r="F51" s="20" t="n">
        <v>2.6754818</v>
      </c>
      <c r="G51" s="18" t="n">
        <v>51.95820667</v>
      </c>
      <c r="H51" s="20" t="n">
        <v>2.63191693</v>
      </c>
      <c r="I51" s="18" t="s">
        <v>431</v>
      </c>
      <c r="J51" s="20" t="s">
        <v>431</v>
      </c>
      <c r="K51" s="18" t="n">
        <v>4.24263289</v>
      </c>
      <c r="L51" s="20" t="n">
        <v>1.125246</v>
      </c>
      <c r="M51" s="18" t="n">
        <v>0</v>
      </c>
      <c r="N51" s="20" t="n">
        <v>0</v>
      </c>
      <c r="O51" s="18" t="n">
        <v>0</v>
      </c>
      <c r="P51" s="20" t="n">
        <v>0</v>
      </c>
      <c r="Q51" s="18" t="n">
        <v>0</v>
      </c>
      <c r="R51" s="20" t="n">
        <v>0</v>
      </c>
    </row>
    <row r="52" spans="1:18">
      <c r="A52" s="15" t="s">
        <v>476</v>
      </c>
      <c r="B52" s="17" t="n">
        <v>2796</v>
      </c>
      <c r="C52" s="18">
        <f>(2448.0/B52*100)</f>
        <v/>
      </c>
      <c r="D52" s="19" t="n">
        <v>348</v>
      </c>
      <c r="E52" s="18" t="n">
        <v>42.23513191</v>
      </c>
      <c r="F52" s="20" t="n">
        <v>2.4992214</v>
      </c>
      <c r="G52" s="18" t="n">
        <v>56.60096803</v>
      </c>
      <c r="H52" s="20" t="n">
        <v>2.48498285</v>
      </c>
      <c r="I52" s="18" t="s">
        <v>431</v>
      </c>
      <c r="J52" s="20" t="s">
        <v>431</v>
      </c>
      <c r="K52" s="18" t="n">
        <v>1.16390006</v>
      </c>
      <c r="L52" s="20" t="n">
        <v>0.57751133</v>
      </c>
      <c r="M52" s="18" t="n">
        <v>0</v>
      </c>
      <c r="N52" s="20" t="n">
        <v>0</v>
      </c>
      <c r="O52" s="18" t="n">
        <v>0</v>
      </c>
      <c r="P52" s="20" t="n">
        <v>0</v>
      </c>
      <c r="Q52" s="18" t="n">
        <v>0</v>
      </c>
      <c r="R52" s="20" t="n">
        <v>0</v>
      </c>
    </row>
    <row r="53" spans="1:18">
      <c r="A53" s="15" t="s">
        <v>477</v>
      </c>
      <c r="B53" s="17" t="n">
        <v>2811</v>
      </c>
      <c r="C53" s="18">
        <f>(2477.0/B53*100)</f>
        <v/>
      </c>
      <c r="D53" s="19" t="n">
        <v>334</v>
      </c>
      <c r="E53" s="18" t="n">
        <v>52.04616042</v>
      </c>
      <c r="F53" s="20" t="n">
        <v>2.68580886</v>
      </c>
      <c r="G53" s="18" t="n">
        <v>44.37359798</v>
      </c>
      <c r="H53" s="20" t="n">
        <v>2.51657482</v>
      </c>
      <c r="I53" s="18" t="s">
        <v>431</v>
      </c>
      <c r="J53" s="20" t="s">
        <v>431</v>
      </c>
      <c r="K53" s="18" t="n">
        <v>3.58024159</v>
      </c>
      <c r="L53" s="20" t="n">
        <v>0.91372484</v>
      </c>
      <c r="M53" s="18" t="n">
        <v>0</v>
      </c>
      <c r="N53" s="20" t="n">
        <v>0</v>
      </c>
      <c r="O53" s="18" t="n">
        <v>0</v>
      </c>
      <c r="P53" s="20" t="n">
        <v>0</v>
      </c>
      <c r="Q53" s="18" t="n">
        <v>0</v>
      </c>
      <c r="R53" s="20" t="n">
        <v>0</v>
      </c>
    </row>
    <row r="54" spans="1:18">
      <c r="A54" s="15" t="s">
        <v>478</v>
      </c>
      <c r="B54" s="17" t="n">
        <v>2266</v>
      </c>
      <c r="C54" s="18">
        <f>(1908.0/B54*100)</f>
        <v/>
      </c>
      <c r="D54" s="19" t="n">
        <v>358</v>
      </c>
      <c r="E54" s="18" t="n">
        <v>56.78563821</v>
      </c>
      <c r="F54" s="20" t="n">
        <v>2.43072738</v>
      </c>
      <c r="G54" s="18" t="n">
        <v>24.85167825</v>
      </c>
      <c r="H54" s="20" t="n">
        <v>2.42981191</v>
      </c>
      <c r="I54" s="18" t="s">
        <v>431</v>
      </c>
      <c r="J54" s="20" t="s">
        <v>431</v>
      </c>
      <c r="K54" s="18" t="n">
        <v>18.36268354</v>
      </c>
      <c r="L54" s="20" t="n">
        <v>2.11945388</v>
      </c>
      <c r="M54" s="18" t="n">
        <v>0</v>
      </c>
      <c r="N54" s="20" t="n">
        <v>0</v>
      </c>
      <c r="O54" s="18" t="n">
        <v>0</v>
      </c>
      <c r="P54" s="20" t="n">
        <v>0</v>
      </c>
      <c r="Q54" s="18" t="n">
        <v>0</v>
      </c>
      <c r="R54" s="20" t="n">
        <v>0</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(2338.0/B56*100)</f>
        <v/>
      </c>
      <c r="D56" s="19" t="n">
        <v>346</v>
      </c>
      <c r="E56" s="18" t="n">
        <v>19.10320175</v>
      </c>
      <c r="F56" s="20" t="n">
        <v>2.18571961</v>
      </c>
      <c r="G56" s="18" t="n">
        <v>79.50806052</v>
      </c>
      <c r="H56" s="20" t="n">
        <v>2.15160405</v>
      </c>
      <c r="I56" s="18" t="s">
        <v>431</v>
      </c>
      <c r="J56" s="20" t="s">
        <v>431</v>
      </c>
      <c r="K56" s="18" t="n">
        <v>1.38873773</v>
      </c>
      <c r="L56" s="20" t="n">
        <v>0.69333198</v>
      </c>
      <c r="M56" s="18" t="n">
        <v>0</v>
      </c>
      <c r="N56" s="20" t="n">
        <v>0</v>
      </c>
      <c r="O56" s="18" t="n">
        <v>0</v>
      </c>
      <c r="P56" s="20" t="n">
        <v>0</v>
      </c>
      <c r="Q56" s="18" t="n">
        <v>0</v>
      </c>
      <c r="R56" s="20" t="n">
        <v>0</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(2920.0/B61*100)</f>
        <v/>
      </c>
      <c r="D61" s="19" t="n">
        <v>404</v>
      </c>
      <c r="E61" s="18" t="n">
        <v>49.25558128</v>
      </c>
      <c r="F61" s="20" t="n">
        <v>2.52673541</v>
      </c>
      <c r="G61" s="18" t="n">
        <v>48.26705411</v>
      </c>
      <c r="H61" s="20" t="n">
        <v>2.71532493</v>
      </c>
      <c r="I61" s="18" t="s">
        <v>431</v>
      </c>
      <c r="J61" s="20" t="s">
        <v>431</v>
      </c>
      <c r="K61" s="18" t="n">
        <v>2.47736461</v>
      </c>
      <c r="L61" s="20" t="n">
        <v>0.9743839399999999</v>
      </c>
      <c r="M61" s="18" t="n">
        <v>0</v>
      </c>
      <c r="N61" s="20" t="n">
        <v>0</v>
      </c>
      <c r="O61" s="18" t="n">
        <v>0</v>
      </c>
      <c r="P61" s="20" t="n">
        <v>0</v>
      </c>
      <c r="Q61" s="18" t="n">
        <v>0</v>
      </c>
      <c r="R61" s="20" t="n">
        <v>0</v>
      </c>
    </row>
    <row r="62" spans="1:18">
      <c r="A62" s="15" t="s">
        <v>486</v>
      </c>
      <c r="B62" s="17" t="n">
        <v>2246</v>
      </c>
      <c r="C62" s="18">
        <f>(1970.0/B62*100)</f>
        <v/>
      </c>
      <c r="D62" s="19" t="n">
        <v>276</v>
      </c>
      <c r="E62" s="18" t="n">
        <v>23.52771419</v>
      </c>
      <c r="F62" s="20" t="n">
        <v>2.53868028</v>
      </c>
      <c r="G62" s="18" t="n">
        <v>76.11267597</v>
      </c>
      <c r="H62" s="20" t="n">
        <v>2.57720941</v>
      </c>
      <c r="I62" s="18" t="s">
        <v>431</v>
      </c>
      <c r="J62" s="20" t="s">
        <v>431</v>
      </c>
      <c r="K62" s="18" t="n">
        <v>0.35960983</v>
      </c>
      <c r="L62" s="20" t="n">
        <v>0.36190086</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(2538.0/B66*100)</f>
        <v/>
      </c>
      <c r="D66" s="19" t="n">
        <v>356</v>
      </c>
      <c r="E66" s="18" t="n">
        <v>50.25955817</v>
      </c>
      <c r="F66" s="20" t="n">
        <v>2.80485386</v>
      </c>
      <c r="G66" s="18" t="n">
        <v>41.16551189</v>
      </c>
      <c r="H66" s="20" t="n">
        <v>2.74455768</v>
      </c>
      <c r="I66" s="18" t="s">
        <v>431</v>
      </c>
      <c r="J66" s="20" t="s">
        <v>431</v>
      </c>
      <c r="K66" s="18" t="n">
        <v>8.574929940000001</v>
      </c>
      <c r="L66" s="20" t="n">
        <v>1.41227191</v>
      </c>
      <c r="M66" s="18" t="n">
        <v>0</v>
      </c>
      <c r="N66" s="20" t="n">
        <v>0</v>
      </c>
      <c r="O66" s="18" t="n">
        <v>0</v>
      </c>
      <c r="P66" s="20" t="n">
        <v>0</v>
      </c>
      <c r="Q66" s="18" t="n">
        <v>0</v>
      </c>
      <c r="R66" s="20" t="n">
        <v>0</v>
      </c>
    </row>
    <row r="67" spans="1:18">
      <c r="A67" s="15" t="s">
        <v>491</v>
      </c>
      <c r="B67" s="17" t="n">
        <v>3511</v>
      </c>
      <c r="C67" s="18">
        <f>(3136.0/B67*100)</f>
        <v/>
      </c>
      <c r="D67" s="19" t="n">
        <v>375</v>
      </c>
      <c r="E67" s="18" t="n">
        <v>58.47614419</v>
      </c>
      <c r="F67" s="20" t="n">
        <v>2.28021093</v>
      </c>
      <c r="G67" s="18" t="n">
        <v>39.25964679</v>
      </c>
      <c r="H67" s="20" t="n">
        <v>2.38388743</v>
      </c>
      <c r="I67" s="18" t="s">
        <v>431</v>
      </c>
      <c r="J67" s="20" t="s">
        <v>431</v>
      </c>
      <c r="K67" s="18" t="n">
        <v>2.26420903</v>
      </c>
      <c r="L67" s="20" t="n">
        <v>0.88104213</v>
      </c>
      <c r="M67" s="18" t="n">
        <v>0</v>
      </c>
      <c r="N67" s="20" t="n">
        <v>0</v>
      </c>
      <c r="O67" s="18" t="n">
        <v>0</v>
      </c>
      <c r="P67" s="20" t="n">
        <v>0</v>
      </c>
      <c r="Q67" s="18" t="n">
        <v>0</v>
      </c>
      <c r="R67" s="20" t="n">
        <v>0</v>
      </c>
    </row>
    <row r="68" spans="1:18">
      <c r="A68" s="15" t="s">
        <v>492</v>
      </c>
      <c r="B68" s="17" t="n">
        <v>6049</v>
      </c>
      <c r="C68" s="18">
        <f>(5048.0/B68*100)</f>
        <v/>
      </c>
      <c r="D68" s="19" t="n">
        <v>1001</v>
      </c>
      <c r="E68" s="18" t="n">
        <v>53.37019779</v>
      </c>
      <c r="F68" s="20" t="n">
        <v>1.74857797</v>
      </c>
      <c r="G68" s="18" t="n">
        <v>38.23222741</v>
      </c>
      <c r="H68" s="20" t="n">
        <v>1.62371655</v>
      </c>
      <c r="I68" s="18" t="s">
        <v>431</v>
      </c>
      <c r="J68" s="20" t="s">
        <v>431</v>
      </c>
      <c r="K68" s="18" t="n">
        <v>8.397574799999999</v>
      </c>
      <c r="L68" s="20" t="n">
        <v>0.84625949</v>
      </c>
      <c r="M68" s="18" t="n">
        <v>0</v>
      </c>
      <c r="N68" s="20" t="n">
        <v>0</v>
      </c>
      <c r="O68" s="18" t="n">
        <v>0</v>
      </c>
      <c r="P68" s="20" t="n">
        <v>0</v>
      </c>
      <c r="Q68" s="18" t="n">
        <v>0</v>
      </c>
      <c r="R68" s="20" t="n">
        <v>0</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(2611.0/B70*100)</f>
        <v/>
      </c>
      <c r="D70" s="19" t="n">
        <v>318</v>
      </c>
      <c r="E70" s="18" t="n">
        <v>29.02902998</v>
      </c>
      <c r="F70" s="20" t="n">
        <v>3.01405209</v>
      </c>
      <c r="G70" s="18" t="n">
        <v>69.85135142</v>
      </c>
      <c r="H70" s="20" t="n">
        <v>3.00020084</v>
      </c>
      <c r="I70" s="18" t="s">
        <v>431</v>
      </c>
      <c r="J70" s="20" t="s">
        <v>431</v>
      </c>
      <c r="K70" s="18" t="n">
        <v>1.1196186</v>
      </c>
      <c r="L70" s="20" t="n">
        <v>0.5118541</v>
      </c>
      <c r="M70" s="18" t="n">
        <v>0</v>
      </c>
      <c r="N70" s="20" t="n">
        <v>0</v>
      </c>
      <c r="O70" s="18" t="n">
        <v>0</v>
      </c>
      <c r="P70" s="20" t="n">
        <v>0</v>
      </c>
      <c r="Q70" s="18" t="n">
        <v>0</v>
      </c>
      <c r="R70" s="20" t="n">
        <v>0</v>
      </c>
    </row>
    <row r="71" spans="1:18">
      <c r="A71" s="15" t="s">
        <v>495</v>
      </c>
      <c r="B71" s="17" t="n">
        <v>3142</v>
      </c>
      <c r="C71" s="18">
        <f>(2762.0/B71*100)</f>
        <v/>
      </c>
      <c r="D71" s="19" t="n">
        <v>380</v>
      </c>
      <c r="E71" s="18" t="n">
        <v>26.33312779</v>
      </c>
      <c r="F71" s="20" t="n">
        <v>2.33889883</v>
      </c>
      <c r="G71" s="18" t="n">
        <v>71.7093497</v>
      </c>
      <c r="H71" s="20" t="n">
        <v>2.51707015</v>
      </c>
      <c r="I71" s="18" t="s">
        <v>431</v>
      </c>
      <c r="J71" s="20" t="s">
        <v>431</v>
      </c>
      <c r="K71" s="18" t="n">
        <v>1.95752251</v>
      </c>
      <c r="L71" s="20" t="n">
        <v>0.68934032</v>
      </c>
      <c r="M71" s="18" t="n">
        <v>0</v>
      </c>
      <c r="N71" s="20" t="n">
        <v>0</v>
      </c>
      <c r="O71" s="18" t="n">
        <v>0</v>
      </c>
      <c r="P71" s="20" t="n">
        <v>0</v>
      </c>
      <c r="Q71" s="18" t="n">
        <v>0</v>
      </c>
      <c r="R71" s="20" t="n">
        <v>0</v>
      </c>
    </row>
    <row r="72" spans="1:18">
      <c r="A72" s="15" t="s">
        <v>496</v>
      </c>
      <c r="B72" s="17" t="n">
        <v>3889</v>
      </c>
      <c r="C72" s="18">
        <f>(3403.0/B72*100)</f>
        <v/>
      </c>
      <c r="D72" s="19" t="n">
        <v>486</v>
      </c>
      <c r="E72" s="18" t="n">
        <v>36.96991858</v>
      </c>
      <c r="F72" s="20" t="n">
        <v>2.32965181</v>
      </c>
      <c r="G72" s="18" t="n">
        <v>62.26939087</v>
      </c>
      <c r="H72" s="20" t="n">
        <v>2.35257812</v>
      </c>
      <c r="I72" s="18" t="s">
        <v>431</v>
      </c>
      <c r="J72" s="20" t="s">
        <v>431</v>
      </c>
      <c r="K72" s="18" t="n">
        <v>0.76069055</v>
      </c>
      <c r="L72" s="20" t="n">
        <v>0.39794111</v>
      </c>
      <c r="M72" s="18" t="n">
        <v>0</v>
      </c>
      <c r="N72" s="20" t="n">
        <v>0</v>
      </c>
      <c r="O72" s="18" t="n">
        <v>0</v>
      </c>
      <c r="P72" s="20" t="n">
        <v>0</v>
      </c>
      <c r="Q72" s="18" t="n">
        <v>0</v>
      </c>
      <c r="R72" s="20" t="n">
        <v>0</v>
      </c>
    </row>
    <row r="73" spans="1:18">
      <c r="A73" s="15" t="s">
        <v>497</v>
      </c>
      <c r="B73" s="17" t="n">
        <v>3597</v>
      </c>
      <c r="C73" s="18">
        <f>(3207.0/B73*100)</f>
        <v/>
      </c>
      <c r="D73" s="19" t="n">
        <v>390</v>
      </c>
      <c r="E73" s="18" t="n">
        <v>59.81326579</v>
      </c>
      <c r="F73" s="20" t="n">
        <v>3.82528565</v>
      </c>
      <c r="G73" s="18" t="n">
        <v>40.18673421</v>
      </c>
      <c r="H73" s="20" t="n">
        <v>3.82528565</v>
      </c>
      <c r="I73" s="18" t="s">
        <v>431</v>
      </c>
      <c r="J73" s="20" t="s">
        <v>431</v>
      </c>
      <c r="K73" s="18" t="n">
        <v>0</v>
      </c>
      <c r="L73" s="20" t="n">
        <v>0</v>
      </c>
      <c r="M73" s="18" t="n">
        <v>0</v>
      </c>
      <c r="N73" s="20" t="n">
        <v>0</v>
      </c>
      <c r="O73" s="18" t="n">
        <v>0</v>
      </c>
      <c r="P73" s="20" t="n">
        <v>0</v>
      </c>
      <c r="Q73" s="18" t="n">
        <v>0</v>
      </c>
      <c r="R73" s="20" t="n">
        <v>0</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(2142.0/B75*100)</f>
        <v/>
      </c>
      <c r="D75" s="19" t="n">
        <v>264</v>
      </c>
      <c r="E75" s="18" t="n">
        <v>57.8805865</v>
      </c>
      <c r="F75" s="20" t="n">
        <v>3.45844691</v>
      </c>
      <c r="G75" s="18" t="n">
        <v>32.4220704</v>
      </c>
      <c r="H75" s="20" t="n">
        <v>3.20999804</v>
      </c>
      <c r="I75" s="18" t="s">
        <v>431</v>
      </c>
      <c r="J75" s="20" t="s">
        <v>431</v>
      </c>
      <c r="K75" s="18" t="n">
        <v>9.697343099999999</v>
      </c>
      <c r="L75" s="20" t="n">
        <v>1.89408697</v>
      </c>
      <c r="M75" s="18" t="n">
        <v>0</v>
      </c>
      <c r="N75" s="20" t="n">
        <v>0</v>
      </c>
      <c r="O75" s="18" t="n">
        <v>0</v>
      </c>
      <c r="P75" s="20" t="n">
        <v>0</v>
      </c>
      <c r="Q75" s="18" t="n">
        <v>0</v>
      </c>
      <c r="R75" s="20" t="n">
        <v>0</v>
      </c>
    </row>
    <row r="76" spans="1:18">
      <c r="A76" s="15" t="s">
        <v>500</v>
      </c>
      <c r="B76" s="17" t="n">
        <v>7052</v>
      </c>
      <c r="C76" s="18">
        <f>(6189.0/B76*100)</f>
        <v/>
      </c>
      <c r="D76" s="19" t="n">
        <v>863</v>
      </c>
      <c r="E76" s="18" t="n">
        <v>51.08010857</v>
      </c>
      <c r="F76" s="20" t="n">
        <v>2.09186933</v>
      </c>
      <c r="G76" s="18" t="n">
        <v>46.10016922</v>
      </c>
      <c r="H76" s="20" t="n">
        <v>2.03797848</v>
      </c>
      <c r="I76" s="18" t="s">
        <v>431</v>
      </c>
      <c r="J76" s="20" t="s">
        <v>431</v>
      </c>
      <c r="K76" s="18" t="n">
        <v>2.81972221</v>
      </c>
      <c r="L76" s="20" t="n">
        <v>0.74761581</v>
      </c>
      <c r="M76" s="18" t="n">
        <v>0</v>
      </c>
      <c r="N76" s="20" t="n">
        <v>0</v>
      </c>
      <c r="O76" s="18" t="n">
        <v>0</v>
      </c>
      <c r="P76" s="20" t="n">
        <v>0</v>
      </c>
      <c r="Q76" s="18" t="n">
        <v>0</v>
      </c>
      <c r="R76" s="20" t="n">
        <v>0</v>
      </c>
    </row>
    <row r="77" spans="1:18">
      <c r="A77" s="15" t="s">
        <v>501</v>
      </c>
      <c r="B77" s="17" t="n">
        <v>2908</v>
      </c>
      <c r="C77" s="18">
        <f>(2597.0/B77*100)</f>
        <v/>
      </c>
      <c r="D77" s="19" t="n">
        <v>311</v>
      </c>
      <c r="E77" s="18" t="n">
        <v>50.27056177</v>
      </c>
      <c r="F77" s="20" t="n">
        <v>3.5577001</v>
      </c>
      <c r="G77" s="18" t="n">
        <v>42.30687603</v>
      </c>
      <c r="H77" s="20" t="n">
        <v>3.56795986</v>
      </c>
      <c r="I77" s="18" t="s">
        <v>431</v>
      </c>
      <c r="J77" s="20" t="s">
        <v>431</v>
      </c>
      <c r="K77" s="18" t="n">
        <v>7.42256221</v>
      </c>
      <c r="L77" s="20" t="n">
        <v>1.65547339</v>
      </c>
      <c r="M77" s="18" t="n">
        <v>0</v>
      </c>
      <c r="N77" s="20" t="n">
        <v>0</v>
      </c>
      <c r="O77" s="18" t="n">
        <v>0</v>
      </c>
      <c r="P77" s="20" t="n">
        <v>0</v>
      </c>
      <c r="Q77" s="18" t="n">
        <v>0</v>
      </c>
      <c r="R77" s="20" t="n">
        <v>0</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(3667.0/B81*100)</f>
        <v/>
      </c>
      <c r="D81" s="19" t="n">
        <v>496</v>
      </c>
      <c r="E81" s="18" t="n">
        <v>63.0116622</v>
      </c>
      <c r="F81" s="20" t="n">
        <v>2.58399002</v>
      </c>
      <c r="G81" s="18" t="n">
        <v>34.98496536</v>
      </c>
      <c r="H81" s="20" t="n">
        <v>2.54313841</v>
      </c>
      <c r="I81" s="18" t="s">
        <v>431</v>
      </c>
      <c r="J81" s="20" t="s">
        <v>431</v>
      </c>
      <c r="K81" s="18" t="n">
        <v>2.00337244</v>
      </c>
      <c r="L81" s="20" t="n">
        <v>0.7257883899999999</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(6472.0/B7*100)</f>
        <v/>
      </c>
      <c r="D7" s="19" t="n">
        <v>895</v>
      </c>
      <c r="E7" s="18" t="n">
        <v>63.36110575</v>
      </c>
      <c r="F7" s="20" t="n">
        <v>1.90376605</v>
      </c>
      <c r="G7" s="18" t="n">
        <v>34.4582091</v>
      </c>
      <c r="H7" s="20" t="n">
        <v>1.86212353</v>
      </c>
      <c r="I7" s="18" t="s">
        <v>431</v>
      </c>
      <c r="J7" s="20" t="s">
        <v>431</v>
      </c>
      <c r="K7" s="18" t="n">
        <v>0.01815231</v>
      </c>
      <c r="L7" s="20" t="n">
        <v>0.0182097</v>
      </c>
      <c r="M7" s="18" t="n">
        <v>0</v>
      </c>
      <c r="N7" s="20" t="n">
        <v>0</v>
      </c>
      <c r="O7" s="18" t="n">
        <v>0</v>
      </c>
      <c r="P7" s="20" t="n">
        <v>0</v>
      </c>
      <c r="Q7" s="18" t="n">
        <v>2.16253284</v>
      </c>
      <c r="R7" s="20" t="n">
        <v>0.51225884</v>
      </c>
    </row>
    <row r="8" spans="1:18">
      <c r="A8" s="15" t="s">
        <v>432</v>
      </c>
      <c r="B8" s="17" t="n">
        <v>3564</v>
      </c>
      <c r="C8" s="18">
        <f>(3112.0/B8*100)</f>
        <v/>
      </c>
      <c r="D8" s="19" t="n">
        <v>452</v>
      </c>
      <c r="E8" s="18" t="n">
        <v>52.7245024</v>
      </c>
      <c r="F8" s="20" t="n">
        <v>2.65703476</v>
      </c>
      <c r="G8" s="18" t="n">
        <v>46.3840618</v>
      </c>
      <c r="H8" s="20" t="n">
        <v>2.68986494</v>
      </c>
      <c r="I8" s="18" t="s">
        <v>431</v>
      </c>
      <c r="J8" s="20" t="s">
        <v>431</v>
      </c>
      <c r="K8" s="18" t="n">
        <v>0</v>
      </c>
      <c r="L8" s="20" t="n">
        <v>0</v>
      </c>
      <c r="M8" s="18" t="n">
        <v>0</v>
      </c>
      <c r="N8" s="20" t="n">
        <v>0</v>
      </c>
      <c r="O8" s="18" t="n">
        <v>0</v>
      </c>
      <c r="P8" s="20" t="n">
        <v>0</v>
      </c>
      <c r="Q8" s="18" t="n">
        <v>0.8914358</v>
      </c>
      <c r="R8" s="20" t="n">
        <v>0.46739687</v>
      </c>
    </row>
    <row r="9" spans="1:18">
      <c r="A9" s="15" t="s">
        <v>433</v>
      </c>
      <c r="B9" s="17" t="n">
        <v>4899</v>
      </c>
      <c r="C9" s="18">
        <f>(4314.0/B9*100)</f>
        <v/>
      </c>
      <c r="D9" s="19" t="n">
        <v>585</v>
      </c>
      <c r="E9" s="18" t="n">
        <v>59.67797944</v>
      </c>
      <c r="F9" s="20" t="n">
        <v>2.09103194</v>
      </c>
      <c r="G9" s="18" t="n">
        <v>38.82570081</v>
      </c>
      <c r="H9" s="20" t="n">
        <v>2.04425735</v>
      </c>
      <c r="I9" s="18" t="s">
        <v>431</v>
      </c>
      <c r="J9" s="20" t="s">
        <v>431</v>
      </c>
      <c r="K9" s="18" t="n">
        <v>0</v>
      </c>
      <c r="L9" s="20" t="n">
        <v>0</v>
      </c>
      <c r="M9" s="18" t="n">
        <v>0</v>
      </c>
      <c r="N9" s="20" t="n">
        <v>0</v>
      </c>
      <c r="O9" s="18" t="n">
        <v>0</v>
      </c>
      <c r="P9" s="20" t="n">
        <v>0</v>
      </c>
      <c r="Q9" s="18" t="n">
        <v>1.49631976</v>
      </c>
      <c r="R9" s="20" t="n">
        <v>0.6334627900000001</v>
      </c>
    </row>
    <row r="10" spans="1:18">
      <c r="A10" s="15" t="s">
        <v>434</v>
      </c>
      <c r="B10" s="17" t="n">
        <v>10036</v>
      </c>
      <c r="C10" s="18">
        <f>(8746.0/B10*100)</f>
        <v/>
      </c>
      <c r="D10" s="19" t="n">
        <v>1290</v>
      </c>
      <c r="E10" s="18" t="n">
        <v>58.69160379</v>
      </c>
      <c r="F10" s="20" t="n">
        <v>1.81139121</v>
      </c>
      <c r="G10" s="18" t="n">
        <v>40.36890023</v>
      </c>
      <c r="H10" s="20" t="n">
        <v>1.79952004</v>
      </c>
      <c r="I10" s="18" t="s">
        <v>431</v>
      </c>
      <c r="J10" s="20" t="s">
        <v>431</v>
      </c>
      <c r="K10" s="18" t="n">
        <v>0.18555421</v>
      </c>
      <c r="L10" s="20" t="n">
        <v>0.171477</v>
      </c>
      <c r="M10" s="18" t="n">
        <v>0</v>
      </c>
      <c r="N10" s="20" t="n">
        <v>0</v>
      </c>
      <c r="O10" s="18" t="n">
        <v>0</v>
      </c>
      <c r="P10" s="20" t="n">
        <v>0</v>
      </c>
      <c r="Q10" s="18" t="n">
        <v>0.75394178</v>
      </c>
      <c r="R10" s="20" t="n">
        <v>0.33751849</v>
      </c>
    </row>
    <row r="11" spans="1:18">
      <c r="A11" s="15" t="s">
        <v>435</v>
      </c>
      <c r="B11" s="17" t="n">
        <v>3553</v>
      </c>
      <c r="C11" s="18">
        <f>(3150.0/B11*100)</f>
        <v/>
      </c>
      <c r="D11" s="19" t="n">
        <v>403</v>
      </c>
      <c r="E11" s="18" t="n">
        <v>64.12856106</v>
      </c>
      <c r="F11" s="20" t="n">
        <v>2.57955363</v>
      </c>
      <c r="G11" s="18" t="n">
        <v>33.33476303</v>
      </c>
      <c r="H11" s="20" t="n">
        <v>2.55044188</v>
      </c>
      <c r="I11" s="18" t="s">
        <v>431</v>
      </c>
      <c r="J11" s="20" t="s">
        <v>431</v>
      </c>
      <c r="K11" s="18" t="n">
        <v>0.32852743</v>
      </c>
      <c r="L11" s="20" t="n">
        <v>0.32862421</v>
      </c>
      <c r="M11" s="18" t="n">
        <v>0</v>
      </c>
      <c r="N11" s="20" t="n">
        <v>0</v>
      </c>
      <c r="O11" s="18" t="n">
        <v>0</v>
      </c>
      <c r="P11" s="20" t="n">
        <v>0</v>
      </c>
      <c r="Q11" s="18" t="n">
        <v>2.20814848</v>
      </c>
      <c r="R11" s="20" t="n">
        <v>0.77561202</v>
      </c>
    </row>
    <row r="12" spans="1:18">
      <c r="A12" s="15" t="s">
        <v>436</v>
      </c>
      <c r="B12" s="17" t="n">
        <v>3472</v>
      </c>
      <c r="C12" s="18">
        <f>(3037.0/B12*100)</f>
        <v/>
      </c>
      <c r="D12" s="19" t="n">
        <v>435</v>
      </c>
      <c r="E12" s="18" t="n">
        <v>60.92849494</v>
      </c>
      <c r="F12" s="20" t="n">
        <v>2.97993129</v>
      </c>
      <c r="G12" s="18" t="n">
        <v>37.7511601</v>
      </c>
      <c r="H12" s="20" t="n">
        <v>3.05628983</v>
      </c>
      <c r="I12" s="18" t="s">
        <v>431</v>
      </c>
      <c r="J12" s="20" t="s">
        <v>431</v>
      </c>
      <c r="K12" s="18" t="n">
        <v>0</v>
      </c>
      <c r="L12" s="20" t="n">
        <v>0</v>
      </c>
      <c r="M12" s="18" t="n">
        <v>0</v>
      </c>
      <c r="N12" s="20" t="n">
        <v>0</v>
      </c>
      <c r="O12" s="18" t="n">
        <v>0</v>
      </c>
      <c r="P12" s="20" t="n">
        <v>0</v>
      </c>
      <c r="Q12" s="18" t="n">
        <v>1.32034496</v>
      </c>
      <c r="R12" s="20" t="n">
        <v>0.48273265</v>
      </c>
    </row>
    <row r="13" spans="1:18">
      <c r="A13" s="15" t="s">
        <v>437</v>
      </c>
      <c r="B13" s="17" t="n">
        <v>3559</v>
      </c>
      <c r="C13" s="18">
        <f>(3123.0/B13*100)</f>
        <v/>
      </c>
      <c r="D13" s="19" t="n">
        <v>436</v>
      </c>
      <c r="E13" s="18" t="n">
        <v>57.45922236</v>
      </c>
      <c r="F13" s="20" t="n">
        <v>2.77487</v>
      </c>
      <c r="G13" s="18" t="n">
        <v>41.3939885</v>
      </c>
      <c r="H13" s="20" t="n">
        <v>2.74911746</v>
      </c>
      <c r="I13" s="18" t="s">
        <v>431</v>
      </c>
      <c r="J13" s="20" t="s">
        <v>431</v>
      </c>
      <c r="K13" s="18" t="n">
        <v>0.29105006</v>
      </c>
      <c r="L13" s="20" t="n">
        <v>0.18409685</v>
      </c>
      <c r="M13" s="18" t="n">
        <v>0</v>
      </c>
      <c r="N13" s="20" t="n">
        <v>0</v>
      </c>
      <c r="O13" s="18" t="n">
        <v>0</v>
      </c>
      <c r="P13" s="20" t="n">
        <v>0</v>
      </c>
      <c r="Q13" s="18" t="n">
        <v>0.85573909</v>
      </c>
      <c r="R13" s="20" t="n">
        <v>0.45568395</v>
      </c>
    </row>
    <row r="14" spans="1:18">
      <c r="A14" s="15" t="s">
        <v>438</v>
      </c>
      <c r="B14" s="17" t="n">
        <v>2799</v>
      </c>
      <c r="C14" s="18">
        <f>(2468.0/B14*100)</f>
        <v/>
      </c>
      <c r="D14" s="19" t="n">
        <v>331</v>
      </c>
      <c r="E14" s="18" t="n">
        <v>56.62431455</v>
      </c>
      <c r="F14" s="20" t="n">
        <v>2.61361679</v>
      </c>
      <c r="G14" s="18" t="n">
        <v>43.37568545</v>
      </c>
      <c r="H14" s="20" t="n">
        <v>2.61361679</v>
      </c>
      <c r="I14" s="18" t="s">
        <v>431</v>
      </c>
      <c r="J14" s="20" t="s">
        <v>431</v>
      </c>
      <c r="K14" s="18" t="n">
        <v>0</v>
      </c>
      <c r="L14" s="20" t="n">
        <v>0</v>
      </c>
      <c r="M14" s="18" t="n">
        <v>0</v>
      </c>
      <c r="N14" s="20" t="n">
        <v>0</v>
      </c>
      <c r="O14" s="18" t="n">
        <v>0</v>
      </c>
      <c r="P14" s="20" t="n">
        <v>0</v>
      </c>
      <c r="Q14" s="18" t="n">
        <v>0</v>
      </c>
      <c r="R14" s="20" t="n">
        <v>0</v>
      </c>
    </row>
    <row r="15" spans="1:18">
      <c r="A15" s="15" t="s">
        <v>439</v>
      </c>
      <c r="B15" s="17" t="n">
        <v>3019</v>
      </c>
      <c r="C15" s="18">
        <f>(2636.0/B15*100)</f>
        <v/>
      </c>
      <c r="D15" s="19" t="n">
        <v>383</v>
      </c>
      <c r="E15" s="18" t="n">
        <v>51.48814361</v>
      </c>
      <c r="F15" s="20" t="n">
        <v>2.4723906</v>
      </c>
      <c r="G15" s="18" t="n">
        <v>47.99170958</v>
      </c>
      <c r="H15" s="20" t="n">
        <v>2.46739236</v>
      </c>
      <c r="I15" s="18" t="s">
        <v>431</v>
      </c>
      <c r="J15" s="20" t="s">
        <v>431</v>
      </c>
      <c r="K15" s="18" t="n">
        <v>0</v>
      </c>
      <c r="L15" s="20" t="n">
        <v>0</v>
      </c>
      <c r="M15" s="18" t="n">
        <v>0</v>
      </c>
      <c r="N15" s="20" t="n">
        <v>0</v>
      </c>
      <c r="O15" s="18" t="n">
        <v>0</v>
      </c>
      <c r="P15" s="20" t="n">
        <v>0</v>
      </c>
      <c r="Q15" s="18" t="n">
        <v>0.52014681</v>
      </c>
      <c r="R15" s="20" t="n">
        <v>0.36249532</v>
      </c>
    </row>
    <row r="16" spans="1:18">
      <c r="A16" s="15" t="s">
        <v>440</v>
      </c>
      <c r="B16" s="17" t="n">
        <v>2997</v>
      </c>
      <c r="C16" s="18">
        <f>(2645.0/B16*100)</f>
        <v/>
      </c>
      <c r="D16" s="19" t="n">
        <v>352</v>
      </c>
      <c r="E16" s="18" t="n">
        <v>57.26404319</v>
      </c>
      <c r="F16" s="20" t="n">
        <v>2.93879988</v>
      </c>
      <c r="G16" s="18" t="n">
        <v>38.42080997</v>
      </c>
      <c r="H16" s="20" t="n">
        <v>2.65497643</v>
      </c>
      <c r="I16" s="18" t="s">
        <v>431</v>
      </c>
      <c r="J16" s="20" t="s">
        <v>431</v>
      </c>
      <c r="K16" s="18" t="n">
        <v>0.5517183</v>
      </c>
      <c r="L16" s="20" t="n">
        <v>0.42816978</v>
      </c>
      <c r="M16" s="18" t="n">
        <v>0</v>
      </c>
      <c r="N16" s="20" t="n">
        <v>0</v>
      </c>
      <c r="O16" s="18" t="n">
        <v>0</v>
      </c>
      <c r="P16" s="20" t="n">
        <v>0</v>
      </c>
      <c r="Q16" s="18" t="n">
        <v>3.76342854</v>
      </c>
      <c r="R16" s="20" t="n">
        <v>1.03260404</v>
      </c>
    </row>
    <row r="17" spans="1:18">
      <c r="A17" s="15" t="s">
        <v>441</v>
      </c>
      <c r="B17" s="17" t="n">
        <v>3307</v>
      </c>
      <c r="C17" s="18">
        <f>(2906.0/B17*100)</f>
        <v/>
      </c>
      <c r="D17" s="19" t="n">
        <v>401</v>
      </c>
      <c r="E17" s="18" t="n">
        <v>53.71957169</v>
      </c>
      <c r="F17" s="20" t="n">
        <v>2.85516949</v>
      </c>
      <c r="G17" s="18" t="n">
        <v>45.81487047</v>
      </c>
      <c r="H17" s="20" t="n">
        <v>2.85446384</v>
      </c>
      <c r="I17" s="18" t="s">
        <v>431</v>
      </c>
      <c r="J17" s="20" t="s">
        <v>431</v>
      </c>
      <c r="K17" s="18" t="n">
        <v>0</v>
      </c>
      <c r="L17" s="20" t="n">
        <v>0</v>
      </c>
      <c r="M17" s="18" t="n">
        <v>0</v>
      </c>
      <c r="N17" s="20" t="n">
        <v>0</v>
      </c>
      <c r="O17" s="18" t="n">
        <v>0</v>
      </c>
      <c r="P17" s="20" t="n">
        <v>0</v>
      </c>
      <c r="Q17" s="18" t="n">
        <v>0.46555784</v>
      </c>
      <c r="R17" s="20" t="n">
        <v>0.32970595</v>
      </c>
    </row>
    <row r="18" spans="1:18">
      <c r="A18" s="15" t="s">
        <v>442</v>
      </c>
      <c r="B18" s="17" t="n">
        <v>2826</v>
      </c>
      <c r="C18" s="18">
        <f>(2467.0/B18*100)</f>
        <v/>
      </c>
      <c r="D18" s="19" t="n">
        <v>359</v>
      </c>
      <c r="E18" s="18" t="n">
        <v>61.27185736</v>
      </c>
      <c r="F18" s="20" t="n">
        <v>3.09222011</v>
      </c>
      <c r="G18" s="18" t="n">
        <v>34.21892961</v>
      </c>
      <c r="H18" s="20" t="n">
        <v>2.79133428</v>
      </c>
      <c r="I18" s="18" t="s">
        <v>431</v>
      </c>
      <c r="J18" s="20" t="s">
        <v>431</v>
      </c>
      <c r="K18" s="18" t="n">
        <v>0</v>
      </c>
      <c r="L18" s="20" t="n">
        <v>0</v>
      </c>
      <c r="M18" s="18" t="n">
        <v>0</v>
      </c>
      <c r="N18" s="20" t="n">
        <v>0</v>
      </c>
      <c r="O18" s="18" t="n">
        <v>0</v>
      </c>
      <c r="P18" s="20" t="n">
        <v>0</v>
      </c>
      <c r="Q18" s="18" t="n">
        <v>4.50921303</v>
      </c>
      <c r="R18" s="20" t="n">
        <v>1.19326548</v>
      </c>
    </row>
    <row r="19" spans="1:18">
      <c r="A19" s="15" t="s">
        <v>443</v>
      </c>
      <c r="B19" s="17" t="n">
        <v>2808</v>
      </c>
      <c r="C19" s="18">
        <f>(2450.0/B19*100)</f>
        <v/>
      </c>
      <c r="D19" s="19" t="n">
        <v>358</v>
      </c>
      <c r="E19" s="18" t="n">
        <v>59.84152345</v>
      </c>
      <c r="F19" s="20" t="n">
        <v>2.83604526</v>
      </c>
      <c r="G19" s="18" t="n">
        <v>37.77332079</v>
      </c>
      <c r="H19" s="20" t="n">
        <v>2.78623358</v>
      </c>
      <c r="I19" s="18" t="s">
        <v>431</v>
      </c>
      <c r="J19" s="20" t="s">
        <v>431</v>
      </c>
      <c r="K19" s="18" t="n">
        <v>0.57372187</v>
      </c>
      <c r="L19" s="20" t="n">
        <v>0.6228832399999999</v>
      </c>
      <c r="M19" s="18" t="n">
        <v>0</v>
      </c>
      <c r="N19" s="20" t="n">
        <v>0</v>
      </c>
      <c r="O19" s="18" t="n">
        <v>0</v>
      </c>
      <c r="P19" s="20" t="n">
        <v>0</v>
      </c>
      <c r="Q19" s="18" t="n">
        <v>1.81143389</v>
      </c>
      <c r="R19" s="20" t="n">
        <v>0.67312191</v>
      </c>
    </row>
    <row r="20" spans="1:18">
      <c r="A20" s="15" t="s">
        <v>444</v>
      </c>
      <c r="B20" s="17" t="n">
        <v>1630</v>
      </c>
      <c r="C20" s="18">
        <f>(1435.0/B20*100)</f>
        <v/>
      </c>
      <c r="D20" s="19" t="n">
        <v>195</v>
      </c>
      <c r="E20" s="18" t="n">
        <v>59.30767965</v>
      </c>
      <c r="F20" s="20" t="n">
        <v>3.40335683</v>
      </c>
      <c r="G20" s="18" t="n">
        <v>38.13236825</v>
      </c>
      <c r="H20" s="20" t="n">
        <v>3.21253893</v>
      </c>
      <c r="I20" s="18" t="s">
        <v>431</v>
      </c>
      <c r="J20" s="20" t="s">
        <v>431</v>
      </c>
      <c r="K20" s="18" t="n">
        <v>0.4975186</v>
      </c>
      <c r="L20" s="20" t="n">
        <v>0.4805999</v>
      </c>
      <c r="M20" s="18" t="n">
        <v>0</v>
      </c>
      <c r="N20" s="20" t="n">
        <v>0</v>
      </c>
      <c r="O20" s="18" t="n">
        <v>0</v>
      </c>
      <c r="P20" s="20" t="n">
        <v>0</v>
      </c>
      <c r="Q20" s="18" t="n">
        <v>2.0624335</v>
      </c>
      <c r="R20" s="20" t="n">
        <v>1.01266285</v>
      </c>
    </row>
    <row r="21" spans="1:18">
      <c r="A21" s="15" t="s">
        <v>445</v>
      </c>
      <c r="B21" s="17" t="n">
        <v>2908</v>
      </c>
      <c r="C21" s="18">
        <f>(2433.0/B21*100)</f>
        <v/>
      </c>
      <c r="D21" s="19" t="n">
        <v>475</v>
      </c>
      <c r="E21" s="18" t="n">
        <v>63.35690842</v>
      </c>
      <c r="F21" s="20" t="n">
        <v>2.14785502</v>
      </c>
      <c r="G21" s="18" t="n">
        <v>34.80180719</v>
      </c>
      <c r="H21" s="20" t="n">
        <v>2.00737901</v>
      </c>
      <c r="I21" s="18" t="s">
        <v>431</v>
      </c>
      <c r="J21" s="20" t="s">
        <v>431</v>
      </c>
      <c r="K21" s="18" t="n">
        <v>0</v>
      </c>
      <c r="L21" s="20" t="n">
        <v>0</v>
      </c>
      <c r="M21" s="18" t="n">
        <v>0</v>
      </c>
      <c r="N21" s="20" t="n">
        <v>0</v>
      </c>
      <c r="O21" s="18" t="n">
        <v>0</v>
      </c>
      <c r="P21" s="20" t="n">
        <v>0</v>
      </c>
      <c r="Q21" s="18" t="n">
        <v>1.84128438</v>
      </c>
      <c r="R21" s="20" t="n">
        <v>0.5674275</v>
      </c>
    </row>
    <row r="22" spans="1:18">
      <c r="A22" s="15" t="s">
        <v>446</v>
      </c>
      <c r="B22" s="17" t="n">
        <v>2931</v>
      </c>
      <c r="C22" s="18">
        <f>(2565.0/B22*100)</f>
        <v/>
      </c>
      <c r="D22" s="19" t="n">
        <v>366</v>
      </c>
      <c r="E22" s="18" t="n">
        <v>55.3225456</v>
      </c>
      <c r="F22" s="20" t="n">
        <v>2.39502048</v>
      </c>
      <c r="G22" s="18" t="n">
        <v>36.54686771</v>
      </c>
      <c r="H22" s="20" t="n">
        <v>2.05680673</v>
      </c>
      <c r="I22" s="18" t="s">
        <v>431</v>
      </c>
      <c r="J22" s="20" t="s">
        <v>431</v>
      </c>
      <c r="K22" s="18" t="n">
        <v>1.77757785</v>
      </c>
      <c r="L22" s="20" t="n">
        <v>0.75056603</v>
      </c>
      <c r="M22" s="18" t="n">
        <v>0</v>
      </c>
      <c r="N22" s="20" t="n">
        <v>0</v>
      </c>
      <c r="O22" s="18" t="n">
        <v>0</v>
      </c>
      <c r="P22" s="20" t="n">
        <v>0</v>
      </c>
      <c r="Q22" s="18" t="n">
        <v>6.35300885</v>
      </c>
      <c r="R22" s="20" t="n">
        <v>1.44875362</v>
      </c>
    </row>
    <row r="23" spans="1:18">
      <c r="A23" s="15" t="s">
        <v>447</v>
      </c>
      <c r="B23" s="17" t="n">
        <v>5791</v>
      </c>
      <c r="C23" s="18">
        <f>(5066.0/B23*100)</f>
        <v/>
      </c>
      <c r="D23" s="19" t="n">
        <v>725</v>
      </c>
      <c r="E23" s="18" t="n">
        <v>51.87657948</v>
      </c>
      <c r="F23" s="20" t="n">
        <v>2.87078158</v>
      </c>
      <c r="G23" s="18" t="n">
        <v>45.79722795</v>
      </c>
      <c r="H23" s="20" t="n">
        <v>2.69432688</v>
      </c>
      <c r="I23" s="18" t="s">
        <v>431</v>
      </c>
      <c r="J23" s="20" t="s">
        <v>431</v>
      </c>
      <c r="K23" s="18" t="n">
        <v>0.13265926</v>
      </c>
      <c r="L23" s="20" t="n">
        <v>0.13803766</v>
      </c>
      <c r="M23" s="18" t="n">
        <v>0</v>
      </c>
      <c r="N23" s="20" t="n">
        <v>0</v>
      </c>
      <c r="O23" s="18" t="n">
        <v>0</v>
      </c>
      <c r="P23" s="20" t="n">
        <v>0</v>
      </c>
      <c r="Q23" s="18" t="n">
        <v>2.19353331</v>
      </c>
      <c r="R23" s="20" t="n">
        <v>0.84703155</v>
      </c>
    </row>
    <row r="24" spans="1:18">
      <c r="A24" s="15" t="s">
        <v>448</v>
      </c>
      <c r="B24" s="17" t="n">
        <v>3338</v>
      </c>
      <c r="C24" s="18">
        <f>(2938.0/B24*100)</f>
        <v/>
      </c>
      <c r="D24" s="19" t="n">
        <v>400</v>
      </c>
      <c r="E24" s="18" t="n">
        <v>53.98081782</v>
      </c>
      <c r="F24" s="20" t="n">
        <v>2.53160575</v>
      </c>
      <c r="G24" s="18" t="n">
        <v>44.55029908</v>
      </c>
      <c r="H24" s="20" t="n">
        <v>2.46908035</v>
      </c>
      <c r="I24" s="18" t="s">
        <v>431</v>
      </c>
      <c r="J24" s="20" t="s">
        <v>431</v>
      </c>
      <c r="K24" s="18" t="n">
        <v>0</v>
      </c>
      <c r="L24" s="20" t="n">
        <v>0</v>
      </c>
      <c r="M24" s="18" t="n">
        <v>0</v>
      </c>
      <c r="N24" s="20" t="n">
        <v>0</v>
      </c>
      <c r="O24" s="18" t="n">
        <v>0</v>
      </c>
      <c r="P24" s="20" t="n">
        <v>0</v>
      </c>
      <c r="Q24" s="18" t="n">
        <v>1.46888311</v>
      </c>
      <c r="R24" s="20" t="n">
        <v>0.59795887</v>
      </c>
    </row>
    <row r="25" spans="1:18">
      <c r="A25" s="15" t="s">
        <v>449</v>
      </c>
      <c r="B25" s="17" t="n">
        <v>2912</v>
      </c>
      <c r="C25" s="18">
        <f>(2540.0/B25*100)</f>
        <v/>
      </c>
      <c r="D25" s="19" t="n">
        <v>372</v>
      </c>
      <c r="E25" s="18" t="n">
        <v>67.49259468</v>
      </c>
      <c r="F25" s="20" t="n">
        <v>2.80793605</v>
      </c>
      <c r="G25" s="18" t="n">
        <v>32.25246932</v>
      </c>
      <c r="H25" s="20" t="n">
        <v>2.81103794</v>
      </c>
      <c r="I25" s="18" t="s">
        <v>431</v>
      </c>
      <c r="J25" s="20" t="s">
        <v>431</v>
      </c>
      <c r="K25" s="18" t="n">
        <v>0</v>
      </c>
      <c r="L25" s="20" t="n">
        <v>0</v>
      </c>
      <c r="M25" s="18" t="n">
        <v>0</v>
      </c>
      <c r="N25" s="20" t="n">
        <v>0</v>
      </c>
      <c r="O25" s="18" t="n">
        <v>0</v>
      </c>
      <c r="P25" s="20" t="n">
        <v>0</v>
      </c>
      <c r="Q25" s="18" t="n">
        <v>0.254936</v>
      </c>
      <c r="R25" s="20" t="n">
        <v>0.25552858</v>
      </c>
    </row>
    <row r="26" spans="1:18">
      <c r="A26" s="15" t="s">
        <v>450</v>
      </c>
      <c r="B26" s="17" t="n">
        <v>2450</v>
      </c>
      <c r="C26" s="18">
        <f>(2136.0/B26*100)</f>
        <v/>
      </c>
      <c r="D26" s="19" t="n">
        <v>314</v>
      </c>
      <c r="E26" s="18" t="n">
        <v>63.40841828</v>
      </c>
      <c r="F26" s="20" t="n">
        <v>2.7613018</v>
      </c>
      <c r="G26" s="18" t="n">
        <v>35.5385189</v>
      </c>
      <c r="H26" s="20" t="n">
        <v>2.72416219</v>
      </c>
      <c r="I26" s="18" t="s">
        <v>431</v>
      </c>
      <c r="J26" s="20" t="s">
        <v>431</v>
      </c>
      <c r="K26" s="18" t="n">
        <v>0</v>
      </c>
      <c r="L26" s="20" t="n">
        <v>0</v>
      </c>
      <c r="M26" s="18" t="n">
        <v>0</v>
      </c>
      <c r="N26" s="20" t="n">
        <v>0</v>
      </c>
      <c r="O26" s="18" t="n">
        <v>0</v>
      </c>
      <c r="P26" s="20" t="n">
        <v>0</v>
      </c>
      <c r="Q26" s="18" t="n">
        <v>1.05306282</v>
      </c>
      <c r="R26" s="20" t="n">
        <v>0.6860312</v>
      </c>
    </row>
    <row r="27" spans="1:18">
      <c r="A27" s="15" t="s">
        <v>451</v>
      </c>
      <c r="B27" s="17" t="n">
        <v>2616</v>
      </c>
      <c r="C27" s="18">
        <f>(2287.0/B27*100)</f>
        <v/>
      </c>
      <c r="D27" s="19" t="n">
        <v>329</v>
      </c>
      <c r="E27" s="18" t="n">
        <v>57.03591386</v>
      </c>
      <c r="F27" s="20" t="n">
        <v>2.51839616</v>
      </c>
      <c r="G27" s="18" t="n">
        <v>41.74772543</v>
      </c>
      <c r="H27" s="20" t="n">
        <v>2.39151573</v>
      </c>
      <c r="I27" s="18" t="s">
        <v>431</v>
      </c>
      <c r="J27" s="20" t="s">
        <v>431</v>
      </c>
      <c r="K27" s="18" t="n">
        <v>0</v>
      </c>
      <c r="L27" s="20" t="n">
        <v>0</v>
      </c>
      <c r="M27" s="18" t="n">
        <v>0</v>
      </c>
      <c r="N27" s="20" t="n">
        <v>0</v>
      </c>
      <c r="O27" s="18" t="n">
        <v>0</v>
      </c>
      <c r="P27" s="20" t="n">
        <v>0</v>
      </c>
      <c r="Q27" s="18" t="n">
        <v>1.21636071</v>
      </c>
      <c r="R27" s="20" t="n">
        <v>0.60701695</v>
      </c>
    </row>
    <row r="28" spans="1:18">
      <c r="A28" s="15" t="s">
        <v>452</v>
      </c>
      <c r="B28" s="17" t="n">
        <v>3765</v>
      </c>
      <c r="C28" s="18">
        <f>(3299.0/B28*100)</f>
        <v/>
      </c>
      <c r="D28" s="19" t="n">
        <v>466</v>
      </c>
      <c r="E28" s="18" t="n">
        <v>70.34193119</v>
      </c>
      <c r="F28" s="20" t="n">
        <v>2.71879537</v>
      </c>
      <c r="G28" s="18" t="n">
        <v>28.14467278</v>
      </c>
      <c r="H28" s="20" t="n">
        <v>2.68180371</v>
      </c>
      <c r="I28" s="18" t="s">
        <v>431</v>
      </c>
      <c r="J28" s="20" t="s">
        <v>431</v>
      </c>
      <c r="K28" s="18" t="n">
        <v>0</v>
      </c>
      <c r="L28" s="20" t="n">
        <v>0</v>
      </c>
      <c r="M28" s="18" t="n">
        <v>0</v>
      </c>
      <c r="N28" s="20" t="n">
        <v>0</v>
      </c>
      <c r="O28" s="18" t="n">
        <v>0</v>
      </c>
      <c r="P28" s="20" t="n">
        <v>0</v>
      </c>
      <c r="Q28" s="18" t="n">
        <v>1.51339603</v>
      </c>
      <c r="R28" s="20" t="n">
        <v>0.59166811</v>
      </c>
    </row>
    <row r="29" spans="1:18">
      <c r="A29" s="15" t="s">
        <v>453</v>
      </c>
      <c r="B29" s="17" t="n">
        <v>2685</v>
      </c>
      <c r="C29" s="18">
        <f>(2369.0/B29*100)</f>
        <v/>
      </c>
      <c r="D29" s="19" t="n">
        <v>316</v>
      </c>
      <c r="E29" s="18" t="n">
        <v>59.80923632</v>
      </c>
      <c r="F29" s="20" t="n">
        <v>2.78909954</v>
      </c>
      <c r="G29" s="18" t="n">
        <v>39.86929445</v>
      </c>
      <c r="H29" s="20" t="n">
        <v>2.79287998</v>
      </c>
      <c r="I29" s="18" t="s">
        <v>431</v>
      </c>
      <c r="J29" s="20" t="s">
        <v>431</v>
      </c>
      <c r="K29" s="18" t="n">
        <v>0</v>
      </c>
      <c r="L29" s="20" t="n">
        <v>0</v>
      </c>
      <c r="M29" s="18" t="n">
        <v>0</v>
      </c>
      <c r="N29" s="20" t="n">
        <v>0</v>
      </c>
      <c r="O29" s="18" t="n">
        <v>0</v>
      </c>
      <c r="P29" s="20" t="n">
        <v>0</v>
      </c>
      <c r="Q29" s="18" t="n">
        <v>0.32146923</v>
      </c>
      <c r="R29" s="20" t="n">
        <v>0.33283615</v>
      </c>
    </row>
    <row r="30" spans="1:18">
      <c r="A30" s="15" t="s">
        <v>454</v>
      </c>
      <c r="B30" s="17" t="n">
        <v>2263</v>
      </c>
      <c r="C30" s="18">
        <f>(1985.0/B30*100)</f>
        <v/>
      </c>
      <c r="D30" s="19" t="n">
        <v>278</v>
      </c>
      <c r="E30" s="18" t="n">
        <v>61.41359505</v>
      </c>
      <c r="F30" s="20" t="n">
        <v>3.11164301</v>
      </c>
      <c r="G30" s="18" t="n">
        <v>36.64630389</v>
      </c>
      <c r="H30" s="20" t="n">
        <v>3.02261601</v>
      </c>
      <c r="I30" s="18" t="s">
        <v>431</v>
      </c>
      <c r="J30" s="20" t="s">
        <v>431</v>
      </c>
      <c r="K30" s="18" t="n">
        <v>0.32068872</v>
      </c>
      <c r="L30" s="20" t="n">
        <v>0.32717613</v>
      </c>
      <c r="M30" s="18" t="n">
        <v>0</v>
      </c>
      <c r="N30" s="20" t="n">
        <v>0</v>
      </c>
      <c r="O30" s="18" t="n">
        <v>0</v>
      </c>
      <c r="P30" s="20" t="n">
        <v>0</v>
      </c>
      <c r="Q30" s="18" t="n">
        <v>1.61941234</v>
      </c>
      <c r="R30" s="20" t="n">
        <v>0.7913279600000001</v>
      </c>
    </row>
    <row r="31" spans="1:18">
      <c r="A31" s="15" t="s">
        <v>455</v>
      </c>
      <c r="B31" s="17" t="n">
        <v>2750</v>
      </c>
      <c r="C31" s="18">
        <f>(2412.0/B31*100)</f>
        <v/>
      </c>
      <c r="D31" s="19" t="n">
        <v>338</v>
      </c>
      <c r="E31" s="18" t="n">
        <v>57.96540812</v>
      </c>
      <c r="F31" s="20" t="n">
        <v>2.65677302</v>
      </c>
      <c r="G31" s="18" t="n">
        <v>40.0078858</v>
      </c>
      <c r="H31" s="20" t="n">
        <v>2.643695</v>
      </c>
      <c r="I31" s="18" t="s">
        <v>431</v>
      </c>
      <c r="J31" s="20" t="s">
        <v>431</v>
      </c>
      <c r="K31" s="18" t="n">
        <v>0</v>
      </c>
      <c r="L31" s="20" t="n">
        <v>0</v>
      </c>
      <c r="M31" s="18" t="n">
        <v>0</v>
      </c>
      <c r="N31" s="20" t="n">
        <v>0</v>
      </c>
      <c r="O31" s="18" t="n">
        <v>0</v>
      </c>
      <c r="P31" s="20" t="n">
        <v>0</v>
      </c>
      <c r="Q31" s="18" t="n">
        <v>2.02670608</v>
      </c>
      <c r="R31" s="20" t="n">
        <v>0.77461651</v>
      </c>
    </row>
    <row r="32" spans="1:18">
      <c r="A32" s="15" t="s">
        <v>456</v>
      </c>
      <c r="B32" s="17" t="n">
        <v>2269</v>
      </c>
      <c r="C32" s="18">
        <f>(1896.0/B32*100)</f>
        <v/>
      </c>
      <c r="D32" s="19" t="n">
        <v>373</v>
      </c>
      <c r="E32" s="18" t="n">
        <v>62.8941933</v>
      </c>
      <c r="F32" s="20" t="n">
        <v>2.6504777</v>
      </c>
      <c r="G32" s="18" t="n">
        <v>36.01216192</v>
      </c>
      <c r="H32" s="20" t="n">
        <v>2.73949105</v>
      </c>
      <c r="I32" s="18" t="s">
        <v>431</v>
      </c>
      <c r="J32" s="20" t="s">
        <v>431</v>
      </c>
      <c r="K32" s="18" t="n">
        <v>0</v>
      </c>
      <c r="L32" s="20" t="n">
        <v>0</v>
      </c>
      <c r="M32" s="18" t="n">
        <v>0</v>
      </c>
      <c r="N32" s="20" t="n">
        <v>0</v>
      </c>
      <c r="O32" s="18" t="n">
        <v>0</v>
      </c>
      <c r="P32" s="20" t="n">
        <v>0</v>
      </c>
      <c r="Q32" s="18" t="n">
        <v>1.09364477</v>
      </c>
      <c r="R32" s="20" t="n">
        <v>0.54661274</v>
      </c>
    </row>
    <row r="33" spans="1:18">
      <c r="A33" s="15" t="s">
        <v>457</v>
      </c>
      <c r="B33" s="17" t="n">
        <v>3674</v>
      </c>
      <c r="C33" s="18">
        <f>(3223.0/B33*100)</f>
        <v/>
      </c>
      <c r="D33" s="19" t="n">
        <v>451</v>
      </c>
      <c r="E33" s="18" t="n">
        <v>58.64784239</v>
      </c>
      <c r="F33" s="20" t="n">
        <v>2.92738002</v>
      </c>
      <c r="G33" s="18" t="n">
        <v>40.883611</v>
      </c>
      <c r="H33" s="20" t="n">
        <v>2.83571877</v>
      </c>
      <c r="I33" s="18" t="s">
        <v>431</v>
      </c>
      <c r="J33" s="20" t="s">
        <v>431</v>
      </c>
      <c r="K33" s="18" t="n">
        <v>0</v>
      </c>
      <c r="L33" s="20" t="n">
        <v>0</v>
      </c>
      <c r="M33" s="18" t="n">
        <v>0</v>
      </c>
      <c r="N33" s="20" t="n">
        <v>0</v>
      </c>
      <c r="O33" s="18" t="n">
        <v>0</v>
      </c>
      <c r="P33" s="20" t="n">
        <v>0</v>
      </c>
      <c r="Q33" s="18" t="n">
        <v>0.4685466</v>
      </c>
      <c r="R33" s="20" t="n">
        <v>0.56059785</v>
      </c>
    </row>
    <row r="34" spans="1:18">
      <c r="A34" s="15" t="s">
        <v>458</v>
      </c>
      <c r="B34" s="17" t="n">
        <v>3315</v>
      </c>
      <c r="C34" s="18">
        <f>(2931.0/B34*100)</f>
        <v/>
      </c>
      <c r="D34" s="19" t="n">
        <v>384</v>
      </c>
      <c r="E34" s="18" t="n">
        <v>60.02794603</v>
      </c>
      <c r="F34" s="20" t="n">
        <v>2.41143261</v>
      </c>
      <c r="G34" s="18" t="n">
        <v>38.1180492</v>
      </c>
      <c r="H34" s="20" t="n">
        <v>2.46996645</v>
      </c>
      <c r="I34" s="18" t="s">
        <v>431</v>
      </c>
      <c r="J34" s="20" t="s">
        <v>431</v>
      </c>
      <c r="K34" s="18" t="n">
        <v>0.08476448</v>
      </c>
      <c r="L34" s="20" t="n">
        <v>0.08537516000000001</v>
      </c>
      <c r="M34" s="18" t="n">
        <v>0</v>
      </c>
      <c r="N34" s="20" t="n">
        <v>0</v>
      </c>
      <c r="O34" s="18" t="n">
        <v>0</v>
      </c>
      <c r="P34" s="20" t="n">
        <v>0</v>
      </c>
      <c r="Q34" s="18" t="n">
        <v>1.76924029</v>
      </c>
      <c r="R34" s="20" t="n">
        <v>0.74942093</v>
      </c>
    </row>
    <row r="35" spans="1:18">
      <c r="A35" s="15" t="s">
        <v>459</v>
      </c>
      <c r="B35" s="17" t="n">
        <v>3505</v>
      </c>
      <c r="C35" s="18">
        <f>(3097.0/B35*100)</f>
        <v/>
      </c>
      <c r="D35" s="19" t="n">
        <v>408</v>
      </c>
      <c r="E35" s="18" t="n">
        <v>60.95439706</v>
      </c>
      <c r="F35" s="20" t="n">
        <v>2.94486054</v>
      </c>
      <c r="G35" s="18" t="n">
        <v>37.97612854</v>
      </c>
      <c r="H35" s="20" t="n">
        <v>2.96151302</v>
      </c>
      <c r="I35" s="18" t="s">
        <v>431</v>
      </c>
      <c r="J35" s="20" t="s">
        <v>431</v>
      </c>
      <c r="K35" s="18" t="n">
        <v>0</v>
      </c>
      <c r="L35" s="20" t="n">
        <v>0</v>
      </c>
      <c r="M35" s="18" t="n">
        <v>0</v>
      </c>
      <c r="N35" s="20" t="n">
        <v>0</v>
      </c>
      <c r="O35" s="18" t="n">
        <v>0</v>
      </c>
      <c r="P35" s="20" t="n">
        <v>0</v>
      </c>
      <c r="Q35" s="18" t="n">
        <v>1.0694744</v>
      </c>
      <c r="R35" s="20" t="n">
        <v>0.54255916</v>
      </c>
    </row>
    <row r="36" spans="1:18">
      <c r="A36" s="15" t="s">
        <v>460</v>
      </c>
      <c r="B36" s="17" t="n">
        <v>3332</v>
      </c>
      <c r="C36" s="18">
        <f>(2916.0/B36*100)</f>
        <v/>
      </c>
      <c r="D36" s="19" t="n">
        <v>416</v>
      </c>
      <c r="E36" s="18" t="n">
        <v>57.69573946</v>
      </c>
      <c r="F36" s="20" t="n">
        <v>2.10080838</v>
      </c>
      <c r="G36" s="18" t="n">
        <v>40.46678505</v>
      </c>
      <c r="H36" s="20" t="n">
        <v>2.277449</v>
      </c>
      <c r="I36" s="18" t="s">
        <v>431</v>
      </c>
      <c r="J36" s="20" t="s">
        <v>431</v>
      </c>
      <c r="K36" s="18" t="n">
        <v>0.78078476</v>
      </c>
      <c r="L36" s="20" t="n">
        <v>0.37945946</v>
      </c>
      <c r="M36" s="18" t="n">
        <v>0</v>
      </c>
      <c r="N36" s="20" t="n">
        <v>0</v>
      </c>
      <c r="O36" s="18" t="n">
        <v>0</v>
      </c>
      <c r="P36" s="20" t="n">
        <v>0</v>
      </c>
      <c r="Q36" s="18" t="n">
        <v>1.05669073</v>
      </c>
      <c r="R36" s="20" t="n">
        <v>0.6217471</v>
      </c>
    </row>
    <row r="37" spans="1:18">
      <c r="A37" s="15" t="s">
        <v>461</v>
      </c>
      <c r="B37" s="17" t="n">
        <v>2727</v>
      </c>
      <c r="C37" s="18">
        <f>(2386.0/B37*100)</f>
        <v/>
      </c>
      <c r="D37" s="19" t="n">
        <v>341</v>
      </c>
      <c r="E37" s="18" t="n">
        <v>58.9994652</v>
      </c>
      <c r="F37" s="20" t="n">
        <v>2.88377522</v>
      </c>
      <c r="G37" s="18" t="n">
        <v>39.03792917</v>
      </c>
      <c r="H37" s="20" t="n">
        <v>2.88708525</v>
      </c>
      <c r="I37" s="18" t="s">
        <v>431</v>
      </c>
      <c r="J37" s="20" t="s">
        <v>431</v>
      </c>
      <c r="K37" s="18" t="n">
        <v>0.22223585</v>
      </c>
      <c r="L37" s="20" t="n">
        <v>0.22267032</v>
      </c>
      <c r="M37" s="18" t="n">
        <v>0</v>
      </c>
      <c r="N37" s="20" t="n">
        <v>0</v>
      </c>
      <c r="O37" s="18" t="n">
        <v>0</v>
      </c>
      <c r="P37" s="20" t="n">
        <v>0</v>
      </c>
      <c r="Q37" s="18" t="n">
        <v>1.74036978</v>
      </c>
      <c r="R37" s="20" t="n">
        <v>0.8534543</v>
      </c>
    </row>
    <row r="38" spans="1:18">
      <c r="A38" s="15" t="s">
        <v>462</v>
      </c>
      <c r="B38" s="17" t="n">
        <v>3053</v>
      </c>
      <c r="C38" s="18">
        <f>(2534.0/B38*100)</f>
        <v/>
      </c>
      <c r="D38" s="19" t="n">
        <v>519</v>
      </c>
      <c r="E38" s="18" t="n">
        <v>50.82036529</v>
      </c>
      <c r="F38" s="20" t="n">
        <v>2.43172553</v>
      </c>
      <c r="G38" s="18" t="n">
        <v>45.62161192</v>
      </c>
      <c r="H38" s="20" t="n">
        <v>2.67623773</v>
      </c>
      <c r="I38" s="18" t="s">
        <v>431</v>
      </c>
      <c r="J38" s="20" t="s">
        <v>431</v>
      </c>
      <c r="K38" s="18" t="n">
        <v>0.70403251</v>
      </c>
      <c r="L38" s="20" t="n">
        <v>0.54632499</v>
      </c>
      <c r="M38" s="18" t="n">
        <v>0</v>
      </c>
      <c r="N38" s="20" t="n">
        <v>0</v>
      </c>
      <c r="O38" s="18" t="n">
        <v>0</v>
      </c>
      <c r="P38" s="20" t="n">
        <v>0</v>
      </c>
      <c r="Q38" s="18" t="n">
        <v>2.85399027</v>
      </c>
      <c r="R38" s="20" t="n">
        <v>0.73862275</v>
      </c>
    </row>
    <row r="39" spans="1:18">
      <c r="A39" s="15" t="s">
        <v>463</v>
      </c>
      <c r="B39" s="17" t="n">
        <v>2957</v>
      </c>
      <c r="C39" s="18">
        <f>(2594.0/B39*100)</f>
        <v/>
      </c>
      <c r="D39" s="19" t="n">
        <v>363</v>
      </c>
      <c r="E39" s="18" t="n">
        <v>72.04911042000001</v>
      </c>
      <c r="F39" s="20" t="n">
        <v>2.53638575</v>
      </c>
      <c r="G39" s="18" t="n">
        <v>22.7135669</v>
      </c>
      <c r="H39" s="20" t="n">
        <v>2.11700636</v>
      </c>
      <c r="I39" s="18" t="s">
        <v>431</v>
      </c>
      <c r="J39" s="20" t="s">
        <v>431</v>
      </c>
      <c r="K39" s="18" t="n">
        <v>0</v>
      </c>
      <c r="L39" s="20" t="n">
        <v>0</v>
      </c>
      <c r="M39" s="18" t="n">
        <v>0</v>
      </c>
      <c r="N39" s="20" t="n">
        <v>0</v>
      </c>
      <c r="O39" s="18" t="n">
        <v>0</v>
      </c>
      <c r="P39" s="20" t="n">
        <v>0</v>
      </c>
      <c r="Q39" s="18" t="n">
        <v>5.23732268</v>
      </c>
      <c r="R39" s="20" t="n">
        <v>1.61599741</v>
      </c>
    </row>
    <row r="40" spans="1:18">
      <c r="A40" s="15" t="s">
        <v>464</v>
      </c>
      <c r="B40" s="17" t="n">
        <v>7235</v>
      </c>
      <c r="C40" s="18">
        <f>(6376.0/B40*100)</f>
        <v/>
      </c>
      <c r="D40" s="19" t="n">
        <v>859</v>
      </c>
      <c r="E40" s="18" t="n">
        <v>59.76735931</v>
      </c>
      <c r="F40" s="20" t="n">
        <v>2.55638123</v>
      </c>
      <c r="G40" s="18" t="n">
        <v>38.86221416</v>
      </c>
      <c r="H40" s="20" t="n">
        <v>2.4864817</v>
      </c>
      <c r="I40" s="18" t="s">
        <v>431</v>
      </c>
      <c r="J40" s="20" t="s">
        <v>431</v>
      </c>
      <c r="K40" s="18" t="n">
        <v>0.69334577</v>
      </c>
      <c r="L40" s="20" t="n">
        <v>0.49275849</v>
      </c>
      <c r="M40" s="18" t="n">
        <v>0</v>
      </c>
      <c r="N40" s="20" t="n">
        <v>0</v>
      </c>
      <c r="O40" s="18" t="n">
        <v>0</v>
      </c>
      <c r="P40" s="20" t="n">
        <v>0</v>
      </c>
      <c r="Q40" s="18" t="n">
        <v>0.6770807599999999</v>
      </c>
      <c r="R40" s="20" t="n">
        <v>0.43571485</v>
      </c>
    </row>
    <row r="41" spans="1:18">
      <c r="A41" s="15" t="s">
        <v>465</v>
      </c>
      <c r="B41" s="17" t="n">
        <v>2858</v>
      </c>
      <c r="C41" s="18">
        <f>(2509.0/B41*100)</f>
        <v/>
      </c>
      <c r="D41" s="19" t="n">
        <v>349</v>
      </c>
      <c r="E41" s="18" t="n">
        <v>67.41240617</v>
      </c>
      <c r="F41" s="20" t="n">
        <v>2.31451663</v>
      </c>
      <c r="G41" s="18" t="n">
        <v>31.88546633</v>
      </c>
      <c r="H41" s="20" t="n">
        <v>2.36046225</v>
      </c>
      <c r="I41" s="18" t="s">
        <v>431</v>
      </c>
      <c r="J41" s="20" t="s">
        <v>431</v>
      </c>
      <c r="K41" s="18" t="n">
        <v>0</v>
      </c>
      <c r="L41" s="20" t="n">
        <v>0</v>
      </c>
      <c r="M41" s="18" t="n">
        <v>0</v>
      </c>
      <c r="N41" s="20" t="n">
        <v>0</v>
      </c>
      <c r="O41" s="18" t="n">
        <v>0</v>
      </c>
      <c r="P41" s="20" t="n">
        <v>0</v>
      </c>
      <c r="Q41" s="18" t="n">
        <v>0.7021275</v>
      </c>
      <c r="R41" s="20" t="n">
        <v>0.43886652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(9785.0/B46*100)</f>
        <v/>
      </c>
      <c r="D46" s="19" t="n">
        <v>1283</v>
      </c>
      <c r="E46" s="18" t="n">
        <v>71.39296779</v>
      </c>
      <c r="F46" s="20" t="n">
        <v>1.62338839</v>
      </c>
      <c r="G46" s="18" t="n">
        <v>25.48889654</v>
      </c>
      <c r="H46" s="20" t="n">
        <v>1.65175427</v>
      </c>
      <c r="I46" s="18" t="s">
        <v>431</v>
      </c>
      <c r="J46" s="20" t="s">
        <v>431</v>
      </c>
      <c r="K46" s="18" t="n">
        <v>0.33610576</v>
      </c>
      <c r="L46" s="20" t="n">
        <v>0.17343846</v>
      </c>
      <c r="M46" s="18" t="n">
        <v>0</v>
      </c>
      <c r="N46" s="20" t="n">
        <v>0</v>
      </c>
      <c r="O46" s="18" t="n">
        <v>0</v>
      </c>
      <c r="P46" s="20" t="n">
        <v>0</v>
      </c>
      <c r="Q46" s="18" t="n">
        <v>2.78202991</v>
      </c>
      <c r="R46" s="20" t="n">
        <v>0.5464420800000001</v>
      </c>
    </row>
    <row r="47" spans="1:18">
      <c r="A47" s="15" t="s">
        <v>471</v>
      </c>
      <c r="B47" s="17" t="n">
        <v>3105</v>
      </c>
      <c r="C47" s="18">
        <f>(2756.0/B47*100)</f>
        <v/>
      </c>
      <c r="D47" s="19" t="n">
        <v>349</v>
      </c>
      <c r="E47" s="18" t="n">
        <v>61.55023317</v>
      </c>
      <c r="F47" s="20" t="n">
        <v>2.73646279</v>
      </c>
      <c r="G47" s="18" t="n">
        <v>36.64772708</v>
      </c>
      <c r="H47" s="20" t="n">
        <v>2.87556649</v>
      </c>
      <c r="I47" s="18" t="s">
        <v>431</v>
      </c>
      <c r="J47" s="20" t="s">
        <v>431</v>
      </c>
      <c r="K47" s="18" t="n">
        <v>0</v>
      </c>
      <c r="L47" s="20" t="n">
        <v>0</v>
      </c>
      <c r="M47" s="18" t="n">
        <v>0</v>
      </c>
      <c r="N47" s="20" t="n">
        <v>0</v>
      </c>
      <c r="O47" s="18" t="n">
        <v>0</v>
      </c>
      <c r="P47" s="20" t="n">
        <v>0</v>
      </c>
      <c r="Q47" s="18" t="n">
        <v>1.80203975</v>
      </c>
      <c r="R47" s="20" t="n">
        <v>0.85335271</v>
      </c>
    </row>
    <row r="48" spans="1:18">
      <c r="A48" s="15" t="s">
        <v>472</v>
      </c>
      <c r="B48" s="17" t="n">
        <v>5159</v>
      </c>
      <c r="C48" s="18">
        <f>(4522.0/B48*100)</f>
        <v/>
      </c>
      <c r="D48" s="19" t="n">
        <v>637</v>
      </c>
      <c r="E48" s="18" t="n">
        <v>70.46661491</v>
      </c>
      <c r="F48" s="20" t="n">
        <v>2.73990083</v>
      </c>
      <c r="G48" s="18" t="n">
        <v>27.94833087</v>
      </c>
      <c r="H48" s="20" t="n">
        <v>2.6114032</v>
      </c>
      <c r="I48" s="18" t="s">
        <v>431</v>
      </c>
      <c r="J48" s="20" t="s">
        <v>431</v>
      </c>
      <c r="K48" s="18" t="n">
        <v>0.09782762</v>
      </c>
      <c r="L48" s="20" t="n">
        <v>0.06944174</v>
      </c>
      <c r="M48" s="18" t="n">
        <v>0</v>
      </c>
      <c r="N48" s="20" t="n">
        <v>0</v>
      </c>
      <c r="O48" s="18" t="n">
        <v>0</v>
      </c>
      <c r="P48" s="20" t="n">
        <v>0</v>
      </c>
      <c r="Q48" s="18" t="n">
        <v>1.4872266</v>
      </c>
      <c r="R48" s="20" t="n">
        <v>0.67079201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(4966.0/B50*100)</f>
        <v/>
      </c>
      <c r="D50" s="19" t="n">
        <v>671</v>
      </c>
      <c r="E50" s="18" t="n">
        <v>64.43022187</v>
      </c>
      <c r="F50" s="20" t="n">
        <v>2.68991567</v>
      </c>
      <c r="G50" s="18" t="n">
        <v>32.0243285</v>
      </c>
      <c r="H50" s="20" t="n">
        <v>2.55615324</v>
      </c>
      <c r="I50" s="18" t="s">
        <v>431</v>
      </c>
      <c r="J50" s="20" t="s">
        <v>431</v>
      </c>
      <c r="K50" s="18" t="n">
        <v>0.17541382</v>
      </c>
      <c r="L50" s="20" t="n">
        <v>0.17426565</v>
      </c>
      <c r="M50" s="18" t="n">
        <v>0</v>
      </c>
      <c r="N50" s="20" t="n">
        <v>0</v>
      </c>
      <c r="O50" s="18" t="n">
        <v>0</v>
      </c>
      <c r="P50" s="20" t="n">
        <v>0</v>
      </c>
      <c r="Q50" s="18" t="n">
        <v>3.37003582</v>
      </c>
      <c r="R50" s="20" t="n">
        <v>1.16961711</v>
      </c>
    </row>
    <row r="51" spans="1:18">
      <c r="A51" s="15" t="s">
        <v>475</v>
      </c>
      <c r="B51" s="17" t="n">
        <v>3372</v>
      </c>
      <c r="C51" s="18">
        <f>(3011.0/B51*100)</f>
        <v/>
      </c>
      <c r="D51" s="19" t="n">
        <v>361</v>
      </c>
      <c r="E51" s="18" t="n">
        <v>69.05134028000001</v>
      </c>
      <c r="F51" s="20" t="n">
        <v>2.7756115</v>
      </c>
      <c r="G51" s="18" t="n">
        <v>26.90686475</v>
      </c>
      <c r="H51" s="20" t="n">
        <v>2.67922254</v>
      </c>
      <c r="I51" s="18" t="s">
        <v>431</v>
      </c>
      <c r="J51" s="20" t="s">
        <v>431</v>
      </c>
      <c r="K51" s="18" t="n">
        <v>0.8519343</v>
      </c>
      <c r="L51" s="20" t="n">
        <v>0.56980221</v>
      </c>
      <c r="M51" s="18" t="n">
        <v>0</v>
      </c>
      <c r="N51" s="20" t="n">
        <v>0</v>
      </c>
      <c r="O51" s="18" t="n">
        <v>0</v>
      </c>
      <c r="P51" s="20" t="n">
        <v>0</v>
      </c>
      <c r="Q51" s="18" t="n">
        <v>3.18986067</v>
      </c>
      <c r="R51" s="20" t="n">
        <v>1.04119245</v>
      </c>
    </row>
    <row r="52" spans="1:18">
      <c r="A52" s="15" t="s">
        <v>476</v>
      </c>
      <c r="B52" s="17" t="n">
        <v>2796</v>
      </c>
      <c r="C52" s="18">
        <f>(2451.0/B52*100)</f>
        <v/>
      </c>
      <c r="D52" s="19" t="n">
        <v>345</v>
      </c>
      <c r="E52" s="18" t="n">
        <v>58.67248541</v>
      </c>
      <c r="F52" s="20" t="n">
        <v>2.62840565</v>
      </c>
      <c r="G52" s="18" t="n">
        <v>40.14955413</v>
      </c>
      <c r="H52" s="20" t="n">
        <v>2.67757549</v>
      </c>
      <c r="I52" s="18" t="s">
        <v>431</v>
      </c>
      <c r="J52" s="20" t="s">
        <v>431</v>
      </c>
      <c r="K52" s="18" t="n">
        <v>0</v>
      </c>
      <c r="L52" s="20" t="n">
        <v>0</v>
      </c>
      <c r="M52" s="18" t="n">
        <v>0</v>
      </c>
      <c r="N52" s="20" t="n">
        <v>0</v>
      </c>
      <c r="O52" s="18" t="n">
        <v>0</v>
      </c>
      <c r="P52" s="20" t="n">
        <v>0</v>
      </c>
      <c r="Q52" s="18" t="n">
        <v>1.17796046</v>
      </c>
      <c r="R52" s="20" t="n">
        <v>0.5755338800000001</v>
      </c>
    </row>
    <row r="53" spans="1:18">
      <c r="A53" s="15" t="s">
        <v>477</v>
      </c>
      <c r="B53" s="17" t="n">
        <v>2811</v>
      </c>
      <c r="C53" s="18">
        <f>(2467.0/B53*100)</f>
        <v/>
      </c>
      <c r="D53" s="19" t="n">
        <v>344</v>
      </c>
      <c r="E53" s="18" t="n">
        <v>62.52969843</v>
      </c>
      <c r="F53" s="20" t="n">
        <v>2.6031636</v>
      </c>
      <c r="G53" s="18" t="n">
        <v>33.1082577</v>
      </c>
      <c r="H53" s="20" t="n">
        <v>2.66988138</v>
      </c>
      <c r="I53" s="18" t="s">
        <v>431</v>
      </c>
      <c r="J53" s="20" t="s">
        <v>431</v>
      </c>
      <c r="K53" s="18" t="n">
        <v>0</v>
      </c>
      <c r="L53" s="20" t="n">
        <v>0</v>
      </c>
      <c r="M53" s="18" t="n">
        <v>0</v>
      </c>
      <c r="N53" s="20" t="n">
        <v>0</v>
      </c>
      <c r="O53" s="18" t="n">
        <v>0</v>
      </c>
      <c r="P53" s="20" t="n">
        <v>0</v>
      </c>
      <c r="Q53" s="18" t="n">
        <v>4.36204388</v>
      </c>
      <c r="R53" s="20" t="n">
        <v>1.13825414</v>
      </c>
    </row>
    <row r="54" spans="1:18">
      <c r="A54" s="15" t="s">
        <v>478</v>
      </c>
      <c r="B54" s="17" t="n">
        <v>2266</v>
      </c>
      <c r="C54" s="18">
        <f>(1901.0/B54*100)</f>
        <v/>
      </c>
      <c r="D54" s="19" t="n">
        <v>365</v>
      </c>
      <c r="E54" s="18" t="n">
        <v>73.83401713000001</v>
      </c>
      <c r="F54" s="20" t="n">
        <v>2.49755787</v>
      </c>
      <c r="G54" s="18" t="n">
        <v>14.12177132</v>
      </c>
      <c r="H54" s="20" t="n">
        <v>1.87145456</v>
      </c>
      <c r="I54" s="18" t="s">
        <v>431</v>
      </c>
      <c r="J54" s="20" t="s">
        <v>431</v>
      </c>
      <c r="K54" s="18" t="n">
        <v>3.26932607</v>
      </c>
      <c r="L54" s="20" t="n">
        <v>1.1678899</v>
      </c>
      <c r="M54" s="18" t="n">
        <v>0</v>
      </c>
      <c r="N54" s="20" t="n">
        <v>0</v>
      </c>
      <c r="O54" s="18" t="n">
        <v>0</v>
      </c>
      <c r="P54" s="20" t="n">
        <v>0</v>
      </c>
      <c r="Q54" s="18" t="n">
        <v>8.77488548</v>
      </c>
      <c r="R54" s="20" t="n">
        <v>1.56390121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(2342.0/B56*100)</f>
        <v/>
      </c>
      <c r="D56" s="19" t="n">
        <v>342</v>
      </c>
      <c r="E56" s="18" t="n">
        <v>72.21344328000001</v>
      </c>
      <c r="F56" s="20" t="n">
        <v>2.55032067</v>
      </c>
      <c r="G56" s="18" t="n">
        <v>26.27304725</v>
      </c>
      <c r="H56" s="20" t="n">
        <v>2.43315372</v>
      </c>
      <c r="I56" s="18" t="s">
        <v>431</v>
      </c>
      <c r="J56" s="20" t="s">
        <v>431</v>
      </c>
      <c r="K56" s="18" t="n">
        <v>0.24596657</v>
      </c>
      <c r="L56" s="20" t="n">
        <v>0.24546808</v>
      </c>
      <c r="M56" s="18" t="n">
        <v>0</v>
      </c>
      <c r="N56" s="20" t="n">
        <v>0</v>
      </c>
      <c r="O56" s="18" t="n">
        <v>0</v>
      </c>
      <c r="P56" s="20" t="n">
        <v>0</v>
      </c>
      <c r="Q56" s="18" t="n">
        <v>1.26754291</v>
      </c>
      <c r="R56" s="20" t="n">
        <v>0.6668988300000001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(2943.0/B61*100)</f>
        <v/>
      </c>
      <c r="D61" s="19" t="n">
        <v>381</v>
      </c>
      <c r="E61" s="18" t="n">
        <v>66.79396488</v>
      </c>
      <c r="F61" s="20" t="n">
        <v>2.29441274</v>
      </c>
      <c r="G61" s="18" t="n">
        <v>31.88361851</v>
      </c>
      <c r="H61" s="20" t="n">
        <v>2.25937214</v>
      </c>
      <c r="I61" s="18" t="s">
        <v>431</v>
      </c>
      <c r="J61" s="20" t="s">
        <v>431</v>
      </c>
      <c r="K61" s="18" t="n">
        <v>0</v>
      </c>
      <c r="L61" s="20" t="n">
        <v>0</v>
      </c>
      <c r="M61" s="18" t="n">
        <v>0</v>
      </c>
      <c r="N61" s="20" t="n">
        <v>0</v>
      </c>
      <c r="O61" s="18" t="n">
        <v>0</v>
      </c>
      <c r="P61" s="20" t="n">
        <v>0</v>
      </c>
      <c r="Q61" s="18" t="n">
        <v>1.32241662</v>
      </c>
      <c r="R61" s="20" t="n">
        <v>0.60371189</v>
      </c>
    </row>
    <row r="62" spans="1:18">
      <c r="A62" s="15" t="s">
        <v>486</v>
      </c>
      <c r="B62" s="17" t="n">
        <v>2246</v>
      </c>
      <c r="C62" s="18">
        <f>(1951.0/B62*100)</f>
        <v/>
      </c>
      <c r="D62" s="19" t="n">
        <v>295</v>
      </c>
      <c r="E62" s="18" t="n">
        <v>72.11738222</v>
      </c>
      <c r="F62" s="20" t="n">
        <v>3.24518158</v>
      </c>
      <c r="G62" s="18" t="n">
        <v>27.1939691</v>
      </c>
      <c r="H62" s="20" t="n">
        <v>3.12645934</v>
      </c>
      <c r="I62" s="18" t="s">
        <v>431</v>
      </c>
      <c r="J62" s="20" t="s">
        <v>431</v>
      </c>
      <c r="K62" s="18" t="n">
        <v>0.34833814</v>
      </c>
      <c r="L62" s="20" t="n">
        <v>0.34614501</v>
      </c>
      <c r="M62" s="18" t="n">
        <v>0</v>
      </c>
      <c r="N62" s="20" t="n">
        <v>0</v>
      </c>
      <c r="O62" s="18" t="n">
        <v>0</v>
      </c>
      <c r="P62" s="20" t="n">
        <v>0</v>
      </c>
      <c r="Q62" s="18" t="n">
        <v>0.34031055</v>
      </c>
      <c r="R62" s="20" t="n">
        <v>0.33496681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(2540.0/B66*100)</f>
        <v/>
      </c>
      <c r="D66" s="19" t="n">
        <v>354</v>
      </c>
      <c r="E66" s="18" t="n">
        <v>64.64095604000001</v>
      </c>
      <c r="F66" s="20" t="n">
        <v>2.5577049</v>
      </c>
      <c r="G66" s="18" t="n">
        <v>30.38693811</v>
      </c>
      <c r="H66" s="20" t="n">
        <v>2.37735734</v>
      </c>
      <c r="I66" s="18" t="s">
        <v>431</v>
      </c>
      <c r="J66" s="20" t="s">
        <v>431</v>
      </c>
      <c r="K66" s="18" t="n">
        <v>0.53798523</v>
      </c>
      <c r="L66" s="20" t="n">
        <v>0.38594606</v>
      </c>
      <c r="M66" s="18" t="n">
        <v>0</v>
      </c>
      <c r="N66" s="20" t="n">
        <v>0</v>
      </c>
      <c r="O66" s="18" t="n">
        <v>0</v>
      </c>
      <c r="P66" s="20" t="n">
        <v>0</v>
      </c>
      <c r="Q66" s="18" t="n">
        <v>4.43412063</v>
      </c>
      <c r="R66" s="20" t="n">
        <v>0.9735209</v>
      </c>
    </row>
    <row r="67" spans="1:18">
      <c r="A67" s="15" t="s">
        <v>491</v>
      </c>
      <c r="B67" s="17" t="n">
        <v>3511</v>
      </c>
      <c r="C67" s="18">
        <f>(3081.0/B67*100)</f>
        <v/>
      </c>
      <c r="D67" s="19" t="n">
        <v>430</v>
      </c>
      <c r="E67" s="18" t="n">
        <v>65.70193421</v>
      </c>
      <c r="F67" s="20" t="n">
        <v>2.30138432</v>
      </c>
      <c r="G67" s="18" t="n">
        <v>31.1924862</v>
      </c>
      <c r="H67" s="20" t="n">
        <v>2.18823642</v>
      </c>
      <c r="I67" s="18" t="s">
        <v>431</v>
      </c>
      <c r="J67" s="20" t="s">
        <v>431</v>
      </c>
      <c r="K67" s="18" t="n">
        <v>0.17638737</v>
      </c>
      <c r="L67" s="20" t="n">
        <v>0.17549028</v>
      </c>
      <c r="M67" s="18" t="n">
        <v>0</v>
      </c>
      <c r="N67" s="20" t="n">
        <v>0</v>
      </c>
      <c r="O67" s="18" t="n">
        <v>0</v>
      </c>
      <c r="P67" s="20" t="n">
        <v>0</v>
      </c>
      <c r="Q67" s="18" t="n">
        <v>2.92919222</v>
      </c>
      <c r="R67" s="20" t="n">
        <v>0.86903065</v>
      </c>
    </row>
    <row r="68" spans="1:18">
      <c r="A68" s="15" t="s">
        <v>492</v>
      </c>
      <c r="B68" s="17" t="n">
        <v>6049</v>
      </c>
      <c r="C68" s="18">
        <f>(5035.0/B68*100)</f>
        <v/>
      </c>
      <c r="D68" s="19" t="n">
        <v>1014</v>
      </c>
      <c r="E68" s="18" t="n">
        <v>56.07538192</v>
      </c>
      <c r="F68" s="20" t="n">
        <v>1.44353164</v>
      </c>
      <c r="G68" s="18" t="n">
        <v>33.33780328</v>
      </c>
      <c r="H68" s="20" t="n">
        <v>1.45132898</v>
      </c>
      <c r="I68" s="18" t="s">
        <v>431</v>
      </c>
      <c r="J68" s="20" t="s">
        <v>431</v>
      </c>
      <c r="K68" s="18" t="n">
        <v>1.9274999</v>
      </c>
      <c r="L68" s="20" t="n">
        <v>0.43703265</v>
      </c>
      <c r="M68" s="18" t="n">
        <v>0</v>
      </c>
      <c r="N68" s="20" t="n">
        <v>0</v>
      </c>
      <c r="O68" s="18" t="n">
        <v>0</v>
      </c>
      <c r="P68" s="20" t="n">
        <v>0</v>
      </c>
      <c r="Q68" s="18" t="n">
        <v>8.6593149</v>
      </c>
      <c r="R68" s="20" t="n">
        <v>0.87113961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(2570.0/B70*100)</f>
        <v/>
      </c>
      <c r="D70" s="19" t="n">
        <v>359</v>
      </c>
      <c r="E70" s="18" t="n">
        <v>61.02070654</v>
      </c>
      <c r="F70" s="20" t="n">
        <v>2.67388877</v>
      </c>
      <c r="G70" s="18" t="n">
        <v>37.7047484</v>
      </c>
      <c r="H70" s="20" t="n">
        <v>2.78008628</v>
      </c>
      <c r="I70" s="18" t="s">
        <v>431</v>
      </c>
      <c r="J70" s="20" t="s">
        <v>431</v>
      </c>
      <c r="K70" s="18" t="n">
        <v>0</v>
      </c>
      <c r="L70" s="20" t="n">
        <v>0</v>
      </c>
      <c r="M70" s="18" t="n">
        <v>0</v>
      </c>
      <c r="N70" s="20" t="n">
        <v>0</v>
      </c>
      <c r="O70" s="18" t="n">
        <v>0</v>
      </c>
      <c r="P70" s="20" t="n">
        <v>0</v>
      </c>
      <c r="Q70" s="18" t="n">
        <v>1.27454506</v>
      </c>
      <c r="R70" s="20" t="n">
        <v>0.7993264</v>
      </c>
    </row>
    <row r="71" spans="1:18">
      <c r="A71" s="15" t="s">
        <v>495</v>
      </c>
      <c r="B71" s="17" t="n">
        <v>3142</v>
      </c>
      <c r="C71" s="18">
        <f>(2749.0/B71*100)</f>
        <v/>
      </c>
      <c r="D71" s="19" t="n">
        <v>393</v>
      </c>
      <c r="E71" s="18" t="n">
        <v>62.72979709</v>
      </c>
      <c r="F71" s="20" t="n">
        <v>2.61496448</v>
      </c>
      <c r="G71" s="18" t="n">
        <v>36.81528815</v>
      </c>
      <c r="H71" s="20" t="n">
        <v>2.56081017</v>
      </c>
      <c r="I71" s="18" t="s">
        <v>431</v>
      </c>
      <c r="J71" s="20" t="s">
        <v>431</v>
      </c>
      <c r="K71" s="18" t="n">
        <v>0</v>
      </c>
      <c r="L71" s="20" t="n">
        <v>0</v>
      </c>
      <c r="M71" s="18" t="n">
        <v>0</v>
      </c>
      <c r="N71" s="20" t="n">
        <v>0</v>
      </c>
      <c r="O71" s="18" t="n">
        <v>0</v>
      </c>
      <c r="P71" s="20" t="n">
        <v>0</v>
      </c>
      <c r="Q71" s="18" t="n">
        <v>0.45491475</v>
      </c>
      <c r="R71" s="20" t="n">
        <v>0.31128061</v>
      </c>
    </row>
    <row r="72" spans="1:18">
      <c r="A72" s="15" t="s">
        <v>496</v>
      </c>
      <c r="B72" s="17" t="n">
        <v>3889</v>
      </c>
      <c r="C72" s="18">
        <f>(3407.0/B72*100)</f>
        <v/>
      </c>
      <c r="D72" s="19" t="n">
        <v>482</v>
      </c>
      <c r="E72" s="18" t="n">
        <v>77.51315096</v>
      </c>
      <c r="F72" s="20" t="n">
        <v>2.23626552</v>
      </c>
      <c r="G72" s="18" t="n">
        <v>21.81346597</v>
      </c>
      <c r="H72" s="20" t="n">
        <v>2.17206858</v>
      </c>
      <c r="I72" s="18" t="s">
        <v>431</v>
      </c>
      <c r="J72" s="20" t="s">
        <v>431</v>
      </c>
      <c r="K72" s="18" t="n">
        <v>0</v>
      </c>
      <c r="L72" s="20" t="n">
        <v>0</v>
      </c>
      <c r="M72" s="18" t="n">
        <v>0</v>
      </c>
      <c r="N72" s="20" t="n">
        <v>0</v>
      </c>
      <c r="O72" s="18" t="n">
        <v>0</v>
      </c>
      <c r="P72" s="20" t="n">
        <v>0</v>
      </c>
      <c r="Q72" s="18" t="n">
        <v>0.67338307</v>
      </c>
      <c r="R72" s="20" t="n">
        <v>0.3431115</v>
      </c>
    </row>
    <row r="73" spans="1:18">
      <c r="A73" s="15" t="s">
        <v>497</v>
      </c>
      <c r="B73" s="17" t="n">
        <v>3597</v>
      </c>
      <c r="C73" s="18">
        <f>(3167.0/B73*100)</f>
        <v/>
      </c>
      <c r="D73" s="19" t="n">
        <v>430</v>
      </c>
      <c r="E73" s="18" t="n">
        <v>73.90638982999999</v>
      </c>
      <c r="F73" s="20" t="n">
        <v>2.62085902</v>
      </c>
      <c r="G73" s="18" t="n">
        <v>24.56105921</v>
      </c>
      <c r="H73" s="20" t="n">
        <v>2.62024434</v>
      </c>
      <c r="I73" s="18" t="s">
        <v>431</v>
      </c>
      <c r="J73" s="20" t="s">
        <v>431</v>
      </c>
      <c r="K73" s="18" t="n">
        <v>0.33880083</v>
      </c>
      <c r="L73" s="20" t="n">
        <v>0.3376561</v>
      </c>
      <c r="M73" s="18" t="n">
        <v>0</v>
      </c>
      <c r="N73" s="20" t="n">
        <v>0</v>
      </c>
      <c r="O73" s="18" t="n">
        <v>0</v>
      </c>
      <c r="P73" s="20" t="n">
        <v>0</v>
      </c>
      <c r="Q73" s="18" t="n">
        <v>1.19375013</v>
      </c>
      <c r="R73" s="20" t="n">
        <v>0.60793667</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(2121.0/B75*100)</f>
        <v/>
      </c>
      <c r="D75" s="19" t="n">
        <v>285</v>
      </c>
      <c r="E75" s="18" t="n">
        <v>68.24954332</v>
      </c>
      <c r="F75" s="20" t="n">
        <v>2.7365306</v>
      </c>
      <c r="G75" s="18" t="n">
        <v>27.4661331</v>
      </c>
      <c r="H75" s="20" t="n">
        <v>2.64284859</v>
      </c>
      <c r="I75" s="18" t="s">
        <v>431</v>
      </c>
      <c r="J75" s="20" t="s">
        <v>431</v>
      </c>
      <c r="K75" s="18" t="n">
        <v>1.38338571</v>
      </c>
      <c r="L75" s="20" t="n">
        <v>0.6414436</v>
      </c>
      <c r="M75" s="18" t="n">
        <v>0</v>
      </c>
      <c r="N75" s="20" t="n">
        <v>0</v>
      </c>
      <c r="O75" s="18" t="n">
        <v>0</v>
      </c>
      <c r="P75" s="20" t="n">
        <v>0</v>
      </c>
      <c r="Q75" s="18" t="n">
        <v>2.90093787</v>
      </c>
      <c r="R75" s="20" t="n">
        <v>0.91441104</v>
      </c>
    </row>
    <row r="76" spans="1:18">
      <c r="A76" s="15" t="s">
        <v>500</v>
      </c>
      <c r="B76" s="17" t="n">
        <v>7052</v>
      </c>
      <c r="C76" s="18">
        <f>(6193.0/B76*100)</f>
        <v/>
      </c>
      <c r="D76" s="19" t="n">
        <v>859</v>
      </c>
      <c r="E76" s="18" t="n">
        <v>57.06339171</v>
      </c>
      <c r="F76" s="20" t="n">
        <v>1.94327745</v>
      </c>
      <c r="G76" s="18" t="n">
        <v>37.61686309</v>
      </c>
      <c r="H76" s="20" t="n">
        <v>2.01356877</v>
      </c>
      <c r="I76" s="18" t="s">
        <v>431</v>
      </c>
      <c r="J76" s="20" t="s">
        <v>431</v>
      </c>
      <c r="K76" s="18" t="n">
        <v>0.61937705</v>
      </c>
      <c r="L76" s="20" t="n">
        <v>0.26486342</v>
      </c>
      <c r="M76" s="18" t="n">
        <v>0</v>
      </c>
      <c r="N76" s="20" t="n">
        <v>0</v>
      </c>
      <c r="O76" s="18" t="n">
        <v>0</v>
      </c>
      <c r="P76" s="20" t="n">
        <v>0</v>
      </c>
      <c r="Q76" s="18" t="n">
        <v>4.70036815</v>
      </c>
      <c r="R76" s="20" t="n">
        <v>0.72666053</v>
      </c>
    </row>
    <row r="77" spans="1:18">
      <c r="A77" s="15" t="s">
        <v>501</v>
      </c>
      <c r="B77" s="17" t="n">
        <v>2908</v>
      </c>
      <c r="C77" s="18">
        <f>(2536.0/B77*100)</f>
        <v/>
      </c>
      <c r="D77" s="19" t="n">
        <v>372</v>
      </c>
      <c r="E77" s="18" t="n">
        <v>0</v>
      </c>
      <c r="F77" s="20" t="n">
        <v>0</v>
      </c>
      <c r="G77" s="18" t="n">
        <v>0</v>
      </c>
      <c r="H77" s="20" t="n">
        <v>0</v>
      </c>
      <c r="I77" s="18" t="s">
        <v>431</v>
      </c>
      <c r="J77" s="20" t="s">
        <v>431</v>
      </c>
      <c r="K77" s="18" t="n">
        <v>0</v>
      </c>
      <c r="L77" s="20" t="n">
        <v>0</v>
      </c>
      <c r="M77" s="18" t="n">
        <v>100</v>
      </c>
      <c r="N77" s="20" t="n">
        <v>0</v>
      </c>
      <c r="O77" s="18" t="n">
        <v>0</v>
      </c>
      <c r="P77" s="20" t="n">
        <v>0</v>
      </c>
      <c r="Q77" s="18" t="n">
        <v>0</v>
      </c>
      <c r="R77" s="20" t="n">
        <v>0</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(3642.0/B81*100)</f>
        <v/>
      </c>
      <c r="D81" s="19" t="n">
        <v>521</v>
      </c>
      <c r="E81" s="18" t="n">
        <v>59.27791558</v>
      </c>
      <c r="F81" s="20" t="n">
        <v>2.75418584</v>
      </c>
      <c r="G81" s="18" t="n">
        <v>39.54957305</v>
      </c>
      <c r="H81" s="20" t="n">
        <v>2.69733852</v>
      </c>
      <c r="I81" s="18" t="s">
        <v>431</v>
      </c>
      <c r="J81" s="20" t="s">
        <v>431</v>
      </c>
      <c r="K81" s="18" t="n">
        <v>0</v>
      </c>
      <c r="L81" s="20" t="n">
        <v>0</v>
      </c>
      <c r="M81" s="18" t="n">
        <v>0</v>
      </c>
      <c r="N81" s="20" t="n">
        <v>0</v>
      </c>
      <c r="O81" s="18" t="n">
        <v>0</v>
      </c>
      <c r="P81" s="20" t="n">
        <v>0</v>
      </c>
      <c r="Q81" s="18" t="n">
        <v>1.17251137</v>
      </c>
      <c r="R81" s="20" t="n">
        <v>0.58857063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(6472.0/B7*100)</f>
        <v/>
      </c>
      <c r="D7" s="19" t="n">
        <v>895</v>
      </c>
      <c r="E7" s="18" t="n">
        <v>45.86847345</v>
      </c>
      <c r="F7" s="20" t="n">
        <v>1.85073329</v>
      </c>
      <c r="G7" s="18" t="n">
        <v>52.62287491</v>
      </c>
      <c r="H7" s="20" t="n">
        <v>1.91101049</v>
      </c>
      <c r="I7" s="18" t="s">
        <v>431</v>
      </c>
      <c r="J7" s="20" t="s">
        <v>431</v>
      </c>
      <c r="K7" s="18" t="n">
        <v>0.01815231</v>
      </c>
      <c r="L7" s="20" t="n">
        <v>0.0182097</v>
      </c>
      <c r="M7" s="18" t="n">
        <v>0</v>
      </c>
      <c r="N7" s="20" t="n">
        <v>0</v>
      </c>
      <c r="O7" s="18" t="n">
        <v>0</v>
      </c>
      <c r="P7" s="20" t="n">
        <v>0</v>
      </c>
      <c r="Q7" s="18" t="n">
        <v>1.49049933</v>
      </c>
      <c r="R7" s="20" t="n">
        <v>0.47866357</v>
      </c>
    </row>
    <row r="8" spans="1:18">
      <c r="A8" s="15" t="s">
        <v>432</v>
      </c>
      <c r="B8" s="17" t="n">
        <v>3564</v>
      </c>
      <c r="C8" s="18">
        <f>(3112.0/B8*100)</f>
        <v/>
      </c>
      <c r="D8" s="19" t="n">
        <v>452</v>
      </c>
      <c r="E8" s="18" t="n">
        <v>36.66971654</v>
      </c>
      <c r="F8" s="20" t="n">
        <v>2.74114864</v>
      </c>
      <c r="G8" s="18" t="n">
        <v>62.53360045</v>
      </c>
      <c r="H8" s="20" t="n">
        <v>2.76258341</v>
      </c>
      <c r="I8" s="18" t="s">
        <v>431</v>
      </c>
      <c r="J8" s="20" t="s">
        <v>431</v>
      </c>
      <c r="K8" s="18" t="n">
        <v>0</v>
      </c>
      <c r="L8" s="20" t="n">
        <v>0</v>
      </c>
      <c r="M8" s="18" t="n">
        <v>0</v>
      </c>
      <c r="N8" s="20" t="n">
        <v>0</v>
      </c>
      <c r="O8" s="18" t="n">
        <v>0</v>
      </c>
      <c r="P8" s="20" t="n">
        <v>0</v>
      </c>
      <c r="Q8" s="18" t="n">
        <v>0.79668301</v>
      </c>
      <c r="R8" s="20" t="n">
        <v>0.42473947</v>
      </c>
    </row>
    <row r="9" spans="1:18">
      <c r="A9" s="15" t="s">
        <v>433</v>
      </c>
      <c r="B9" s="17" t="n">
        <v>4899</v>
      </c>
      <c r="C9" s="18">
        <f>(4314.0/B9*100)</f>
        <v/>
      </c>
      <c r="D9" s="19" t="n">
        <v>585</v>
      </c>
      <c r="E9" s="18" t="n">
        <v>38.32025865</v>
      </c>
      <c r="F9" s="20" t="n">
        <v>2.26510177</v>
      </c>
      <c r="G9" s="18" t="n">
        <v>59.27394599</v>
      </c>
      <c r="H9" s="20" t="n">
        <v>2.37932737</v>
      </c>
      <c r="I9" s="18" t="s">
        <v>431</v>
      </c>
      <c r="J9" s="20" t="s">
        <v>431</v>
      </c>
      <c r="K9" s="18" t="n">
        <v>0</v>
      </c>
      <c r="L9" s="20" t="n">
        <v>0</v>
      </c>
      <c r="M9" s="18" t="n">
        <v>0</v>
      </c>
      <c r="N9" s="20" t="n">
        <v>0</v>
      </c>
      <c r="O9" s="18" t="n">
        <v>0</v>
      </c>
      <c r="P9" s="20" t="n">
        <v>0</v>
      </c>
      <c r="Q9" s="18" t="n">
        <v>2.40579537</v>
      </c>
      <c r="R9" s="20" t="n">
        <v>0.73910685</v>
      </c>
    </row>
    <row r="10" spans="1:18">
      <c r="A10" s="15" t="s">
        <v>434</v>
      </c>
      <c r="B10" s="17" t="n">
        <v>10036</v>
      </c>
      <c r="C10" s="18">
        <f>(8746.0/B10*100)</f>
        <v/>
      </c>
      <c r="D10" s="19" t="n">
        <v>1290</v>
      </c>
      <c r="E10" s="18" t="n">
        <v>39.00536191</v>
      </c>
      <c r="F10" s="20" t="n">
        <v>1.75450961</v>
      </c>
      <c r="G10" s="18" t="n">
        <v>60.04035899</v>
      </c>
      <c r="H10" s="20" t="n">
        <v>1.70981285</v>
      </c>
      <c r="I10" s="18" t="s">
        <v>431</v>
      </c>
      <c r="J10" s="20" t="s">
        <v>431</v>
      </c>
      <c r="K10" s="18" t="n">
        <v>0.18555421</v>
      </c>
      <c r="L10" s="20" t="n">
        <v>0.171477</v>
      </c>
      <c r="M10" s="18" t="n">
        <v>0</v>
      </c>
      <c r="N10" s="20" t="n">
        <v>0</v>
      </c>
      <c r="O10" s="18" t="n">
        <v>0</v>
      </c>
      <c r="P10" s="20" t="n">
        <v>0</v>
      </c>
      <c r="Q10" s="18" t="n">
        <v>0.7687249</v>
      </c>
      <c r="R10" s="20" t="n">
        <v>0.30991129</v>
      </c>
    </row>
    <row r="11" spans="1:18">
      <c r="A11" s="15" t="s">
        <v>435</v>
      </c>
      <c r="B11" s="17" t="n">
        <v>3553</v>
      </c>
      <c r="C11" s="18">
        <f>(3151.0/B11*100)</f>
        <v/>
      </c>
      <c r="D11" s="19" t="n">
        <v>402</v>
      </c>
      <c r="E11" s="18" t="n">
        <v>45.90628639</v>
      </c>
      <c r="F11" s="20" t="n">
        <v>2.59220936</v>
      </c>
      <c r="G11" s="18" t="n">
        <v>51.66552903</v>
      </c>
      <c r="H11" s="20" t="n">
        <v>2.56777302</v>
      </c>
      <c r="I11" s="18" t="s">
        <v>431</v>
      </c>
      <c r="J11" s="20" t="s">
        <v>431</v>
      </c>
      <c r="K11" s="18" t="n">
        <v>0.32875148</v>
      </c>
      <c r="L11" s="20" t="n">
        <v>0.32882955</v>
      </c>
      <c r="M11" s="18" t="n">
        <v>0</v>
      </c>
      <c r="N11" s="20" t="n">
        <v>0</v>
      </c>
      <c r="O11" s="18" t="n">
        <v>0</v>
      </c>
      <c r="P11" s="20" t="n">
        <v>0</v>
      </c>
      <c r="Q11" s="18" t="n">
        <v>2.09943309</v>
      </c>
      <c r="R11" s="20" t="n">
        <v>0.77762082</v>
      </c>
    </row>
    <row r="12" spans="1:18">
      <c r="A12" s="15" t="s">
        <v>436</v>
      </c>
      <c r="B12" s="17" t="n">
        <v>3472</v>
      </c>
      <c r="C12" s="18">
        <f>(3037.0/B12*100)</f>
        <v/>
      </c>
      <c r="D12" s="19" t="n">
        <v>435</v>
      </c>
      <c r="E12" s="18" t="n">
        <v>51.59709085</v>
      </c>
      <c r="F12" s="20" t="n">
        <v>2.82903975</v>
      </c>
      <c r="G12" s="18" t="n">
        <v>47.34485358</v>
      </c>
      <c r="H12" s="20" t="n">
        <v>2.7334219</v>
      </c>
      <c r="I12" s="18" t="s">
        <v>431</v>
      </c>
      <c r="J12" s="20" t="s">
        <v>431</v>
      </c>
      <c r="K12" s="18" t="n">
        <v>0.20307973</v>
      </c>
      <c r="L12" s="20" t="n">
        <v>0.20004472</v>
      </c>
      <c r="M12" s="18" t="n">
        <v>0</v>
      </c>
      <c r="N12" s="20" t="n">
        <v>0</v>
      </c>
      <c r="O12" s="18" t="n">
        <v>0</v>
      </c>
      <c r="P12" s="20" t="n">
        <v>0</v>
      </c>
      <c r="Q12" s="18" t="n">
        <v>0.85497584</v>
      </c>
      <c r="R12" s="20" t="n">
        <v>0.47182591</v>
      </c>
    </row>
    <row r="13" spans="1:18">
      <c r="A13" s="15" t="s">
        <v>437</v>
      </c>
      <c r="B13" s="17" t="n">
        <v>3559</v>
      </c>
      <c r="C13" s="18">
        <f>(3124.0/B13*100)</f>
        <v/>
      </c>
      <c r="D13" s="19" t="n">
        <v>435</v>
      </c>
      <c r="E13" s="18" t="n">
        <v>49.27843749</v>
      </c>
      <c r="F13" s="20" t="n">
        <v>2.70150961</v>
      </c>
      <c r="G13" s="18" t="n">
        <v>49.57743279</v>
      </c>
      <c r="H13" s="20" t="n">
        <v>2.69822433</v>
      </c>
      <c r="I13" s="18" t="s">
        <v>431</v>
      </c>
      <c r="J13" s="20" t="s">
        <v>431</v>
      </c>
      <c r="K13" s="18" t="n">
        <v>0.29236121</v>
      </c>
      <c r="L13" s="20" t="n">
        <v>0.18486414</v>
      </c>
      <c r="M13" s="18" t="n">
        <v>0</v>
      </c>
      <c r="N13" s="20" t="n">
        <v>0</v>
      </c>
      <c r="O13" s="18" t="n">
        <v>0</v>
      </c>
      <c r="P13" s="20" t="n">
        <v>0</v>
      </c>
      <c r="Q13" s="18" t="n">
        <v>0.85176851</v>
      </c>
      <c r="R13" s="20" t="n">
        <v>0.44982543</v>
      </c>
    </row>
    <row r="14" spans="1:18">
      <c r="A14" s="15" t="s">
        <v>438</v>
      </c>
      <c r="B14" s="17" t="n">
        <v>2799</v>
      </c>
      <c r="C14" s="18">
        <f>(2468.0/B14*100)</f>
        <v/>
      </c>
      <c r="D14" s="19" t="n">
        <v>331</v>
      </c>
      <c r="E14" s="18" t="n">
        <v>34.7484984</v>
      </c>
      <c r="F14" s="20" t="n">
        <v>2.67178583</v>
      </c>
      <c r="G14" s="18" t="n">
        <v>64.79881401999999</v>
      </c>
      <c r="H14" s="20" t="n">
        <v>2.71439822</v>
      </c>
      <c r="I14" s="18" t="s">
        <v>431</v>
      </c>
      <c r="J14" s="20" t="s">
        <v>431</v>
      </c>
      <c r="K14" s="18" t="n">
        <v>0</v>
      </c>
      <c r="L14" s="20" t="n">
        <v>0</v>
      </c>
      <c r="M14" s="18" t="n">
        <v>0</v>
      </c>
      <c r="N14" s="20" t="n">
        <v>0</v>
      </c>
      <c r="O14" s="18" t="n">
        <v>0</v>
      </c>
      <c r="P14" s="20" t="n">
        <v>0</v>
      </c>
      <c r="Q14" s="18" t="n">
        <v>0.45268758</v>
      </c>
      <c r="R14" s="20" t="n">
        <v>0.32932758</v>
      </c>
    </row>
    <row r="15" spans="1:18">
      <c r="A15" s="15" t="s">
        <v>439</v>
      </c>
      <c r="B15" s="17" t="n">
        <v>3019</v>
      </c>
      <c r="C15" s="18">
        <f>(2636.0/B15*100)</f>
        <v/>
      </c>
      <c r="D15" s="19" t="n">
        <v>383</v>
      </c>
      <c r="E15" s="18" t="n">
        <v>41.2643438</v>
      </c>
      <c r="F15" s="20" t="n">
        <v>2.43534383</v>
      </c>
      <c r="G15" s="18" t="n">
        <v>57.92155277</v>
      </c>
      <c r="H15" s="20" t="n">
        <v>2.41370292</v>
      </c>
      <c r="I15" s="18" t="s">
        <v>431</v>
      </c>
      <c r="J15" s="20" t="s">
        <v>431</v>
      </c>
      <c r="K15" s="18" t="n">
        <v>0</v>
      </c>
      <c r="L15" s="20" t="n">
        <v>0</v>
      </c>
      <c r="M15" s="18" t="n">
        <v>0</v>
      </c>
      <c r="N15" s="20" t="n">
        <v>0</v>
      </c>
      <c r="O15" s="18" t="n">
        <v>0</v>
      </c>
      <c r="P15" s="20" t="n">
        <v>0</v>
      </c>
      <c r="Q15" s="18" t="n">
        <v>0.81410343</v>
      </c>
      <c r="R15" s="20" t="n">
        <v>0.46075763</v>
      </c>
    </row>
    <row r="16" spans="1:18">
      <c r="A16" s="15" t="s">
        <v>440</v>
      </c>
      <c r="B16" s="17" t="n">
        <v>2997</v>
      </c>
      <c r="C16" s="18">
        <f>(2645.0/B16*100)</f>
        <v/>
      </c>
      <c r="D16" s="19" t="n">
        <v>352</v>
      </c>
      <c r="E16" s="18" t="n">
        <v>44.35018281</v>
      </c>
      <c r="F16" s="20" t="n">
        <v>2.18806582</v>
      </c>
      <c r="G16" s="18" t="n">
        <v>50.72546472</v>
      </c>
      <c r="H16" s="20" t="n">
        <v>2.3793529</v>
      </c>
      <c r="I16" s="18" t="s">
        <v>431</v>
      </c>
      <c r="J16" s="20" t="s">
        <v>431</v>
      </c>
      <c r="K16" s="18" t="n">
        <v>0.85055178</v>
      </c>
      <c r="L16" s="20" t="n">
        <v>0.52531273</v>
      </c>
      <c r="M16" s="18" t="n">
        <v>0</v>
      </c>
      <c r="N16" s="20" t="n">
        <v>0</v>
      </c>
      <c r="O16" s="18" t="n">
        <v>0</v>
      </c>
      <c r="P16" s="20" t="n">
        <v>0</v>
      </c>
      <c r="Q16" s="18" t="n">
        <v>4.07380069</v>
      </c>
      <c r="R16" s="20" t="n">
        <v>0.81448173</v>
      </c>
    </row>
    <row r="17" spans="1:18">
      <c r="A17" s="15" t="s">
        <v>441</v>
      </c>
      <c r="B17" s="17" t="n">
        <v>3307</v>
      </c>
      <c r="C17" s="18">
        <f>(2906.0/B17*100)</f>
        <v/>
      </c>
      <c r="D17" s="19" t="n">
        <v>401</v>
      </c>
      <c r="E17" s="18" t="n">
        <v>35.90207752</v>
      </c>
      <c r="F17" s="20" t="n">
        <v>2.58608479</v>
      </c>
      <c r="G17" s="18" t="n">
        <v>62.33097509</v>
      </c>
      <c r="H17" s="20" t="n">
        <v>2.70227206</v>
      </c>
      <c r="I17" s="18" t="s">
        <v>431</v>
      </c>
      <c r="J17" s="20" t="s">
        <v>431</v>
      </c>
      <c r="K17" s="18" t="n">
        <v>0</v>
      </c>
      <c r="L17" s="20" t="n">
        <v>0</v>
      </c>
      <c r="M17" s="18" t="n">
        <v>0</v>
      </c>
      <c r="N17" s="20" t="n">
        <v>0</v>
      </c>
      <c r="O17" s="18" t="n">
        <v>0</v>
      </c>
      <c r="P17" s="20" t="n">
        <v>0</v>
      </c>
      <c r="Q17" s="18" t="n">
        <v>1.76694739</v>
      </c>
      <c r="R17" s="20" t="n">
        <v>0.79301159</v>
      </c>
    </row>
    <row r="18" spans="1:18">
      <c r="A18" s="15" t="s">
        <v>442</v>
      </c>
      <c r="B18" s="17" t="n">
        <v>2826</v>
      </c>
      <c r="C18" s="18">
        <f>(2467.0/B18*100)</f>
        <v/>
      </c>
      <c r="D18" s="19" t="n">
        <v>359</v>
      </c>
      <c r="E18" s="18" t="n">
        <v>49.24221809</v>
      </c>
      <c r="F18" s="20" t="n">
        <v>3.123381</v>
      </c>
      <c r="G18" s="18" t="n">
        <v>47.95108371</v>
      </c>
      <c r="H18" s="20" t="n">
        <v>3.05636402</v>
      </c>
      <c r="I18" s="18" t="s">
        <v>431</v>
      </c>
      <c r="J18" s="20" t="s">
        <v>431</v>
      </c>
      <c r="K18" s="18" t="n">
        <v>0</v>
      </c>
      <c r="L18" s="20" t="n">
        <v>0</v>
      </c>
      <c r="M18" s="18" t="n">
        <v>0</v>
      </c>
      <c r="N18" s="20" t="n">
        <v>0</v>
      </c>
      <c r="O18" s="18" t="n">
        <v>0</v>
      </c>
      <c r="P18" s="20" t="n">
        <v>0</v>
      </c>
      <c r="Q18" s="18" t="n">
        <v>2.8066982</v>
      </c>
      <c r="R18" s="20" t="n">
        <v>0.98554034</v>
      </c>
    </row>
    <row r="19" spans="1:18">
      <c r="A19" s="15" t="s">
        <v>443</v>
      </c>
      <c r="B19" s="17" t="n">
        <v>2808</v>
      </c>
      <c r="C19" s="18">
        <f>(2450.0/B19*100)</f>
        <v/>
      </c>
      <c r="D19" s="19" t="n">
        <v>358</v>
      </c>
      <c r="E19" s="18" t="n">
        <v>44.83583488</v>
      </c>
      <c r="F19" s="20" t="n">
        <v>3.13590241</v>
      </c>
      <c r="G19" s="18" t="n">
        <v>52.32668578</v>
      </c>
      <c r="H19" s="20" t="n">
        <v>3.18188249</v>
      </c>
      <c r="I19" s="18" t="s">
        <v>431</v>
      </c>
      <c r="J19" s="20" t="s">
        <v>431</v>
      </c>
      <c r="K19" s="18" t="n">
        <v>0.57372187</v>
      </c>
      <c r="L19" s="20" t="n">
        <v>0.6228832399999999</v>
      </c>
      <c r="M19" s="18" t="n">
        <v>0</v>
      </c>
      <c r="N19" s="20" t="n">
        <v>0</v>
      </c>
      <c r="O19" s="18" t="n">
        <v>0</v>
      </c>
      <c r="P19" s="20" t="n">
        <v>0</v>
      </c>
      <c r="Q19" s="18" t="n">
        <v>2.26375747</v>
      </c>
      <c r="R19" s="20" t="n">
        <v>0.9355905799999999</v>
      </c>
    </row>
    <row r="20" spans="1:18">
      <c r="A20" s="15" t="s">
        <v>444</v>
      </c>
      <c r="B20" s="17" t="n">
        <v>1630</v>
      </c>
      <c r="C20" s="18">
        <f>(1435.0/B20*100)</f>
        <v/>
      </c>
      <c r="D20" s="19" t="n">
        <v>195</v>
      </c>
      <c r="E20" s="18" t="n">
        <v>49.79411133</v>
      </c>
      <c r="F20" s="20" t="n">
        <v>3.44631707</v>
      </c>
      <c r="G20" s="18" t="n">
        <v>46.04638112</v>
      </c>
      <c r="H20" s="20" t="n">
        <v>3.65516453</v>
      </c>
      <c r="I20" s="18" t="s">
        <v>431</v>
      </c>
      <c r="J20" s="20" t="s">
        <v>431</v>
      </c>
      <c r="K20" s="18" t="n">
        <v>0.4975186</v>
      </c>
      <c r="L20" s="20" t="n">
        <v>0.4805999</v>
      </c>
      <c r="M20" s="18" t="n">
        <v>0</v>
      </c>
      <c r="N20" s="20" t="n">
        <v>0</v>
      </c>
      <c r="O20" s="18" t="n">
        <v>0</v>
      </c>
      <c r="P20" s="20" t="n">
        <v>0</v>
      </c>
      <c r="Q20" s="18" t="n">
        <v>3.66198896</v>
      </c>
      <c r="R20" s="20" t="n">
        <v>1.36194052</v>
      </c>
    </row>
    <row r="21" spans="1:18">
      <c r="A21" s="15" t="s">
        <v>445</v>
      </c>
      <c r="B21" s="17" t="n">
        <v>2908</v>
      </c>
      <c r="C21" s="18">
        <f>(2433.0/B21*100)</f>
        <v/>
      </c>
      <c r="D21" s="19" t="n">
        <v>475</v>
      </c>
      <c r="E21" s="18" t="n">
        <v>45.16576424</v>
      </c>
      <c r="F21" s="20" t="n">
        <v>2.53817127</v>
      </c>
      <c r="G21" s="18" t="n">
        <v>52.8196624</v>
      </c>
      <c r="H21" s="20" t="n">
        <v>2.49719919</v>
      </c>
      <c r="I21" s="18" t="s">
        <v>431</v>
      </c>
      <c r="J21" s="20" t="s">
        <v>431</v>
      </c>
      <c r="K21" s="18" t="n">
        <v>0</v>
      </c>
      <c r="L21" s="20" t="n">
        <v>0</v>
      </c>
      <c r="M21" s="18" t="n">
        <v>0</v>
      </c>
      <c r="N21" s="20" t="n">
        <v>0</v>
      </c>
      <c r="O21" s="18" t="n">
        <v>0</v>
      </c>
      <c r="P21" s="20" t="n">
        <v>0</v>
      </c>
      <c r="Q21" s="18" t="n">
        <v>2.01457336</v>
      </c>
      <c r="R21" s="20" t="n">
        <v>0.59368736</v>
      </c>
    </row>
    <row r="22" spans="1:18">
      <c r="A22" s="15" t="s">
        <v>446</v>
      </c>
      <c r="B22" s="17" t="n">
        <v>2931</v>
      </c>
      <c r="C22" s="18">
        <f>(2565.0/B22*100)</f>
        <v/>
      </c>
      <c r="D22" s="19" t="n">
        <v>366</v>
      </c>
      <c r="E22" s="18" t="n">
        <v>50.84714952</v>
      </c>
      <c r="F22" s="20" t="n">
        <v>2.51815662</v>
      </c>
      <c r="G22" s="18" t="n">
        <v>41.61033945</v>
      </c>
      <c r="H22" s="20" t="n">
        <v>2.55452955</v>
      </c>
      <c r="I22" s="18" t="s">
        <v>431</v>
      </c>
      <c r="J22" s="20" t="s">
        <v>431</v>
      </c>
      <c r="K22" s="18" t="n">
        <v>1.77757785</v>
      </c>
      <c r="L22" s="20" t="n">
        <v>0.75056603</v>
      </c>
      <c r="M22" s="18" t="n">
        <v>0</v>
      </c>
      <c r="N22" s="20" t="n">
        <v>0</v>
      </c>
      <c r="O22" s="18" t="n">
        <v>0</v>
      </c>
      <c r="P22" s="20" t="n">
        <v>0</v>
      </c>
      <c r="Q22" s="18" t="n">
        <v>5.76493318</v>
      </c>
      <c r="R22" s="20" t="n">
        <v>1.49255138</v>
      </c>
    </row>
    <row r="23" spans="1:18">
      <c r="A23" s="15" t="s">
        <v>447</v>
      </c>
      <c r="B23" s="17" t="n">
        <v>5791</v>
      </c>
      <c r="C23" s="18">
        <f>(5066.0/B23*100)</f>
        <v/>
      </c>
      <c r="D23" s="19" t="n">
        <v>725</v>
      </c>
      <c r="E23" s="18" t="n">
        <v>45.3744112</v>
      </c>
      <c r="F23" s="20" t="n">
        <v>2.82314248</v>
      </c>
      <c r="G23" s="18" t="n">
        <v>51.9000176</v>
      </c>
      <c r="H23" s="20" t="n">
        <v>2.80883733</v>
      </c>
      <c r="I23" s="18" t="s">
        <v>431</v>
      </c>
      <c r="J23" s="20" t="s">
        <v>431</v>
      </c>
      <c r="K23" s="18" t="n">
        <v>0.13265926</v>
      </c>
      <c r="L23" s="20" t="n">
        <v>0.13803766</v>
      </c>
      <c r="M23" s="18" t="n">
        <v>0</v>
      </c>
      <c r="N23" s="20" t="n">
        <v>0</v>
      </c>
      <c r="O23" s="18" t="n">
        <v>0</v>
      </c>
      <c r="P23" s="20" t="n">
        <v>0</v>
      </c>
      <c r="Q23" s="18" t="n">
        <v>2.59291194</v>
      </c>
      <c r="R23" s="20" t="n">
        <v>0.8935685</v>
      </c>
    </row>
    <row r="24" spans="1:18">
      <c r="A24" s="15" t="s">
        <v>448</v>
      </c>
      <c r="B24" s="17" t="n">
        <v>3338</v>
      </c>
      <c r="C24" s="18">
        <f>(2938.0/B24*100)</f>
        <v/>
      </c>
      <c r="D24" s="19" t="n">
        <v>400</v>
      </c>
      <c r="E24" s="18" t="n">
        <v>37.83841614</v>
      </c>
      <c r="F24" s="20" t="n">
        <v>2.94604086</v>
      </c>
      <c r="G24" s="18" t="n">
        <v>60.40897283</v>
      </c>
      <c r="H24" s="20" t="n">
        <v>2.82660685</v>
      </c>
      <c r="I24" s="18" t="s">
        <v>431</v>
      </c>
      <c r="J24" s="20" t="s">
        <v>431</v>
      </c>
      <c r="K24" s="18" t="n">
        <v>0</v>
      </c>
      <c r="L24" s="20" t="n">
        <v>0</v>
      </c>
      <c r="M24" s="18" t="n">
        <v>0</v>
      </c>
      <c r="N24" s="20" t="n">
        <v>0</v>
      </c>
      <c r="O24" s="18" t="n">
        <v>0</v>
      </c>
      <c r="P24" s="20" t="n">
        <v>0</v>
      </c>
      <c r="Q24" s="18" t="n">
        <v>1.75261102</v>
      </c>
      <c r="R24" s="20" t="n">
        <v>0.66494475</v>
      </c>
    </row>
    <row r="25" spans="1:18">
      <c r="A25" s="15" t="s">
        <v>449</v>
      </c>
      <c r="B25" s="17" t="n">
        <v>2912</v>
      </c>
      <c r="C25" s="18">
        <f>(2540.0/B25*100)</f>
        <v/>
      </c>
      <c r="D25" s="19" t="n">
        <v>372</v>
      </c>
      <c r="E25" s="18" t="n">
        <v>36.27224378</v>
      </c>
      <c r="F25" s="20" t="n">
        <v>2.28137812</v>
      </c>
      <c r="G25" s="18" t="n">
        <v>63.17754586</v>
      </c>
      <c r="H25" s="20" t="n">
        <v>2.28760864</v>
      </c>
      <c r="I25" s="18" t="s">
        <v>431</v>
      </c>
      <c r="J25" s="20" t="s">
        <v>431</v>
      </c>
      <c r="K25" s="18" t="n">
        <v>0</v>
      </c>
      <c r="L25" s="20" t="n">
        <v>0</v>
      </c>
      <c r="M25" s="18" t="n">
        <v>0</v>
      </c>
      <c r="N25" s="20" t="n">
        <v>0</v>
      </c>
      <c r="O25" s="18" t="n">
        <v>0</v>
      </c>
      <c r="P25" s="20" t="n">
        <v>0</v>
      </c>
      <c r="Q25" s="18" t="n">
        <v>0.55021036</v>
      </c>
      <c r="R25" s="20" t="n">
        <v>0.39110448</v>
      </c>
    </row>
    <row r="26" spans="1:18">
      <c r="A26" s="15" t="s">
        <v>450</v>
      </c>
      <c r="B26" s="17" t="n">
        <v>2450</v>
      </c>
      <c r="C26" s="18">
        <f>(2136.0/B26*100)</f>
        <v/>
      </c>
      <c r="D26" s="19" t="n">
        <v>314</v>
      </c>
      <c r="E26" s="18" t="n">
        <v>59.04291817</v>
      </c>
      <c r="F26" s="20" t="n">
        <v>3.10683965</v>
      </c>
      <c r="G26" s="18" t="n">
        <v>40.36744991</v>
      </c>
      <c r="H26" s="20" t="n">
        <v>3.13478886</v>
      </c>
      <c r="I26" s="18" t="s">
        <v>431</v>
      </c>
      <c r="J26" s="20" t="s">
        <v>431</v>
      </c>
      <c r="K26" s="18" t="n">
        <v>0</v>
      </c>
      <c r="L26" s="20" t="n">
        <v>0</v>
      </c>
      <c r="M26" s="18" t="n">
        <v>0</v>
      </c>
      <c r="N26" s="20" t="n">
        <v>0</v>
      </c>
      <c r="O26" s="18" t="n">
        <v>0</v>
      </c>
      <c r="P26" s="20" t="n">
        <v>0</v>
      </c>
      <c r="Q26" s="18" t="n">
        <v>0.58963192</v>
      </c>
      <c r="R26" s="20" t="n">
        <v>0.42025164</v>
      </c>
    </row>
    <row r="27" spans="1:18">
      <c r="A27" s="15" t="s">
        <v>451</v>
      </c>
      <c r="B27" s="17" t="n">
        <v>2616</v>
      </c>
      <c r="C27" s="18">
        <f>(2287.0/B27*100)</f>
        <v/>
      </c>
      <c r="D27" s="19" t="n">
        <v>329</v>
      </c>
      <c r="E27" s="18" t="n">
        <v>46.76325104</v>
      </c>
      <c r="F27" s="20" t="n">
        <v>2.4818966</v>
      </c>
      <c r="G27" s="18" t="n">
        <v>52.01464484</v>
      </c>
      <c r="H27" s="20" t="n">
        <v>2.3563946</v>
      </c>
      <c r="I27" s="18" t="s">
        <v>431</v>
      </c>
      <c r="J27" s="20" t="s">
        <v>431</v>
      </c>
      <c r="K27" s="18" t="n">
        <v>0.30588301</v>
      </c>
      <c r="L27" s="20" t="n">
        <v>0.30723096</v>
      </c>
      <c r="M27" s="18" t="n">
        <v>0</v>
      </c>
      <c r="N27" s="20" t="n">
        <v>0</v>
      </c>
      <c r="O27" s="18" t="n">
        <v>0</v>
      </c>
      <c r="P27" s="20" t="n">
        <v>0</v>
      </c>
      <c r="Q27" s="18" t="n">
        <v>0.9162211</v>
      </c>
      <c r="R27" s="20" t="n">
        <v>0.52934926</v>
      </c>
    </row>
    <row r="28" spans="1:18">
      <c r="A28" s="15" t="s">
        <v>452</v>
      </c>
      <c r="B28" s="17" t="n">
        <v>3765</v>
      </c>
      <c r="C28" s="18">
        <f>(3299.0/B28*100)</f>
        <v/>
      </c>
      <c r="D28" s="19" t="n">
        <v>466</v>
      </c>
      <c r="E28" s="18" t="n">
        <v>59.37428164</v>
      </c>
      <c r="F28" s="20" t="n">
        <v>2.80477128</v>
      </c>
      <c r="G28" s="18" t="n">
        <v>38.60579601</v>
      </c>
      <c r="H28" s="20" t="n">
        <v>2.80971802</v>
      </c>
      <c r="I28" s="18" t="s">
        <v>431</v>
      </c>
      <c r="J28" s="20" t="s">
        <v>431</v>
      </c>
      <c r="K28" s="18" t="n">
        <v>0</v>
      </c>
      <c r="L28" s="20" t="n">
        <v>0</v>
      </c>
      <c r="M28" s="18" t="n">
        <v>0</v>
      </c>
      <c r="N28" s="20" t="n">
        <v>0</v>
      </c>
      <c r="O28" s="18" t="n">
        <v>0</v>
      </c>
      <c r="P28" s="20" t="n">
        <v>0</v>
      </c>
      <c r="Q28" s="18" t="n">
        <v>2.01992235</v>
      </c>
      <c r="R28" s="20" t="n">
        <v>0.67230225</v>
      </c>
    </row>
    <row r="29" spans="1:18">
      <c r="A29" s="15" t="s">
        <v>453</v>
      </c>
      <c r="B29" s="17" t="n">
        <v>2685</v>
      </c>
      <c r="C29" s="18">
        <f>(2369.0/B29*100)</f>
        <v/>
      </c>
      <c r="D29" s="19" t="n">
        <v>316</v>
      </c>
      <c r="E29" s="18" t="n">
        <v>31.71095208</v>
      </c>
      <c r="F29" s="20" t="n">
        <v>2.61303365</v>
      </c>
      <c r="G29" s="18" t="n">
        <v>68.28904792</v>
      </c>
      <c r="H29" s="20" t="n">
        <v>2.61303365</v>
      </c>
      <c r="I29" s="18" t="s">
        <v>431</v>
      </c>
      <c r="J29" s="20" t="s">
        <v>431</v>
      </c>
      <c r="K29" s="18" t="n">
        <v>0</v>
      </c>
      <c r="L29" s="20" t="n">
        <v>0</v>
      </c>
      <c r="M29" s="18" t="n">
        <v>0</v>
      </c>
      <c r="N29" s="20" t="n">
        <v>0</v>
      </c>
      <c r="O29" s="18" t="n">
        <v>0</v>
      </c>
      <c r="P29" s="20" t="n">
        <v>0</v>
      </c>
      <c r="Q29" s="18" t="n">
        <v>0</v>
      </c>
      <c r="R29" s="20" t="n">
        <v>0</v>
      </c>
    </row>
    <row r="30" spans="1:18">
      <c r="A30" s="15" t="s">
        <v>454</v>
      </c>
      <c r="B30" s="17" t="n">
        <v>2263</v>
      </c>
      <c r="C30" s="18">
        <f>(1985.0/B30*100)</f>
        <v/>
      </c>
      <c r="D30" s="19" t="n">
        <v>278</v>
      </c>
      <c r="E30" s="18" t="n">
        <v>47.16614822</v>
      </c>
      <c r="F30" s="20" t="n">
        <v>2.87366906</v>
      </c>
      <c r="G30" s="18" t="n">
        <v>50.06593234</v>
      </c>
      <c r="H30" s="20" t="n">
        <v>3.02735833</v>
      </c>
      <c r="I30" s="18" t="s">
        <v>431</v>
      </c>
      <c r="J30" s="20" t="s">
        <v>431</v>
      </c>
      <c r="K30" s="18" t="n">
        <v>0.32068872</v>
      </c>
      <c r="L30" s="20" t="n">
        <v>0.32717613</v>
      </c>
      <c r="M30" s="18" t="n">
        <v>0</v>
      </c>
      <c r="N30" s="20" t="n">
        <v>0</v>
      </c>
      <c r="O30" s="18" t="n">
        <v>0</v>
      </c>
      <c r="P30" s="20" t="n">
        <v>0</v>
      </c>
      <c r="Q30" s="18" t="n">
        <v>2.44723072</v>
      </c>
      <c r="R30" s="20" t="n">
        <v>1.07395555</v>
      </c>
    </row>
    <row r="31" spans="1:18">
      <c r="A31" s="15" t="s">
        <v>455</v>
      </c>
      <c r="B31" s="17" t="n">
        <v>2750</v>
      </c>
      <c r="C31" s="18">
        <f>(2413.0/B31*100)</f>
        <v/>
      </c>
      <c r="D31" s="19" t="n">
        <v>337</v>
      </c>
      <c r="E31" s="18" t="n">
        <v>48.00860301</v>
      </c>
      <c r="F31" s="20" t="n">
        <v>2.49771532</v>
      </c>
      <c r="G31" s="18" t="n">
        <v>49.8915206</v>
      </c>
      <c r="H31" s="20" t="n">
        <v>2.57498603</v>
      </c>
      <c r="I31" s="18" t="s">
        <v>431</v>
      </c>
      <c r="J31" s="20" t="s">
        <v>431</v>
      </c>
      <c r="K31" s="18" t="n">
        <v>0.37724642</v>
      </c>
      <c r="L31" s="20" t="n">
        <v>0.28227061</v>
      </c>
      <c r="M31" s="18" t="n">
        <v>0</v>
      </c>
      <c r="N31" s="20" t="n">
        <v>0</v>
      </c>
      <c r="O31" s="18" t="n">
        <v>0</v>
      </c>
      <c r="P31" s="20" t="n">
        <v>0</v>
      </c>
      <c r="Q31" s="18" t="n">
        <v>1.72262997</v>
      </c>
      <c r="R31" s="20" t="n">
        <v>0.72523648</v>
      </c>
    </row>
    <row r="32" spans="1:18">
      <c r="A32" s="15" t="s">
        <v>456</v>
      </c>
      <c r="B32" s="17" t="n">
        <v>2269</v>
      </c>
      <c r="C32" s="18">
        <f>(1896.0/B32*100)</f>
        <v/>
      </c>
      <c r="D32" s="19" t="n">
        <v>373</v>
      </c>
      <c r="E32" s="18" t="n">
        <v>48.03963981</v>
      </c>
      <c r="F32" s="20" t="n">
        <v>2.75558182</v>
      </c>
      <c r="G32" s="18" t="n">
        <v>51.48286988</v>
      </c>
      <c r="H32" s="20" t="n">
        <v>2.73945017</v>
      </c>
      <c r="I32" s="18" t="s">
        <v>431</v>
      </c>
      <c r="J32" s="20" t="s">
        <v>431</v>
      </c>
      <c r="K32" s="18" t="n">
        <v>0</v>
      </c>
      <c r="L32" s="20" t="n">
        <v>0</v>
      </c>
      <c r="M32" s="18" t="n">
        <v>0</v>
      </c>
      <c r="N32" s="20" t="n">
        <v>0</v>
      </c>
      <c r="O32" s="18" t="n">
        <v>0</v>
      </c>
      <c r="P32" s="20" t="n">
        <v>0</v>
      </c>
      <c r="Q32" s="18" t="n">
        <v>0.47749031</v>
      </c>
      <c r="R32" s="20" t="n">
        <v>0.3345166</v>
      </c>
    </row>
    <row r="33" spans="1:18">
      <c r="A33" s="15" t="s">
        <v>457</v>
      </c>
      <c r="B33" s="17" t="n">
        <v>3674</v>
      </c>
      <c r="C33" s="18">
        <f>(3223.0/B33*100)</f>
        <v/>
      </c>
      <c r="D33" s="19" t="n">
        <v>451</v>
      </c>
      <c r="E33" s="18" t="n">
        <v>45.3805933</v>
      </c>
      <c r="F33" s="20" t="n">
        <v>3.02182194</v>
      </c>
      <c r="G33" s="18" t="n">
        <v>54.238349</v>
      </c>
      <c r="H33" s="20" t="n">
        <v>2.92997723</v>
      </c>
      <c r="I33" s="18" t="s">
        <v>431</v>
      </c>
      <c r="J33" s="20" t="s">
        <v>431</v>
      </c>
      <c r="K33" s="18" t="n">
        <v>0</v>
      </c>
      <c r="L33" s="20" t="n">
        <v>0</v>
      </c>
      <c r="M33" s="18" t="n">
        <v>0</v>
      </c>
      <c r="N33" s="20" t="n">
        <v>0</v>
      </c>
      <c r="O33" s="18" t="n">
        <v>0</v>
      </c>
      <c r="P33" s="20" t="n">
        <v>0</v>
      </c>
      <c r="Q33" s="18" t="n">
        <v>0.3810577</v>
      </c>
      <c r="R33" s="20" t="n">
        <v>0.55676229</v>
      </c>
    </row>
    <row r="34" spans="1:18">
      <c r="A34" s="15" t="s">
        <v>458</v>
      </c>
      <c r="B34" s="17" t="n">
        <v>3315</v>
      </c>
      <c r="C34" s="18">
        <f>(2932.0/B34*100)</f>
        <v/>
      </c>
      <c r="D34" s="19" t="n">
        <v>383</v>
      </c>
      <c r="E34" s="18" t="n">
        <v>51.65268258</v>
      </c>
      <c r="F34" s="20" t="n">
        <v>2.56576807</v>
      </c>
      <c r="G34" s="18" t="n">
        <v>46.92819725</v>
      </c>
      <c r="H34" s="20" t="n">
        <v>2.57035908</v>
      </c>
      <c r="I34" s="18" t="s">
        <v>431</v>
      </c>
      <c r="J34" s="20" t="s">
        <v>431</v>
      </c>
      <c r="K34" s="18" t="n">
        <v>0.08496666</v>
      </c>
      <c r="L34" s="20" t="n">
        <v>0.08557587</v>
      </c>
      <c r="M34" s="18" t="n">
        <v>0</v>
      </c>
      <c r="N34" s="20" t="n">
        <v>0</v>
      </c>
      <c r="O34" s="18" t="n">
        <v>0</v>
      </c>
      <c r="P34" s="20" t="n">
        <v>0</v>
      </c>
      <c r="Q34" s="18" t="n">
        <v>1.33415351</v>
      </c>
      <c r="R34" s="20" t="n">
        <v>0.63286047</v>
      </c>
    </row>
    <row r="35" spans="1:18">
      <c r="A35" s="15" t="s">
        <v>459</v>
      </c>
      <c r="B35" s="17" t="n">
        <v>3505</v>
      </c>
      <c r="C35" s="18">
        <f>(3097.0/B35*100)</f>
        <v/>
      </c>
      <c r="D35" s="19" t="n">
        <v>408</v>
      </c>
      <c r="E35" s="18" t="n">
        <v>46.65378094</v>
      </c>
      <c r="F35" s="20" t="n">
        <v>3.04443819</v>
      </c>
      <c r="G35" s="18" t="n">
        <v>52.28789181</v>
      </c>
      <c r="H35" s="20" t="n">
        <v>3.06394281</v>
      </c>
      <c r="I35" s="18" t="s">
        <v>431</v>
      </c>
      <c r="J35" s="20" t="s">
        <v>431</v>
      </c>
      <c r="K35" s="18" t="n">
        <v>0</v>
      </c>
      <c r="L35" s="20" t="n">
        <v>0</v>
      </c>
      <c r="M35" s="18" t="n">
        <v>0</v>
      </c>
      <c r="N35" s="20" t="n">
        <v>0</v>
      </c>
      <c r="O35" s="18" t="n">
        <v>0</v>
      </c>
      <c r="P35" s="20" t="n">
        <v>0</v>
      </c>
      <c r="Q35" s="18" t="n">
        <v>1.05832724</v>
      </c>
      <c r="R35" s="20" t="n">
        <v>0.36433703</v>
      </c>
    </row>
    <row r="36" spans="1:18">
      <c r="A36" s="15" t="s">
        <v>460</v>
      </c>
      <c r="B36" s="17" t="n">
        <v>3332</v>
      </c>
      <c r="C36" s="18">
        <f>(2916.0/B36*100)</f>
        <v/>
      </c>
      <c r="D36" s="19" t="n">
        <v>416</v>
      </c>
      <c r="E36" s="18" t="n">
        <v>38.15768538</v>
      </c>
      <c r="F36" s="20" t="n">
        <v>2.80185244</v>
      </c>
      <c r="G36" s="18" t="n">
        <v>59.35186127</v>
      </c>
      <c r="H36" s="20" t="n">
        <v>2.77399339</v>
      </c>
      <c r="I36" s="18" t="s">
        <v>431</v>
      </c>
      <c r="J36" s="20" t="s">
        <v>431</v>
      </c>
      <c r="K36" s="18" t="n">
        <v>0.78078476</v>
      </c>
      <c r="L36" s="20" t="n">
        <v>0.37945946</v>
      </c>
      <c r="M36" s="18" t="n">
        <v>0</v>
      </c>
      <c r="N36" s="20" t="n">
        <v>0</v>
      </c>
      <c r="O36" s="18" t="n">
        <v>0</v>
      </c>
      <c r="P36" s="20" t="n">
        <v>0</v>
      </c>
      <c r="Q36" s="18" t="n">
        <v>1.70966858</v>
      </c>
      <c r="R36" s="20" t="n">
        <v>0.79851867</v>
      </c>
    </row>
    <row r="37" spans="1:18">
      <c r="A37" s="15" t="s">
        <v>461</v>
      </c>
      <c r="B37" s="17" t="n">
        <v>2727</v>
      </c>
      <c r="C37" s="18">
        <f>(2386.0/B37*100)</f>
        <v/>
      </c>
      <c r="D37" s="19" t="n">
        <v>341</v>
      </c>
      <c r="E37" s="18" t="n">
        <v>51.96604628</v>
      </c>
      <c r="F37" s="20" t="n">
        <v>2.86982173</v>
      </c>
      <c r="G37" s="18" t="n">
        <v>44.95551931</v>
      </c>
      <c r="H37" s="20" t="n">
        <v>2.81884702</v>
      </c>
      <c r="I37" s="18" t="s">
        <v>431</v>
      </c>
      <c r="J37" s="20" t="s">
        <v>431</v>
      </c>
      <c r="K37" s="18" t="n">
        <v>0.22223585</v>
      </c>
      <c r="L37" s="20" t="n">
        <v>0.22267032</v>
      </c>
      <c r="M37" s="18" t="n">
        <v>0</v>
      </c>
      <c r="N37" s="20" t="n">
        <v>0</v>
      </c>
      <c r="O37" s="18" t="n">
        <v>0</v>
      </c>
      <c r="P37" s="20" t="n">
        <v>0</v>
      </c>
      <c r="Q37" s="18" t="n">
        <v>2.85619856</v>
      </c>
      <c r="R37" s="20" t="n">
        <v>1.09130053</v>
      </c>
    </row>
    <row r="38" spans="1:18">
      <c r="A38" s="15" t="s">
        <v>462</v>
      </c>
      <c r="B38" s="17" t="n">
        <v>3053</v>
      </c>
      <c r="C38" s="18">
        <f>(2534.0/B38*100)</f>
        <v/>
      </c>
      <c r="D38" s="19" t="n">
        <v>519</v>
      </c>
      <c r="E38" s="18" t="n">
        <v>40.15006902</v>
      </c>
      <c r="F38" s="20" t="n">
        <v>2.63347454</v>
      </c>
      <c r="G38" s="18" t="n">
        <v>56.26149242</v>
      </c>
      <c r="H38" s="20" t="n">
        <v>2.58996789</v>
      </c>
      <c r="I38" s="18" t="s">
        <v>431</v>
      </c>
      <c r="J38" s="20" t="s">
        <v>431</v>
      </c>
      <c r="K38" s="18" t="n">
        <v>0.8696214799999999</v>
      </c>
      <c r="L38" s="20" t="n">
        <v>0.57224751</v>
      </c>
      <c r="M38" s="18" t="n">
        <v>0</v>
      </c>
      <c r="N38" s="20" t="n">
        <v>0</v>
      </c>
      <c r="O38" s="18" t="n">
        <v>0</v>
      </c>
      <c r="P38" s="20" t="n">
        <v>0</v>
      </c>
      <c r="Q38" s="18" t="n">
        <v>2.71881708</v>
      </c>
      <c r="R38" s="20" t="n">
        <v>0.67063054</v>
      </c>
    </row>
    <row r="39" spans="1:18">
      <c r="A39" s="15" t="s">
        <v>463</v>
      </c>
      <c r="B39" s="17" t="n">
        <v>2957</v>
      </c>
      <c r="C39" s="18">
        <f>(2594.0/B39*100)</f>
        <v/>
      </c>
      <c r="D39" s="19" t="n">
        <v>363</v>
      </c>
      <c r="E39" s="18" t="n">
        <v>58.52495935</v>
      </c>
      <c r="F39" s="20" t="n">
        <v>2.7874026</v>
      </c>
      <c r="G39" s="18" t="n">
        <v>38.13292423</v>
      </c>
      <c r="H39" s="20" t="n">
        <v>2.78657566</v>
      </c>
      <c r="I39" s="18" t="s">
        <v>431</v>
      </c>
      <c r="J39" s="20" t="s">
        <v>431</v>
      </c>
      <c r="K39" s="18" t="n">
        <v>0</v>
      </c>
      <c r="L39" s="20" t="n">
        <v>0</v>
      </c>
      <c r="M39" s="18" t="n">
        <v>0</v>
      </c>
      <c r="N39" s="20" t="n">
        <v>0</v>
      </c>
      <c r="O39" s="18" t="n">
        <v>0</v>
      </c>
      <c r="P39" s="20" t="n">
        <v>0</v>
      </c>
      <c r="Q39" s="18" t="n">
        <v>3.34211642</v>
      </c>
      <c r="R39" s="20" t="n">
        <v>1.06618476</v>
      </c>
    </row>
    <row r="40" spans="1:18">
      <c r="A40" s="15" t="s">
        <v>464</v>
      </c>
      <c r="B40" s="17" t="n">
        <v>7235</v>
      </c>
      <c r="C40" s="18">
        <f>(6376.0/B40*100)</f>
        <v/>
      </c>
      <c r="D40" s="19" t="n">
        <v>859</v>
      </c>
      <c r="E40" s="18" t="n">
        <v>46.6569498</v>
      </c>
      <c r="F40" s="20" t="n">
        <v>2.70197619</v>
      </c>
      <c r="G40" s="18" t="n">
        <v>50.32741221</v>
      </c>
      <c r="H40" s="20" t="n">
        <v>2.61742925</v>
      </c>
      <c r="I40" s="18" t="s">
        <v>431</v>
      </c>
      <c r="J40" s="20" t="s">
        <v>431</v>
      </c>
      <c r="K40" s="18" t="n">
        <v>0.69334577</v>
      </c>
      <c r="L40" s="20" t="n">
        <v>0.49275849</v>
      </c>
      <c r="M40" s="18" t="n">
        <v>0</v>
      </c>
      <c r="N40" s="20" t="n">
        <v>0</v>
      </c>
      <c r="O40" s="18" t="n">
        <v>0</v>
      </c>
      <c r="P40" s="20" t="n">
        <v>0</v>
      </c>
      <c r="Q40" s="18" t="n">
        <v>2.32229222</v>
      </c>
      <c r="R40" s="20" t="n">
        <v>0.93785202</v>
      </c>
    </row>
    <row r="41" spans="1:18">
      <c r="A41" s="15" t="s">
        <v>465</v>
      </c>
      <c r="B41" s="17" t="n">
        <v>2858</v>
      </c>
      <c r="C41" s="18">
        <f>(2509.0/B41*100)</f>
        <v/>
      </c>
      <c r="D41" s="19" t="n">
        <v>349</v>
      </c>
      <c r="E41" s="18" t="n">
        <v>45.39795043</v>
      </c>
      <c r="F41" s="20" t="n">
        <v>2.93894014</v>
      </c>
      <c r="G41" s="18" t="n">
        <v>54.32155664</v>
      </c>
      <c r="H41" s="20" t="n">
        <v>2.96097532</v>
      </c>
      <c r="I41" s="18" t="s">
        <v>431</v>
      </c>
      <c r="J41" s="20" t="s">
        <v>431</v>
      </c>
      <c r="K41" s="18" t="n">
        <v>0</v>
      </c>
      <c r="L41" s="20" t="n">
        <v>0</v>
      </c>
      <c r="M41" s="18" t="n">
        <v>0</v>
      </c>
      <c r="N41" s="20" t="n">
        <v>0</v>
      </c>
      <c r="O41" s="18" t="n">
        <v>0</v>
      </c>
      <c r="P41" s="20" t="n">
        <v>0</v>
      </c>
      <c r="Q41" s="18" t="n">
        <v>0.28049293</v>
      </c>
      <c r="R41" s="20" t="n">
        <v>0.2517291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(9795.0/B46*100)</f>
        <v/>
      </c>
      <c r="D46" s="19" t="n">
        <v>1273</v>
      </c>
      <c r="E46" s="18" t="n">
        <v>57.15474261</v>
      </c>
      <c r="F46" s="20" t="n">
        <v>1.61930829</v>
      </c>
      <c r="G46" s="18" t="n">
        <v>40.19043674</v>
      </c>
      <c r="H46" s="20" t="n">
        <v>1.67868188</v>
      </c>
      <c r="I46" s="18" t="s">
        <v>431</v>
      </c>
      <c r="J46" s="20" t="s">
        <v>431</v>
      </c>
      <c r="K46" s="18" t="n">
        <v>0.33772143</v>
      </c>
      <c r="L46" s="20" t="n">
        <v>0.17430477</v>
      </c>
      <c r="M46" s="18" t="n">
        <v>0</v>
      </c>
      <c r="N46" s="20" t="n">
        <v>0</v>
      </c>
      <c r="O46" s="18" t="n">
        <v>0</v>
      </c>
      <c r="P46" s="20" t="n">
        <v>0</v>
      </c>
      <c r="Q46" s="18" t="n">
        <v>2.31709923</v>
      </c>
      <c r="R46" s="20" t="n">
        <v>0.51108259</v>
      </c>
    </row>
    <row r="47" spans="1:18">
      <c r="A47" s="15" t="s">
        <v>471</v>
      </c>
      <c r="B47" s="17" t="n">
        <v>3105</v>
      </c>
      <c r="C47" s="18">
        <f>(2756.0/B47*100)</f>
        <v/>
      </c>
      <c r="D47" s="19" t="n">
        <v>349</v>
      </c>
      <c r="E47" s="18" t="n">
        <v>55.23846477</v>
      </c>
      <c r="F47" s="20" t="n">
        <v>2.2658324</v>
      </c>
      <c r="G47" s="18" t="n">
        <v>43.57016757</v>
      </c>
      <c r="H47" s="20" t="n">
        <v>2.39327421</v>
      </c>
      <c r="I47" s="18" t="s">
        <v>431</v>
      </c>
      <c r="J47" s="20" t="s">
        <v>431</v>
      </c>
      <c r="K47" s="18" t="n">
        <v>0</v>
      </c>
      <c r="L47" s="20" t="n">
        <v>0</v>
      </c>
      <c r="M47" s="18" t="n">
        <v>0</v>
      </c>
      <c r="N47" s="20" t="n">
        <v>0</v>
      </c>
      <c r="O47" s="18" t="n">
        <v>0</v>
      </c>
      <c r="P47" s="20" t="n">
        <v>0</v>
      </c>
      <c r="Q47" s="18" t="n">
        <v>1.19136765</v>
      </c>
      <c r="R47" s="20" t="n">
        <v>0.5301586</v>
      </c>
    </row>
    <row r="48" spans="1:18">
      <c r="A48" s="15" t="s">
        <v>472</v>
      </c>
      <c r="B48" s="17" t="n">
        <v>5159</v>
      </c>
      <c r="C48" s="18">
        <f>(4522.0/B48*100)</f>
        <v/>
      </c>
      <c r="D48" s="19" t="n">
        <v>637</v>
      </c>
      <c r="E48" s="18" t="n">
        <v>38.85724621</v>
      </c>
      <c r="F48" s="20" t="n">
        <v>2.60007318</v>
      </c>
      <c r="G48" s="18" t="n">
        <v>58.78031996</v>
      </c>
      <c r="H48" s="20" t="n">
        <v>2.73897454</v>
      </c>
      <c r="I48" s="18" t="s">
        <v>431</v>
      </c>
      <c r="J48" s="20" t="s">
        <v>431</v>
      </c>
      <c r="K48" s="18" t="n">
        <v>0.09782762</v>
      </c>
      <c r="L48" s="20" t="n">
        <v>0.06944174</v>
      </c>
      <c r="M48" s="18" t="n">
        <v>0</v>
      </c>
      <c r="N48" s="20" t="n">
        <v>0</v>
      </c>
      <c r="O48" s="18" t="n">
        <v>0</v>
      </c>
      <c r="P48" s="20" t="n">
        <v>0</v>
      </c>
      <c r="Q48" s="18" t="n">
        <v>2.26460621</v>
      </c>
      <c r="R48" s="20" t="n">
        <v>0.62474386</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(4967.0/B50*100)</f>
        <v/>
      </c>
      <c r="D50" s="19" t="n">
        <v>670</v>
      </c>
      <c r="E50" s="18" t="n">
        <v>53.95638173</v>
      </c>
      <c r="F50" s="20" t="n">
        <v>3.20390892</v>
      </c>
      <c r="G50" s="18" t="n">
        <v>43.4796658</v>
      </c>
      <c r="H50" s="20" t="n">
        <v>2.85020478</v>
      </c>
      <c r="I50" s="18" t="s">
        <v>431</v>
      </c>
      <c r="J50" s="20" t="s">
        <v>431</v>
      </c>
      <c r="K50" s="18" t="n">
        <v>0.17580448</v>
      </c>
      <c r="L50" s="20" t="n">
        <v>0.17467057</v>
      </c>
      <c r="M50" s="18" t="n">
        <v>0</v>
      </c>
      <c r="N50" s="20" t="n">
        <v>0</v>
      </c>
      <c r="O50" s="18" t="n">
        <v>0</v>
      </c>
      <c r="P50" s="20" t="n">
        <v>0</v>
      </c>
      <c r="Q50" s="18" t="n">
        <v>2.38814799</v>
      </c>
      <c r="R50" s="20" t="n">
        <v>1.01015733</v>
      </c>
    </row>
    <row r="51" spans="1:18">
      <c r="A51" s="15" t="s">
        <v>475</v>
      </c>
      <c r="B51" s="17" t="n">
        <v>3372</v>
      </c>
      <c r="C51" s="18">
        <f>(3011.0/B51*100)</f>
        <v/>
      </c>
      <c r="D51" s="19" t="n">
        <v>361</v>
      </c>
      <c r="E51" s="18" t="n">
        <v>58.70405647</v>
      </c>
      <c r="F51" s="20" t="n">
        <v>2.80407813</v>
      </c>
      <c r="G51" s="18" t="n">
        <v>36.92377251</v>
      </c>
      <c r="H51" s="20" t="n">
        <v>2.92621672</v>
      </c>
      <c r="I51" s="18" t="s">
        <v>431</v>
      </c>
      <c r="J51" s="20" t="s">
        <v>431</v>
      </c>
      <c r="K51" s="18" t="n">
        <v>0.8519343</v>
      </c>
      <c r="L51" s="20" t="n">
        <v>0.56980221</v>
      </c>
      <c r="M51" s="18" t="n">
        <v>0</v>
      </c>
      <c r="N51" s="20" t="n">
        <v>0</v>
      </c>
      <c r="O51" s="18" t="n">
        <v>0</v>
      </c>
      <c r="P51" s="20" t="n">
        <v>0</v>
      </c>
      <c r="Q51" s="18" t="n">
        <v>3.52023672</v>
      </c>
      <c r="R51" s="20" t="n">
        <v>1.18697845</v>
      </c>
    </row>
    <row r="52" spans="1:18">
      <c r="A52" s="15" t="s">
        <v>476</v>
      </c>
      <c r="B52" s="17" t="n">
        <v>2796</v>
      </c>
      <c r="C52" s="18">
        <f>(2451.0/B52*100)</f>
        <v/>
      </c>
      <c r="D52" s="19" t="n">
        <v>345</v>
      </c>
      <c r="E52" s="18" t="n">
        <v>49.46632406</v>
      </c>
      <c r="F52" s="20" t="n">
        <v>3.07662482</v>
      </c>
      <c r="G52" s="18" t="n">
        <v>50.00333131</v>
      </c>
      <c r="H52" s="20" t="n">
        <v>3.11956539</v>
      </c>
      <c r="I52" s="18" t="s">
        <v>431</v>
      </c>
      <c r="J52" s="20" t="s">
        <v>431</v>
      </c>
      <c r="K52" s="18" t="n">
        <v>0</v>
      </c>
      <c r="L52" s="20" t="n">
        <v>0</v>
      </c>
      <c r="M52" s="18" t="n">
        <v>0</v>
      </c>
      <c r="N52" s="20" t="n">
        <v>0</v>
      </c>
      <c r="O52" s="18" t="n">
        <v>0</v>
      </c>
      <c r="P52" s="20" t="n">
        <v>0</v>
      </c>
      <c r="Q52" s="18" t="n">
        <v>0.53034463</v>
      </c>
      <c r="R52" s="20" t="n">
        <v>0.38390523</v>
      </c>
    </row>
    <row r="53" spans="1:18">
      <c r="A53" s="15" t="s">
        <v>477</v>
      </c>
      <c r="B53" s="17" t="n">
        <v>2811</v>
      </c>
      <c r="C53" s="18">
        <f>(2467.0/B53*100)</f>
        <v/>
      </c>
      <c r="D53" s="19" t="n">
        <v>344</v>
      </c>
      <c r="E53" s="18" t="n">
        <v>52.66095464</v>
      </c>
      <c r="F53" s="20" t="n">
        <v>3.1063413</v>
      </c>
      <c r="G53" s="18" t="n">
        <v>43.34784377</v>
      </c>
      <c r="H53" s="20" t="n">
        <v>2.95298585</v>
      </c>
      <c r="I53" s="18" t="s">
        <v>431</v>
      </c>
      <c r="J53" s="20" t="s">
        <v>431</v>
      </c>
      <c r="K53" s="18" t="n">
        <v>0</v>
      </c>
      <c r="L53" s="20" t="n">
        <v>0</v>
      </c>
      <c r="M53" s="18" t="n">
        <v>0</v>
      </c>
      <c r="N53" s="20" t="n">
        <v>0</v>
      </c>
      <c r="O53" s="18" t="n">
        <v>0</v>
      </c>
      <c r="P53" s="20" t="n">
        <v>0</v>
      </c>
      <c r="Q53" s="18" t="n">
        <v>3.99120158</v>
      </c>
      <c r="R53" s="20" t="n">
        <v>1.16616288</v>
      </c>
    </row>
    <row r="54" spans="1:18">
      <c r="A54" s="15" t="s">
        <v>478</v>
      </c>
      <c r="B54" s="17" t="n">
        <v>2266</v>
      </c>
      <c r="C54" s="18">
        <f>(1901.0/B54*100)</f>
        <v/>
      </c>
      <c r="D54" s="19" t="n">
        <v>365</v>
      </c>
      <c r="E54" s="18" t="n">
        <v>59.18352507</v>
      </c>
      <c r="F54" s="20" t="n">
        <v>2.78795554</v>
      </c>
      <c r="G54" s="18" t="n">
        <v>29.53795806</v>
      </c>
      <c r="H54" s="20" t="n">
        <v>2.65852438</v>
      </c>
      <c r="I54" s="18" t="s">
        <v>431</v>
      </c>
      <c r="J54" s="20" t="s">
        <v>431</v>
      </c>
      <c r="K54" s="18" t="n">
        <v>3.44683496</v>
      </c>
      <c r="L54" s="20" t="n">
        <v>1.17440624</v>
      </c>
      <c r="M54" s="18" t="n">
        <v>0</v>
      </c>
      <c r="N54" s="20" t="n">
        <v>0</v>
      </c>
      <c r="O54" s="18" t="n">
        <v>0</v>
      </c>
      <c r="P54" s="20" t="n">
        <v>0</v>
      </c>
      <c r="Q54" s="18" t="n">
        <v>7.8316819</v>
      </c>
      <c r="R54" s="20" t="n">
        <v>1.44933118</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(2342.0/B56*100)</f>
        <v/>
      </c>
      <c r="D56" s="19" t="n">
        <v>342</v>
      </c>
      <c r="E56" s="18" t="n">
        <v>62.60900005</v>
      </c>
      <c r="F56" s="20" t="n">
        <v>3.25327862</v>
      </c>
      <c r="G56" s="18" t="n">
        <v>36.37335448</v>
      </c>
      <c r="H56" s="20" t="n">
        <v>3.1514746</v>
      </c>
      <c r="I56" s="18" t="s">
        <v>431</v>
      </c>
      <c r="J56" s="20" t="s">
        <v>431</v>
      </c>
      <c r="K56" s="18" t="n">
        <v>0.24596657</v>
      </c>
      <c r="L56" s="20" t="n">
        <v>0.24546808</v>
      </c>
      <c r="M56" s="18" t="n">
        <v>0</v>
      </c>
      <c r="N56" s="20" t="n">
        <v>0</v>
      </c>
      <c r="O56" s="18" t="n">
        <v>0</v>
      </c>
      <c r="P56" s="20" t="n">
        <v>0</v>
      </c>
      <c r="Q56" s="18" t="n">
        <v>0.77167891</v>
      </c>
      <c r="R56" s="20" t="n">
        <v>0.56857198</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(2943.0/B61*100)</f>
        <v/>
      </c>
      <c r="D61" s="19" t="n">
        <v>381</v>
      </c>
      <c r="E61" s="18" t="n">
        <v>55.60374085</v>
      </c>
      <c r="F61" s="20" t="n">
        <v>2.80576534</v>
      </c>
      <c r="G61" s="18" t="n">
        <v>43.10217719</v>
      </c>
      <c r="H61" s="20" t="n">
        <v>2.76385686</v>
      </c>
      <c r="I61" s="18" t="s">
        <v>431</v>
      </c>
      <c r="J61" s="20" t="s">
        <v>431</v>
      </c>
      <c r="K61" s="18" t="n">
        <v>0</v>
      </c>
      <c r="L61" s="20" t="n">
        <v>0</v>
      </c>
      <c r="M61" s="18" t="n">
        <v>0</v>
      </c>
      <c r="N61" s="20" t="n">
        <v>0</v>
      </c>
      <c r="O61" s="18" t="n">
        <v>0</v>
      </c>
      <c r="P61" s="20" t="n">
        <v>0</v>
      </c>
      <c r="Q61" s="18" t="n">
        <v>1.29408197</v>
      </c>
      <c r="R61" s="20" t="n">
        <v>0.74832639</v>
      </c>
    </row>
    <row r="62" spans="1:18">
      <c r="A62" s="15" t="s">
        <v>486</v>
      </c>
      <c r="B62" s="17" t="n">
        <v>2246</v>
      </c>
      <c r="C62" s="18">
        <f>(1951.0/B62*100)</f>
        <v/>
      </c>
      <c r="D62" s="19" t="n">
        <v>295</v>
      </c>
      <c r="E62" s="18" t="n">
        <v>50.89357951</v>
      </c>
      <c r="F62" s="20" t="n">
        <v>3.08846803</v>
      </c>
      <c r="G62" s="18" t="n">
        <v>48.75808235</v>
      </c>
      <c r="H62" s="20" t="n">
        <v>3.07098096</v>
      </c>
      <c r="I62" s="18" t="s">
        <v>431</v>
      </c>
      <c r="J62" s="20" t="s">
        <v>431</v>
      </c>
      <c r="K62" s="18" t="n">
        <v>0.34833814</v>
      </c>
      <c r="L62" s="20" t="n">
        <v>0.34614501</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(2540.0/B66*100)</f>
        <v/>
      </c>
      <c r="D66" s="19" t="n">
        <v>354</v>
      </c>
      <c r="E66" s="18" t="n">
        <v>58.55429254</v>
      </c>
      <c r="F66" s="20" t="n">
        <v>2.45836887</v>
      </c>
      <c r="G66" s="18" t="n">
        <v>35.31286203</v>
      </c>
      <c r="H66" s="20" t="n">
        <v>2.44621561</v>
      </c>
      <c r="I66" s="18" t="s">
        <v>431</v>
      </c>
      <c r="J66" s="20" t="s">
        <v>431</v>
      </c>
      <c r="K66" s="18" t="n">
        <v>0.53798523</v>
      </c>
      <c r="L66" s="20" t="n">
        <v>0.38594606</v>
      </c>
      <c r="M66" s="18" t="n">
        <v>0</v>
      </c>
      <c r="N66" s="20" t="n">
        <v>0</v>
      </c>
      <c r="O66" s="18" t="n">
        <v>0</v>
      </c>
      <c r="P66" s="20" t="n">
        <v>0</v>
      </c>
      <c r="Q66" s="18" t="n">
        <v>5.59486019</v>
      </c>
      <c r="R66" s="20" t="n">
        <v>1.10130836</v>
      </c>
    </row>
    <row r="67" spans="1:18">
      <c r="A67" s="15" t="s">
        <v>491</v>
      </c>
      <c r="B67" s="17" t="n">
        <v>3511</v>
      </c>
      <c r="C67" s="18">
        <f>(3082.0/B67*100)</f>
        <v/>
      </c>
      <c r="D67" s="19" t="n">
        <v>429</v>
      </c>
      <c r="E67" s="18" t="n">
        <v>49.63176414</v>
      </c>
      <c r="F67" s="20" t="n">
        <v>2.6066798</v>
      </c>
      <c r="G67" s="18" t="n">
        <v>47.72841945</v>
      </c>
      <c r="H67" s="20" t="n">
        <v>2.61497289</v>
      </c>
      <c r="I67" s="18" t="s">
        <v>431</v>
      </c>
      <c r="J67" s="20" t="s">
        <v>431</v>
      </c>
      <c r="K67" s="18" t="n">
        <v>0.17676479</v>
      </c>
      <c r="L67" s="20" t="n">
        <v>0.17586746</v>
      </c>
      <c r="M67" s="18" t="n">
        <v>0</v>
      </c>
      <c r="N67" s="20" t="n">
        <v>0</v>
      </c>
      <c r="O67" s="18" t="n">
        <v>0</v>
      </c>
      <c r="P67" s="20" t="n">
        <v>0</v>
      </c>
      <c r="Q67" s="18" t="n">
        <v>2.46305162</v>
      </c>
      <c r="R67" s="20" t="n">
        <v>0.79189736</v>
      </c>
    </row>
    <row r="68" spans="1:18">
      <c r="A68" s="15" t="s">
        <v>492</v>
      </c>
      <c r="B68" s="17" t="n">
        <v>6049</v>
      </c>
      <c r="C68" s="18">
        <f>(5035.0/B68*100)</f>
        <v/>
      </c>
      <c r="D68" s="19" t="n">
        <v>1014</v>
      </c>
      <c r="E68" s="18" t="n">
        <v>50.23329378</v>
      </c>
      <c r="F68" s="20" t="n">
        <v>1.62139802</v>
      </c>
      <c r="G68" s="18" t="n">
        <v>39.85277004</v>
      </c>
      <c r="H68" s="20" t="n">
        <v>1.57088659</v>
      </c>
      <c r="I68" s="18" t="s">
        <v>431</v>
      </c>
      <c r="J68" s="20" t="s">
        <v>431</v>
      </c>
      <c r="K68" s="18" t="n">
        <v>1.9274999</v>
      </c>
      <c r="L68" s="20" t="n">
        <v>0.43703265</v>
      </c>
      <c r="M68" s="18" t="n">
        <v>0</v>
      </c>
      <c r="N68" s="20" t="n">
        <v>0</v>
      </c>
      <c r="O68" s="18" t="n">
        <v>0</v>
      </c>
      <c r="P68" s="20" t="n">
        <v>0</v>
      </c>
      <c r="Q68" s="18" t="n">
        <v>7.98643629</v>
      </c>
      <c r="R68" s="20" t="n">
        <v>0.81287779</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(2571.0/B70*100)</f>
        <v/>
      </c>
      <c r="D70" s="19" t="n">
        <v>358</v>
      </c>
      <c r="E70" s="18" t="n">
        <v>51.45943856</v>
      </c>
      <c r="F70" s="20" t="n">
        <v>2.66731786</v>
      </c>
      <c r="G70" s="18" t="n">
        <v>47.82711117</v>
      </c>
      <c r="H70" s="20" t="n">
        <v>2.8011602</v>
      </c>
      <c r="I70" s="18" t="s">
        <v>431</v>
      </c>
      <c r="J70" s="20" t="s">
        <v>431</v>
      </c>
      <c r="K70" s="18" t="n">
        <v>0</v>
      </c>
      <c r="L70" s="20" t="n">
        <v>0</v>
      </c>
      <c r="M70" s="18" t="n">
        <v>0</v>
      </c>
      <c r="N70" s="20" t="n">
        <v>0</v>
      </c>
      <c r="O70" s="18" t="n">
        <v>0</v>
      </c>
      <c r="P70" s="20" t="n">
        <v>0</v>
      </c>
      <c r="Q70" s="18" t="n">
        <v>0.7134502700000001</v>
      </c>
      <c r="R70" s="20" t="n">
        <v>0.48032297</v>
      </c>
    </row>
    <row r="71" spans="1:18">
      <c r="A71" s="15" t="s">
        <v>495</v>
      </c>
      <c r="B71" s="17" t="n">
        <v>3142</v>
      </c>
      <c r="C71" s="18">
        <f>(2749.0/B71*100)</f>
        <v/>
      </c>
      <c r="D71" s="19" t="n">
        <v>393</v>
      </c>
      <c r="E71" s="18" t="n">
        <v>41.19773859</v>
      </c>
      <c r="F71" s="20" t="n">
        <v>2.73895955</v>
      </c>
      <c r="G71" s="18" t="n">
        <v>58.34503873</v>
      </c>
      <c r="H71" s="20" t="n">
        <v>2.72800804</v>
      </c>
      <c r="I71" s="18" t="s">
        <v>431</v>
      </c>
      <c r="J71" s="20" t="s">
        <v>431</v>
      </c>
      <c r="K71" s="18" t="n">
        <v>0</v>
      </c>
      <c r="L71" s="20" t="n">
        <v>0</v>
      </c>
      <c r="M71" s="18" t="n">
        <v>0</v>
      </c>
      <c r="N71" s="20" t="n">
        <v>0</v>
      </c>
      <c r="O71" s="18" t="n">
        <v>0</v>
      </c>
      <c r="P71" s="20" t="n">
        <v>0</v>
      </c>
      <c r="Q71" s="18" t="n">
        <v>0.45722268</v>
      </c>
      <c r="R71" s="20" t="n">
        <v>0.32006997</v>
      </c>
    </row>
    <row r="72" spans="1:18">
      <c r="A72" s="15" t="s">
        <v>496</v>
      </c>
      <c r="B72" s="17" t="n">
        <v>3889</v>
      </c>
      <c r="C72" s="18">
        <f>(3407.0/B72*100)</f>
        <v/>
      </c>
      <c r="D72" s="19" t="n">
        <v>482</v>
      </c>
      <c r="E72" s="18" t="n">
        <v>43.87237204</v>
      </c>
      <c r="F72" s="20" t="n">
        <v>2.25361088</v>
      </c>
      <c r="G72" s="18" t="n">
        <v>55.45424489</v>
      </c>
      <c r="H72" s="20" t="n">
        <v>2.23680542</v>
      </c>
      <c r="I72" s="18" t="s">
        <v>431</v>
      </c>
      <c r="J72" s="20" t="s">
        <v>431</v>
      </c>
      <c r="K72" s="18" t="n">
        <v>0</v>
      </c>
      <c r="L72" s="20" t="n">
        <v>0</v>
      </c>
      <c r="M72" s="18" t="n">
        <v>0</v>
      </c>
      <c r="N72" s="20" t="n">
        <v>0</v>
      </c>
      <c r="O72" s="18" t="n">
        <v>0</v>
      </c>
      <c r="P72" s="20" t="n">
        <v>0</v>
      </c>
      <c r="Q72" s="18" t="n">
        <v>0.67338307</v>
      </c>
      <c r="R72" s="20" t="n">
        <v>0.3431115</v>
      </c>
    </row>
    <row r="73" spans="1:18">
      <c r="A73" s="15" t="s">
        <v>497</v>
      </c>
      <c r="B73" s="17" t="n">
        <v>3597</v>
      </c>
      <c r="C73" s="18">
        <f>(3167.0/B73*100)</f>
        <v/>
      </c>
      <c r="D73" s="19" t="n">
        <v>430</v>
      </c>
      <c r="E73" s="18" t="n">
        <v>64.76022134999999</v>
      </c>
      <c r="F73" s="20" t="n">
        <v>2.94070016</v>
      </c>
      <c r="G73" s="18" t="n">
        <v>33.82338151</v>
      </c>
      <c r="H73" s="20" t="n">
        <v>2.89204031</v>
      </c>
      <c r="I73" s="18" t="s">
        <v>431</v>
      </c>
      <c r="J73" s="20" t="s">
        <v>431</v>
      </c>
      <c r="K73" s="18" t="n">
        <v>0.33880083</v>
      </c>
      <c r="L73" s="20" t="n">
        <v>0.3376561</v>
      </c>
      <c r="M73" s="18" t="n">
        <v>0</v>
      </c>
      <c r="N73" s="20" t="n">
        <v>0</v>
      </c>
      <c r="O73" s="18" t="n">
        <v>0</v>
      </c>
      <c r="P73" s="20" t="n">
        <v>0</v>
      </c>
      <c r="Q73" s="18" t="n">
        <v>1.07759632</v>
      </c>
      <c r="R73" s="20" t="n">
        <v>0.56557511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(2122.0/B75*100)</f>
        <v/>
      </c>
      <c r="D75" s="19" t="n">
        <v>284</v>
      </c>
      <c r="E75" s="18" t="n">
        <v>48.60071721</v>
      </c>
      <c r="F75" s="20" t="n">
        <v>3.20749009</v>
      </c>
      <c r="G75" s="18" t="n">
        <v>45.13945871</v>
      </c>
      <c r="H75" s="20" t="n">
        <v>3.22837456</v>
      </c>
      <c r="I75" s="18" t="s">
        <v>431</v>
      </c>
      <c r="J75" s="20" t="s">
        <v>431</v>
      </c>
      <c r="K75" s="18" t="n">
        <v>1.38907886</v>
      </c>
      <c r="L75" s="20" t="n">
        <v>0.64416164</v>
      </c>
      <c r="M75" s="18" t="n">
        <v>0</v>
      </c>
      <c r="N75" s="20" t="n">
        <v>0</v>
      </c>
      <c r="O75" s="18" t="n">
        <v>0</v>
      </c>
      <c r="P75" s="20" t="n">
        <v>0</v>
      </c>
      <c r="Q75" s="18" t="n">
        <v>4.87074522</v>
      </c>
      <c r="R75" s="20" t="n">
        <v>1.12999092</v>
      </c>
    </row>
    <row r="76" spans="1:18">
      <c r="A76" s="15" t="s">
        <v>500</v>
      </c>
      <c r="B76" s="17" t="n">
        <v>7052</v>
      </c>
      <c r="C76" s="18">
        <f>(6193.0/B76*100)</f>
        <v/>
      </c>
      <c r="D76" s="19" t="n">
        <v>859</v>
      </c>
      <c r="E76" s="18" t="n">
        <v>51.3552422</v>
      </c>
      <c r="F76" s="20" t="n">
        <v>1.89831431</v>
      </c>
      <c r="G76" s="18" t="n">
        <v>43.11953844</v>
      </c>
      <c r="H76" s="20" t="n">
        <v>1.94027777</v>
      </c>
      <c r="I76" s="18" t="s">
        <v>431</v>
      </c>
      <c r="J76" s="20" t="s">
        <v>431</v>
      </c>
      <c r="K76" s="18" t="n">
        <v>0.61937705</v>
      </c>
      <c r="L76" s="20" t="n">
        <v>0.26486342</v>
      </c>
      <c r="M76" s="18" t="n">
        <v>0</v>
      </c>
      <c r="N76" s="20" t="n">
        <v>0</v>
      </c>
      <c r="O76" s="18" t="n">
        <v>0</v>
      </c>
      <c r="P76" s="20" t="n">
        <v>0</v>
      </c>
      <c r="Q76" s="18" t="n">
        <v>4.90584232</v>
      </c>
      <c r="R76" s="20" t="n">
        <v>0.72039553</v>
      </c>
    </row>
    <row r="77" spans="1:18">
      <c r="A77" s="15" t="s">
        <v>501</v>
      </c>
      <c r="B77" s="17" t="n">
        <v>2908</v>
      </c>
      <c r="C77" s="18">
        <f>(2536.0/B77*100)</f>
        <v/>
      </c>
      <c r="D77" s="19" t="n">
        <v>372</v>
      </c>
      <c r="E77" s="18" t="n">
        <v>51.81794985</v>
      </c>
      <c r="F77" s="20" t="n">
        <v>2.83793231</v>
      </c>
      <c r="G77" s="18" t="n">
        <v>45.06206358</v>
      </c>
      <c r="H77" s="20" t="n">
        <v>2.73025444</v>
      </c>
      <c r="I77" s="18" t="s">
        <v>431</v>
      </c>
      <c r="J77" s="20" t="s">
        <v>431</v>
      </c>
      <c r="K77" s="18" t="n">
        <v>0.43854623</v>
      </c>
      <c r="L77" s="20" t="n">
        <v>0.44253512</v>
      </c>
      <c r="M77" s="18" t="n">
        <v>0</v>
      </c>
      <c r="N77" s="20" t="n">
        <v>0</v>
      </c>
      <c r="O77" s="18" t="n">
        <v>0</v>
      </c>
      <c r="P77" s="20" t="n">
        <v>0</v>
      </c>
      <c r="Q77" s="18" t="n">
        <v>2.68144034</v>
      </c>
      <c r="R77" s="20" t="n">
        <v>0.84524644</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(3642.0/B81*100)</f>
        <v/>
      </c>
      <c r="D81" s="19" t="n">
        <v>521</v>
      </c>
      <c r="E81" s="18" t="n">
        <v>52.72908886</v>
      </c>
      <c r="F81" s="20" t="n">
        <v>2.68480828</v>
      </c>
      <c r="G81" s="18" t="n">
        <v>46.09839977</v>
      </c>
      <c r="H81" s="20" t="n">
        <v>2.66671827</v>
      </c>
      <c r="I81" s="18" t="s">
        <v>431</v>
      </c>
      <c r="J81" s="20" t="s">
        <v>431</v>
      </c>
      <c r="K81" s="18" t="n">
        <v>0</v>
      </c>
      <c r="L81" s="20" t="n">
        <v>0</v>
      </c>
      <c r="M81" s="18" t="n">
        <v>0</v>
      </c>
      <c r="N81" s="20" t="n">
        <v>0</v>
      </c>
      <c r="O81" s="18" t="n">
        <v>0</v>
      </c>
      <c r="P81" s="20" t="n">
        <v>0</v>
      </c>
      <c r="Q81" s="18" t="n">
        <v>1.17251137</v>
      </c>
      <c r="R81" s="20" t="n">
        <v>0.58857063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(6472.0/B7*100)</f>
        <v/>
      </c>
      <c r="D7" s="19" t="n">
        <v>895</v>
      </c>
      <c r="E7" s="18" t="n">
        <v>22.67267571</v>
      </c>
      <c r="F7" s="20" t="n">
        <v>1.70461719</v>
      </c>
      <c r="G7" s="18" t="n">
        <v>76.21482148</v>
      </c>
      <c r="H7" s="20" t="n">
        <v>1.70581388</v>
      </c>
      <c r="I7" s="18" t="s">
        <v>431</v>
      </c>
      <c r="J7" s="20" t="s">
        <v>431</v>
      </c>
      <c r="K7" s="18" t="n">
        <v>0.01815231</v>
      </c>
      <c r="L7" s="20" t="n">
        <v>0.0182097</v>
      </c>
      <c r="M7" s="18" t="n">
        <v>0</v>
      </c>
      <c r="N7" s="20" t="n">
        <v>0</v>
      </c>
      <c r="O7" s="18" t="n">
        <v>0</v>
      </c>
      <c r="P7" s="20" t="n">
        <v>0</v>
      </c>
      <c r="Q7" s="18" t="n">
        <v>1.0943505</v>
      </c>
      <c r="R7" s="20" t="n">
        <v>0.37116642</v>
      </c>
    </row>
    <row r="8" spans="1:18">
      <c r="A8" s="15" t="s">
        <v>432</v>
      </c>
      <c r="B8" s="17" t="n">
        <v>3564</v>
      </c>
      <c r="C8" s="18">
        <f>(3112.0/B8*100)</f>
        <v/>
      </c>
      <c r="D8" s="19" t="n">
        <v>452</v>
      </c>
      <c r="E8" s="18" t="n">
        <v>24.25380278</v>
      </c>
      <c r="F8" s="20" t="n">
        <v>1.89629681</v>
      </c>
      <c r="G8" s="18" t="n">
        <v>74.32130995999999</v>
      </c>
      <c r="H8" s="20" t="n">
        <v>1.93874545</v>
      </c>
      <c r="I8" s="18" t="s">
        <v>431</v>
      </c>
      <c r="J8" s="20" t="s">
        <v>431</v>
      </c>
      <c r="K8" s="18" t="n">
        <v>0</v>
      </c>
      <c r="L8" s="20" t="n">
        <v>0</v>
      </c>
      <c r="M8" s="18" t="n">
        <v>0</v>
      </c>
      <c r="N8" s="20" t="n">
        <v>0</v>
      </c>
      <c r="O8" s="18" t="n">
        <v>0</v>
      </c>
      <c r="P8" s="20" t="n">
        <v>0</v>
      </c>
      <c r="Q8" s="18" t="n">
        <v>1.42488726</v>
      </c>
      <c r="R8" s="20" t="n">
        <v>0.64322935</v>
      </c>
    </row>
    <row r="9" spans="1:18">
      <c r="A9" s="15" t="s">
        <v>433</v>
      </c>
      <c r="B9" s="17" t="n">
        <v>4899</v>
      </c>
      <c r="C9" s="18">
        <f>(4314.0/B9*100)</f>
        <v/>
      </c>
      <c r="D9" s="19" t="n">
        <v>585</v>
      </c>
      <c r="E9" s="18" t="n">
        <v>22.15942673</v>
      </c>
      <c r="F9" s="20" t="n">
        <v>1.82730102</v>
      </c>
      <c r="G9" s="18" t="n">
        <v>76.71590706000001</v>
      </c>
      <c r="H9" s="20" t="n">
        <v>1.83518507</v>
      </c>
      <c r="I9" s="18" t="s">
        <v>431</v>
      </c>
      <c r="J9" s="20" t="s">
        <v>431</v>
      </c>
      <c r="K9" s="18" t="n">
        <v>0</v>
      </c>
      <c r="L9" s="20" t="n">
        <v>0</v>
      </c>
      <c r="M9" s="18" t="n">
        <v>0</v>
      </c>
      <c r="N9" s="20" t="n">
        <v>0</v>
      </c>
      <c r="O9" s="18" t="n">
        <v>0</v>
      </c>
      <c r="P9" s="20" t="n">
        <v>0</v>
      </c>
      <c r="Q9" s="18" t="n">
        <v>1.1246662</v>
      </c>
      <c r="R9" s="20" t="n">
        <v>0.44321568</v>
      </c>
    </row>
    <row r="10" spans="1:18">
      <c r="A10" s="15" t="s">
        <v>434</v>
      </c>
      <c r="B10" s="17" t="n">
        <v>10036</v>
      </c>
      <c r="C10" s="18">
        <f>(8746.0/B10*100)</f>
        <v/>
      </c>
      <c r="D10" s="19" t="n">
        <v>1290</v>
      </c>
      <c r="E10" s="18" t="n">
        <v>21.30910269</v>
      </c>
      <c r="F10" s="20" t="n">
        <v>1.66025586</v>
      </c>
      <c r="G10" s="18" t="n">
        <v>77.85378142</v>
      </c>
      <c r="H10" s="20" t="n">
        <v>1.67602721</v>
      </c>
      <c r="I10" s="18" t="s">
        <v>431</v>
      </c>
      <c r="J10" s="20" t="s">
        <v>431</v>
      </c>
      <c r="K10" s="18" t="n">
        <v>0.18555421</v>
      </c>
      <c r="L10" s="20" t="n">
        <v>0.171477</v>
      </c>
      <c r="M10" s="18" t="n">
        <v>0</v>
      </c>
      <c r="N10" s="20" t="n">
        <v>0</v>
      </c>
      <c r="O10" s="18" t="n">
        <v>0</v>
      </c>
      <c r="P10" s="20" t="n">
        <v>0</v>
      </c>
      <c r="Q10" s="18" t="n">
        <v>0.65156169</v>
      </c>
      <c r="R10" s="20" t="n">
        <v>0.24215664</v>
      </c>
    </row>
    <row r="11" spans="1:18">
      <c r="A11" s="15" t="s">
        <v>435</v>
      </c>
      <c r="B11" s="17" t="n">
        <v>3553</v>
      </c>
      <c r="C11" s="18">
        <f>(3150.0/B11*100)</f>
        <v/>
      </c>
      <c r="D11" s="19" t="n">
        <v>403</v>
      </c>
      <c r="E11" s="18" t="n">
        <v>27.38697209</v>
      </c>
      <c r="F11" s="20" t="n">
        <v>2.76542984</v>
      </c>
      <c r="G11" s="18" t="n">
        <v>69.47724558</v>
      </c>
      <c r="H11" s="20" t="n">
        <v>3.04314943</v>
      </c>
      <c r="I11" s="18" t="s">
        <v>431</v>
      </c>
      <c r="J11" s="20" t="s">
        <v>431</v>
      </c>
      <c r="K11" s="18" t="n">
        <v>1.06563125</v>
      </c>
      <c r="L11" s="20" t="n">
        <v>0.80110932</v>
      </c>
      <c r="M11" s="18" t="n">
        <v>0</v>
      </c>
      <c r="N11" s="20" t="n">
        <v>0</v>
      </c>
      <c r="O11" s="18" t="n">
        <v>0</v>
      </c>
      <c r="P11" s="20" t="n">
        <v>0</v>
      </c>
      <c r="Q11" s="18" t="n">
        <v>2.07015108</v>
      </c>
      <c r="R11" s="20" t="n">
        <v>0.85368915</v>
      </c>
    </row>
    <row r="12" spans="1:18">
      <c r="A12" s="15" t="s">
        <v>436</v>
      </c>
      <c r="B12" s="17" t="n">
        <v>3472</v>
      </c>
      <c r="C12" s="18">
        <f>(3037.0/B12*100)</f>
        <v/>
      </c>
      <c r="D12" s="19" t="n">
        <v>435</v>
      </c>
      <c r="E12" s="18" t="n">
        <v>18.41369075</v>
      </c>
      <c r="F12" s="20" t="n">
        <v>2.14977423</v>
      </c>
      <c r="G12" s="18" t="n">
        <v>81.07764272999999</v>
      </c>
      <c r="H12" s="20" t="n">
        <v>2.19913651</v>
      </c>
      <c r="I12" s="18" t="s">
        <v>431</v>
      </c>
      <c r="J12" s="20" t="s">
        <v>431</v>
      </c>
      <c r="K12" s="18" t="n">
        <v>0.20307973</v>
      </c>
      <c r="L12" s="20" t="n">
        <v>0.20004472</v>
      </c>
      <c r="M12" s="18" t="n">
        <v>0</v>
      </c>
      <c r="N12" s="20" t="n">
        <v>0</v>
      </c>
      <c r="O12" s="18" t="n">
        <v>0</v>
      </c>
      <c r="P12" s="20" t="n">
        <v>0</v>
      </c>
      <c r="Q12" s="18" t="n">
        <v>0.30558678</v>
      </c>
      <c r="R12" s="20" t="n">
        <v>0.2175892</v>
      </c>
    </row>
    <row r="13" spans="1:18">
      <c r="A13" s="15" t="s">
        <v>437</v>
      </c>
      <c r="B13" s="17" t="n">
        <v>3559</v>
      </c>
      <c r="C13" s="18">
        <f>(3124.0/B13*100)</f>
        <v/>
      </c>
      <c r="D13" s="19" t="n">
        <v>435</v>
      </c>
      <c r="E13" s="18" t="n">
        <v>24.8942511</v>
      </c>
      <c r="F13" s="20" t="n">
        <v>2.4404652</v>
      </c>
      <c r="G13" s="18" t="n">
        <v>73.87303961000001</v>
      </c>
      <c r="H13" s="20" t="n">
        <v>2.51681417</v>
      </c>
      <c r="I13" s="18" t="s">
        <v>431</v>
      </c>
      <c r="J13" s="20" t="s">
        <v>431</v>
      </c>
      <c r="K13" s="18" t="n">
        <v>0.29236121</v>
      </c>
      <c r="L13" s="20" t="n">
        <v>0.18486414</v>
      </c>
      <c r="M13" s="18" t="n">
        <v>0</v>
      </c>
      <c r="N13" s="20" t="n">
        <v>0</v>
      </c>
      <c r="O13" s="18" t="n">
        <v>0</v>
      </c>
      <c r="P13" s="20" t="n">
        <v>0</v>
      </c>
      <c r="Q13" s="18" t="n">
        <v>0.94034808</v>
      </c>
      <c r="R13" s="20" t="n">
        <v>0.51390718</v>
      </c>
    </row>
    <row r="14" spans="1:18">
      <c r="A14" s="15" t="s">
        <v>438</v>
      </c>
      <c r="B14" s="17" t="n">
        <v>2799</v>
      </c>
      <c r="C14" s="18">
        <f>(2468.0/B14*100)</f>
        <v/>
      </c>
      <c r="D14" s="19" t="n">
        <v>331</v>
      </c>
      <c r="E14" s="18" t="n">
        <v>21.07688182</v>
      </c>
      <c r="F14" s="20" t="n">
        <v>2.78220094</v>
      </c>
      <c r="G14" s="18" t="n">
        <v>78.66492949000001</v>
      </c>
      <c r="H14" s="20" t="n">
        <v>2.75483525</v>
      </c>
      <c r="I14" s="18" t="s">
        <v>431</v>
      </c>
      <c r="J14" s="20" t="s">
        <v>431</v>
      </c>
      <c r="K14" s="18" t="n">
        <v>0</v>
      </c>
      <c r="L14" s="20" t="n">
        <v>0</v>
      </c>
      <c r="M14" s="18" t="n">
        <v>0</v>
      </c>
      <c r="N14" s="20" t="n">
        <v>0</v>
      </c>
      <c r="O14" s="18" t="n">
        <v>0</v>
      </c>
      <c r="P14" s="20" t="n">
        <v>0</v>
      </c>
      <c r="Q14" s="18" t="n">
        <v>0.25818868</v>
      </c>
      <c r="R14" s="20" t="n">
        <v>0.25909994</v>
      </c>
    </row>
    <row r="15" spans="1:18">
      <c r="A15" s="15" t="s">
        <v>439</v>
      </c>
      <c r="B15" s="17" t="n">
        <v>3019</v>
      </c>
      <c r="C15" s="18">
        <f>(2636.0/B15*100)</f>
        <v/>
      </c>
      <c r="D15" s="19" t="n">
        <v>383</v>
      </c>
      <c r="E15" s="18" t="n">
        <v>19.74448371</v>
      </c>
      <c r="F15" s="20" t="n">
        <v>2.20637039</v>
      </c>
      <c r="G15" s="18" t="n">
        <v>79.93393471</v>
      </c>
      <c r="H15" s="20" t="n">
        <v>2.20605703</v>
      </c>
      <c r="I15" s="18" t="s">
        <v>431</v>
      </c>
      <c r="J15" s="20" t="s">
        <v>431</v>
      </c>
      <c r="K15" s="18" t="n">
        <v>0</v>
      </c>
      <c r="L15" s="20" t="n">
        <v>0</v>
      </c>
      <c r="M15" s="18" t="n">
        <v>0</v>
      </c>
      <c r="N15" s="20" t="n">
        <v>0</v>
      </c>
      <c r="O15" s="18" t="n">
        <v>0</v>
      </c>
      <c r="P15" s="20" t="n">
        <v>0</v>
      </c>
      <c r="Q15" s="18" t="n">
        <v>0.32158157</v>
      </c>
      <c r="R15" s="20" t="n">
        <v>0.30688264</v>
      </c>
    </row>
    <row r="16" spans="1:18">
      <c r="A16" s="15" t="s">
        <v>440</v>
      </c>
      <c r="B16" s="17" t="n">
        <v>2997</v>
      </c>
      <c r="C16" s="18">
        <f>(2645.0/B16*100)</f>
        <v/>
      </c>
      <c r="D16" s="19" t="n">
        <v>352</v>
      </c>
      <c r="E16" s="18" t="n">
        <v>21.29130338</v>
      </c>
      <c r="F16" s="20" t="n">
        <v>2.22466948</v>
      </c>
      <c r="G16" s="18" t="n">
        <v>74.13027685</v>
      </c>
      <c r="H16" s="20" t="n">
        <v>2.72321889</v>
      </c>
      <c r="I16" s="18" t="s">
        <v>431</v>
      </c>
      <c r="J16" s="20" t="s">
        <v>431</v>
      </c>
      <c r="K16" s="18" t="n">
        <v>0.85055178</v>
      </c>
      <c r="L16" s="20" t="n">
        <v>0.52531273</v>
      </c>
      <c r="M16" s="18" t="n">
        <v>0</v>
      </c>
      <c r="N16" s="20" t="n">
        <v>0</v>
      </c>
      <c r="O16" s="18" t="n">
        <v>0</v>
      </c>
      <c r="P16" s="20" t="n">
        <v>0</v>
      </c>
      <c r="Q16" s="18" t="n">
        <v>3.72786799</v>
      </c>
      <c r="R16" s="20" t="n">
        <v>1.03666679</v>
      </c>
    </row>
    <row r="17" spans="1:18">
      <c r="A17" s="15" t="s">
        <v>441</v>
      </c>
      <c r="B17" s="17" t="n">
        <v>3307</v>
      </c>
      <c r="C17" s="18">
        <f>(2906.0/B17*100)</f>
        <v/>
      </c>
      <c r="D17" s="19" t="n">
        <v>401</v>
      </c>
      <c r="E17" s="18" t="n">
        <v>22.05264508</v>
      </c>
      <c r="F17" s="20" t="n">
        <v>2.15710336</v>
      </c>
      <c r="G17" s="18" t="n">
        <v>76.2681882</v>
      </c>
      <c r="H17" s="20" t="n">
        <v>2.10844301</v>
      </c>
      <c r="I17" s="18" t="s">
        <v>431</v>
      </c>
      <c r="J17" s="20" t="s">
        <v>431</v>
      </c>
      <c r="K17" s="18" t="n">
        <v>0</v>
      </c>
      <c r="L17" s="20" t="n">
        <v>0</v>
      </c>
      <c r="M17" s="18" t="n">
        <v>0</v>
      </c>
      <c r="N17" s="20" t="n">
        <v>0</v>
      </c>
      <c r="O17" s="18" t="n">
        <v>0</v>
      </c>
      <c r="P17" s="20" t="n">
        <v>0</v>
      </c>
      <c r="Q17" s="18" t="n">
        <v>1.67916672</v>
      </c>
      <c r="R17" s="20" t="n">
        <v>0.69146177</v>
      </c>
    </row>
    <row r="18" spans="1:18">
      <c r="A18" s="15" t="s">
        <v>442</v>
      </c>
      <c r="B18" s="17" t="n">
        <v>2826</v>
      </c>
      <c r="C18" s="18">
        <f>(2467.0/B18*100)</f>
        <v/>
      </c>
      <c r="D18" s="19" t="n">
        <v>359</v>
      </c>
      <c r="E18" s="18" t="n">
        <v>36.02978971</v>
      </c>
      <c r="F18" s="20" t="n">
        <v>3.79925132</v>
      </c>
      <c r="G18" s="18" t="n">
        <v>61.58869759</v>
      </c>
      <c r="H18" s="20" t="n">
        <v>3.726123</v>
      </c>
      <c r="I18" s="18" t="s">
        <v>431</v>
      </c>
      <c r="J18" s="20" t="s">
        <v>431</v>
      </c>
      <c r="K18" s="18" t="n">
        <v>0</v>
      </c>
      <c r="L18" s="20" t="n">
        <v>0</v>
      </c>
      <c r="M18" s="18" t="n">
        <v>0</v>
      </c>
      <c r="N18" s="20" t="n">
        <v>0</v>
      </c>
      <c r="O18" s="18" t="n">
        <v>0</v>
      </c>
      <c r="P18" s="20" t="n">
        <v>0</v>
      </c>
      <c r="Q18" s="18" t="n">
        <v>2.3815127</v>
      </c>
      <c r="R18" s="20" t="n">
        <v>0.92351483</v>
      </c>
    </row>
    <row r="19" spans="1:18">
      <c r="A19" s="15" t="s">
        <v>443</v>
      </c>
      <c r="B19" s="17" t="n">
        <v>2808</v>
      </c>
      <c r="C19" s="18">
        <f>(2450.0/B19*100)</f>
        <v/>
      </c>
      <c r="D19" s="19" t="n">
        <v>358</v>
      </c>
      <c r="E19" s="18" t="n">
        <v>27.99964702</v>
      </c>
      <c r="F19" s="20" t="n">
        <v>2.01182728</v>
      </c>
      <c r="G19" s="18" t="n">
        <v>69.61255807000001</v>
      </c>
      <c r="H19" s="20" t="n">
        <v>2.04033488</v>
      </c>
      <c r="I19" s="18" t="s">
        <v>431</v>
      </c>
      <c r="J19" s="20" t="s">
        <v>431</v>
      </c>
      <c r="K19" s="18" t="n">
        <v>0.57372187</v>
      </c>
      <c r="L19" s="20" t="n">
        <v>0.6228832399999999</v>
      </c>
      <c r="M19" s="18" t="n">
        <v>0</v>
      </c>
      <c r="N19" s="20" t="n">
        <v>0</v>
      </c>
      <c r="O19" s="18" t="n">
        <v>0</v>
      </c>
      <c r="P19" s="20" t="n">
        <v>0</v>
      </c>
      <c r="Q19" s="18" t="n">
        <v>1.81407304</v>
      </c>
      <c r="R19" s="20" t="n">
        <v>0.83379373</v>
      </c>
    </row>
    <row r="20" spans="1:18">
      <c r="A20" s="15" t="s">
        <v>444</v>
      </c>
      <c r="B20" s="17" t="n">
        <v>1630</v>
      </c>
      <c r="C20" s="18">
        <f>(1435.0/B20*100)</f>
        <v/>
      </c>
      <c r="D20" s="19" t="n">
        <v>195</v>
      </c>
      <c r="E20" s="18" t="n">
        <v>36.73573404</v>
      </c>
      <c r="F20" s="20" t="n">
        <v>3.53941915</v>
      </c>
      <c r="G20" s="18" t="n">
        <v>59.07245286</v>
      </c>
      <c r="H20" s="20" t="n">
        <v>3.5317099</v>
      </c>
      <c r="I20" s="18" t="s">
        <v>431</v>
      </c>
      <c r="J20" s="20" t="s">
        <v>431</v>
      </c>
      <c r="K20" s="18" t="n">
        <v>0.4975186</v>
      </c>
      <c r="L20" s="20" t="n">
        <v>0.4805999</v>
      </c>
      <c r="M20" s="18" t="n">
        <v>0</v>
      </c>
      <c r="N20" s="20" t="n">
        <v>0</v>
      </c>
      <c r="O20" s="18" t="n">
        <v>0</v>
      </c>
      <c r="P20" s="20" t="n">
        <v>0</v>
      </c>
      <c r="Q20" s="18" t="n">
        <v>3.6942945</v>
      </c>
      <c r="R20" s="20" t="n">
        <v>1.36113975</v>
      </c>
    </row>
    <row r="21" spans="1:18">
      <c r="A21" s="15" t="s">
        <v>445</v>
      </c>
      <c r="B21" s="17" t="n">
        <v>2908</v>
      </c>
      <c r="C21" s="18">
        <f>(2433.0/B21*100)</f>
        <v/>
      </c>
      <c r="D21" s="19" t="n">
        <v>475</v>
      </c>
      <c r="E21" s="18" t="n">
        <v>19.54930491</v>
      </c>
      <c r="F21" s="20" t="n">
        <v>1.84725047</v>
      </c>
      <c r="G21" s="18" t="n">
        <v>79.29490317</v>
      </c>
      <c r="H21" s="20" t="n">
        <v>1.88140171</v>
      </c>
      <c r="I21" s="18" t="s">
        <v>431</v>
      </c>
      <c r="J21" s="20" t="s">
        <v>431</v>
      </c>
      <c r="K21" s="18" t="n">
        <v>0</v>
      </c>
      <c r="L21" s="20" t="n">
        <v>0</v>
      </c>
      <c r="M21" s="18" t="n">
        <v>0</v>
      </c>
      <c r="N21" s="20" t="n">
        <v>0</v>
      </c>
      <c r="O21" s="18" t="n">
        <v>0</v>
      </c>
      <c r="P21" s="20" t="n">
        <v>0</v>
      </c>
      <c r="Q21" s="18" t="n">
        <v>1.15579192</v>
      </c>
      <c r="R21" s="20" t="n">
        <v>0.45955052</v>
      </c>
    </row>
    <row r="22" spans="1:18">
      <c r="A22" s="15" t="s">
        <v>446</v>
      </c>
      <c r="B22" s="17" t="n">
        <v>2931</v>
      </c>
      <c r="C22" s="18">
        <f>(2565.0/B22*100)</f>
        <v/>
      </c>
      <c r="D22" s="19" t="n">
        <v>366</v>
      </c>
      <c r="E22" s="18" t="n">
        <v>23.15873231</v>
      </c>
      <c r="F22" s="20" t="n">
        <v>2.53948334</v>
      </c>
      <c r="G22" s="18" t="n">
        <v>70.99479444000001</v>
      </c>
      <c r="H22" s="20" t="n">
        <v>2.77602246</v>
      </c>
      <c r="I22" s="18" t="s">
        <v>431</v>
      </c>
      <c r="J22" s="20" t="s">
        <v>431</v>
      </c>
      <c r="K22" s="18" t="n">
        <v>1.77757785</v>
      </c>
      <c r="L22" s="20" t="n">
        <v>0.75056603</v>
      </c>
      <c r="M22" s="18" t="n">
        <v>0</v>
      </c>
      <c r="N22" s="20" t="n">
        <v>0</v>
      </c>
      <c r="O22" s="18" t="n">
        <v>0</v>
      </c>
      <c r="P22" s="20" t="n">
        <v>0</v>
      </c>
      <c r="Q22" s="18" t="n">
        <v>4.0688954</v>
      </c>
      <c r="R22" s="20" t="n">
        <v>1.36564024</v>
      </c>
    </row>
    <row r="23" spans="1:18">
      <c r="A23" s="15" t="s">
        <v>447</v>
      </c>
      <c r="B23" s="17" t="n">
        <v>5791</v>
      </c>
      <c r="C23" s="18">
        <f>(5067.0/B23*100)</f>
        <v/>
      </c>
      <c r="D23" s="19" t="n">
        <v>724</v>
      </c>
      <c r="E23" s="18" t="n">
        <v>18.35894931</v>
      </c>
      <c r="F23" s="20" t="n">
        <v>2.28398552</v>
      </c>
      <c r="G23" s="18" t="n">
        <v>79.53147496</v>
      </c>
      <c r="H23" s="20" t="n">
        <v>2.46118074</v>
      </c>
      <c r="I23" s="18" t="s">
        <v>431</v>
      </c>
      <c r="J23" s="20" t="s">
        <v>431</v>
      </c>
      <c r="K23" s="18" t="n">
        <v>0.13303182</v>
      </c>
      <c r="L23" s="20" t="n">
        <v>0.13842717</v>
      </c>
      <c r="M23" s="18" t="n">
        <v>0</v>
      </c>
      <c r="N23" s="20" t="n">
        <v>0</v>
      </c>
      <c r="O23" s="18" t="n">
        <v>0</v>
      </c>
      <c r="P23" s="20" t="n">
        <v>0</v>
      </c>
      <c r="Q23" s="18" t="n">
        <v>1.97654391</v>
      </c>
      <c r="R23" s="20" t="n">
        <v>0.83902664</v>
      </c>
    </row>
    <row r="24" spans="1:18">
      <c r="A24" s="15" t="s">
        <v>448</v>
      </c>
      <c r="B24" s="17" t="n">
        <v>3338</v>
      </c>
      <c r="C24" s="18">
        <f>(2938.0/B24*100)</f>
        <v/>
      </c>
      <c r="D24" s="19" t="n">
        <v>400</v>
      </c>
      <c r="E24" s="18" t="n">
        <v>25.9169406</v>
      </c>
      <c r="F24" s="20" t="n">
        <v>2.53961304</v>
      </c>
      <c r="G24" s="18" t="n">
        <v>73.05415245</v>
      </c>
      <c r="H24" s="20" t="n">
        <v>2.5269532</v>
      </c>
      <c r="I24" s="18" t="s">
        <v>431</v>
      </c>
      <c r="J24" s="20" t="s">
        <v>431</v>
      </c>
      <c r="K24" s="18" t="n">
        <v>0</v>
      </c>
      <c r="L24" s="20" t="n">
        <v>0</v>
      </c>
      <c r="M24" s="18" t="n">
        <v>0</v>
      </c>
      <c r="N24" s="20" t="n">
        <v>0</v>
      </c>
      <c r="O24" s="18" t="n">
        <v>0</v>
      </c>
      <c r="P24" s="20" t="n">
        <v>0</v>
      </c>
      <c r="Q24" s="18" t="n">
        <v>1.02890695</v>
      </c>
      <c r="R24" s="20" t="n">
        <v>0.50860458</v>
      </c>
    </row>
    <row r="25" spans="1:18">
      <c r="A25" s="15" t="s">
        <v>449</v>
      </c>
      <c r="B25" s="17" t="n">
        <v>2912</v>
      </c>
      <c r="C25" s="18">
        <f>(2540.0/B25*100)</f>
        <v/>
      </c>
      <c r="D25" s="19" t="n">
        <v>372</v>
      </c>
      <c r="E25" s="18" t="n">
        <v>29.55256392</v>
      </c>
      <c r="F25" s="20" t="n">
        <v>2.60020691</v>
      </c>
      <c r="G25" s="18" t="n">
        <v>69.95730890999999</v>
      </c>
      <c r="H25" s="20" t="n">
        <v>2.63587821</v>
      </c>
      <c r="I25" s="18" t="s">
        <v>431</v>
      </c>
      <c r="J25" s="20" t="s">
        <v>431</v>
      </c>
      <c r="K25" s="18" t="n">
        <v>0</v>
      </c>
      <c r="L25" s="20" t="n">
        <v>0</v>
      </c>
      <c r="M25" s="18" t="n">
        <v>0</v>
      </c>
      <c r="N25" s="20" t="n">
        <v>0</v>
      </c>
      <c r="O25" s="18" t="n">
        <v>0</v>
      </c>
      <c r="P25" s="20" t="n">
        <v>0</v>
      </c>
      <c r="Q25" s="18" t="n">
        <v>0.49012717</v>
      </c>
      <c r="R25" s="20" t="n">
        <v>0.34691592</v>
      </c>
    </row>
    <row r="26" spans="1:18">
      <c r="A26" s="15" t="s">
        <v>450</v>
      </c>
      <c r="B26" s="17" t="n">
        <v>2450</v>
      </c>
      <c r="C26" s="18">
        <f>(2136.0/B26*100)</f>
        <v/>
      </c>
      <c r="D26" s="19" t="n">
        <v>314</v>
      </c>
      <c r="E26" s="18" t="n">
        <v>22.01085365</v>
      </c>
      <c r="F26" s="20" t="n">
        <v>2.49754605</v>
      </c>
      <c r="G26" s="18" t="n">
        <v>77.19599585</v>
      </c>
      <c r="H26" s="20" t="n">
        <v>2.47710053</v>
      </c>
      <c r="I26" s="18" t="s">
        <v>431</v>
      </c>
      <c r="J26" s="20" t="s">
        <v>431</v>
      </c>
      <c r="K26" s="18" t="n">
        <v>0</v>
      </c>
      <c r="L26" s="20" t="n">
        <v>0</v>
      </c>
      <c r="M26" s="18" t="n">
        <v>0</v>
      </c>
      <c r="N26" s="20" t="n">
        <v>0</v>
      </c>
      <c r="O26" s="18" t="n">
        <v>0</v>
      </c>
      <c r="P26" s="20" t="n">
        <v>0</v>
      </c>
      <c r="Q26" s="18" t="n">
        <v>0.79315051</v>
      </c>
      <c r="R26" s="20" t="n">
        <v>0.46522522</v>
      </c>
    </row>
    <row r="27" spans="1:18">
      <c r="A27" s="15" t="s">
        <v>451</v>
      </c>
      <c r="B27" s="17" t="n">
        <v>2616</v>
      </c>
      <c r="C27" s="18">
        <f>(2287.0/B27*100)</f>
        <v/>
      </c>
      <c r="D27" s="19" t="n">
        <v>329</v>
      </c>
      <c r="E27" s="18" t="n">
        <v>30.66465543</v>
      </c>
      <c r="F27" s="20" t="n">
        <v>2.50606894</v>
      </c>
      <c r="G27" s="18" t="n">
        <v>67.75720414</v>
      </c>
      <c r="H27" s="20" t="n">
        <v>2.37289808</v>
      </c>
      <c r="I27" s="18" t="s">
        <v>431</v>
      </c>
      <c r="J27" s="20" t="s">
        <v>431</v>
      </c>
      <c r="K27" s="18" t="n">
        <v>0.30588301</v>
      </c>
      <c r="L27" s="20" t="n">
        <v>0.30723096</v>
      </c>
      <c r="M27" s="18" t="n">
        <v>0</v>
      </c>
      <c r="N27" s="20" t="n">
        <v>0</v>
      </c>
      <c r="O27" s="18" t="n">
        <v>0</v>
      </c>
      <c r="P27" s="20" t="n">
        <v>0</v>
      </c>
      <c r="Q27" s="18" t="n">
        <v>1.27225742</v>
      </c>
      <c r="R27" s="20" t="n">
        <v>0.6438535399999999</v>
      </c>
    </row>
    <row r="28" spans="1:18">
      <c r="A28" s="15" t="s">
        <v>452</v>
      </c>
      <c r="B28" s="17" t="n">
        <v>3765</v>
      </c>
      <c r="C28" s="18">
        <f>(3299.0/B28*100)</f>
        <v/>
      </c>
      <c r="D28" s="19" t="n">
        <v>466</v>
      </c>
      <c r="E28" s="18" t="n">
        <v>27.01534882</v>
      </c>
      <c r="F28" s="20" t="n">
        <v>2.10253042</v>
      </c>
      <c r="G28" s="18" t="n">
        <v>72.4415281</v>
      </c>
      <c r="H28" s="20" t="n">
        <v>2.09911276</v>
      </c>
      <c r="I28" s="18" t="s">
        <v>431</v>
      </c>
      <c r="J28" s="20" t="s">
        <v>431</v>
      </c>
      <c r="K28" s="18" t="n">
        <v>0</v>
      </c>
      <c r="L28" s="20" t="n">
        <v>0</v>
      </c>
      <c r="M28" s="18" t="n">
        <v>0</v>
      </c>
      <c r="N28" s="20" t="n">
        <v>0</v>
      </c>
      <c r="O28" s="18" t="n">
        <v>0</v>
      </c>
      <c r="P28" s="20" t="n">
        <v>0</v>
      </c>
      <c r="Q28" s="18" t="n">
        <v>0.54312309</v>
      </c>
      <c r="R28" s="20" t="n">
        <v>0.13947949</v>
      </c>
    </row>
    <row r="29" spans="1:18">
      <c r="A29" s="15" t="s">
        <v>453</v>
      </c>
      <c r="B29" s="17" t="n">
        <v>2685</v>
      </c>
      <c r="C29" s="18">
        <f>(2369.0/B29*100)</f>
        <v/>
      </c>
      <c r="D29" s="19" t="n">
        <v>316</v>
      </c>
      <c r="E29" s="18" t="n">
        <v>21.50294928</v>
      </c>
      <c r="F29" s="20" t="n">
        <v>2.20077041</v>
      </c>
      <c r="G29" s="18" t="n">
        <v>78.26341836</v>
      </c>
      <c r="H29" s="20" t="n">
        <v>2.21080119</v>
      </c>
      <c r="I29" s="18" t="s">
        <v>431</v>
      </c>
      <c r="J29" s="20" t="s">
        <v>431</v>
      </c>
      <c r="K29" s="18" t="n">
        <v>0</v>
      </c>
      <c r="L29" s="20" t="n">
        <v>0</v>
      </c>
      <c r="M29" s="18" t="n">
        <v>0</v>
      </c>
      <c r="N29" s="20" t="n">
        <v>0</v>
      </c>
      <c r="O29" s="18" t="n">
        <v>0</v>
      </c>
      <c r="P29" s="20" t="n">
        <v>0</v>
      </c>
      <c r="Q29" s="18" t="n">
        <v>0.23363235</v>
      </c>
      <c r="R29" s="20" t="n">
        <v>0.2454349</v>
      </c>
    </row>
    <row r="30" spans="1:18">
      <c r="A30" s="15" t="s">
        <v>454</v>
      </c>
      <c r="B30" s="17" t="n">
        <v>2263</v>
      </c>
      <c r="C30" s="18">
        <f>(1985.0/B30*100)</f>
        <v/>
      </c>
      <c r="D30" s="19" t="n">
        <v>278</v>
      </c>
      <c r="E30" s="18" t="n">
        <v>20.51284538</v>
      </c>
      <c r="F30" s="20" t="n">
        <v>2.50162509</v>
      </c>
      <c r="G30" s="18" t="n">
        <v>75.89030948</v>
      </c>
      <c r="H30" s="20" t="n">
        <v>2.46830565</v>
      </c>
      <c r="I30" s="18" t="s">
        <v>431</v>
      </c>
      <c r="J30" s="20" t="s">
        <v>431</v>
      </c>
      <c r="K30" s="18" t="n">
        <v>0.32068872</v>
      </c>
      <c r="L30" s="20" t="n">
        <v>0.32717613</v>
      </c>
      <c r="M30" s="18" t="n">
        <v>0</v>
      </c>
      <c r="N30" s="20" t="n">
        <v>0</v>
      </c>
      <c r="O30" s="18" t="n">
        <v>0</v>
      </c>
      <c r="P30" s="20" t="n">
        <v>0</v>
      </c>
      <c r="Q30" s="18" t="n">
        <v>3.27615642</v>
      </c>
      <c r="R30" s="20" t="n">
        <v>1.20589715</v>
      </c>
    </row>
    <row r="31" spans="1:18">
      <c r="A31" s="15" t="s">
        <v>455</v>
      </c>
      <c r="B31" s="17" t="n">
        <v>2750</v>
      </c>
      <c r="C31" s="18">
        <f>(2413.0/B31*100)</f>
        <v/>
      </c>
      <c r="D31" s="19" t="n">
        <v>337</v>
      </c>
      <c r="E31" s="18" t="n">
        <v>18.95609803</v>
      </c>
      <c r="F31" s="20" t="n">
        <v>1.78889967</v>
      </c>
      <c r="G31" s="18" t="n">
        <v>78.3258045</v>
      </c>
      <c r="H31" s="20" t="n">
        <v>1.96787117</v>
      </c>
      <c r="I31" s="18" t="s">
        <v>431</v>
      </c>
      <c r="J31" s="20" t="s">
        <v>431</v>
      </c>
      <c r="K31" s="18" t="n">
        <v>0.37724642</v>
      </c>
      <c r="L31" s="20" t="n">
        <v>0.28227061</v>
      </c>
      <c r="M31" s="18" t="n">
        <v>0</v>
      </c>
      <c r="N31" s="20" t="n">
        <v>0</v>
      </c>
      <c r="O31" s="18" t="n">
        <v>0</v>
      </c>
      <c r="P31" s="20" t="n">
        <v>0</v>
      </c>
      <c r="Q31" s="18" t="n">
        <v>2.34085105</v>
      </c>
      <c r="R31" s="20" t="n">
        <v>0.91386225</v>
      </c>
    </row>
    <row r="32" spans="1:18">
      <c r="A32" s="15" t="s">
        <v>456</v>
      </c>
      <c r="B32" s="17" t="n">
        <v>2269</v>
      </c>
      <c r="C32" s="18">
        <f>(1896.0/B32*100)</f>
        <v/>
      </c>
      <c r="D32" s="19" t="n">
        <v>373</v>
      </c>
      <c r="E32" s="18" t="n">
        <v>18.11791805</v>
      </c>
      <c r="F32" s="20" t="n">
        <v>2.06696664</v>
      </c>
      <c r="G32" s="18" t="n">
        <v>81.42484511000001</v>
      </c>
      <c r="H32" s="20" t="n">
        <v>2.06116699</v>
      </c>
      <c r="I32" s="18" t="s">
        <v>431</v>
      </c>
      <c r="J32" s="20" t="s">
        <v>431</v>
      </c>
      <c r="K32" s="18" t="n">
        <v>0</v>
      </c>
      <c r="L32" s="20" t="n">
        <v>0</v>
      </c>
      <c r="M32" s="18" t="n">
        <v>0</v>
      </c>
      <c r="N32" s="20" t="n">
        <v>0</v>
      </c>
      <c r="O32" s="18" t="n">
        <v>0</v>
      </c>
      <c r="P32" s="20" t="n">
        <v>0</v>
      </c>
      <c r="Q32" s="18" t="n">
        <v>0.45723684</v>
      </c>
      <c r="R32" s="20" t="n">
        <v>0.32205095</v>
      </c>
    </row>
    <row r="33" spans="1:18">
      <c r="A33" s="15" t="s">
        <v>457</v>
      </c>
      <c r="B33" s="17" t="n">
        <v>3674</v>
      </c>
      <c r="C33" s="18">
        <f>(3222.0/B33*100)</f>
        <v/>
      </c>
      <c r="D33" s="19" t="n">
        <v>452</v>
      </c>
      <c r="E33" s="18" t="n">
        <v>18.10922193</v>
      </c>
      <c r="F33" s="20" t="n">
        <v>2.03877668</v>
      </c>
      <c r="G33" s="18" t="n">
        <v>81.32112986</v>
      </c>
      <c r="H33" s="20" t="n">
        <v>2.01855488</v>
      </c>
      <c r="I33" s="18" t="s">
        <v>431</v>
      </c>
      <c r="J33" s="20" t="s">
        <v>431</v>
      </c>
      <c r="K33" s="18" t="n">
        <v>0</v>
      </c>
      <c r="L33" s="20" t="n">
        <v>0</v>
      </c>
      <c r="M33" s="18" t="n">
        <v>0</v>
      </c>
      <c r="N33" s="20" t="n">
        <v>0</v>
      </c>
      <c r="O33" s="18" t="n">
        <v>0</v>
      </c>
      <c r="P33" s="20" t="n">
        <v>0</v>
      </c>
      <c r="Q33" s="18" t="n">
        <v>0.56964822</v>
      </c>
      <c r="R33" s="20" t="n">
        <v>0.60165455</v>
      </c>
    </row>
    <row r="34" spans="1:18">
      <c r="A34" s="15" t="s">
        <v>458</v>
      </c>
      <c r="B34" s="17" t="n">
        <v>3315</v>
      </c>
      <c r="C34" s="18">
        <f>(2931.0/B34*100)</f>
        <v/>
      </c>
      <c r="D34" s="19" t="n">
        <v>384</v>
      </c>
      <c r="E34" s="18" t="n">
        <v>33.57987576</v>
      </c>
      <c r="F34" s="20" t="n">
        <v>2.95194559</v>
      </c>
      <c r="G34" s="18" t="n">
        <v>65.23306617999999</v>
      </c>
      <c r="H34" s="20" t="n">
        <v>3.02974673</v>
      </c>
      <c r="I34" s="18" t="s">
        <v>431</v>
      </c>
      <c r="J34" s="20" t="s">
        <v>431</v>
      </c>
      <c r="K34" s="18" t="n">
        <v>0.08476448</v>
      </c>
      <c r="L34" s="20" t="n">
        <v>0.08537516000000001</v>
      </c>
      <c r="M34" s="18" t="n">
        <v>0</v>
      </c>
      <c r="N34" s="20" t="n">
        <v>0</v>
      </c>
      <c r="O34" s="18" t="n">
        <v>0</v>
      </c>
      <c r="P34" s="20" t="n">
        <v>0</v>
      </c>
      <c r="Q34" s="18" t="n">
        <v>1.10229358</v>
      </c>
      <c r="R34" s="20" t="n">
        <v>0.48836271</v>
      </c>
    </row>
    <row r="35" spans="1:18">
      <c r="A35" s="15" t="s">
        <v>459</v>
      </c>
      <c r="B35" s="17" t="n">
        <v>3505</v>
      </c>
      <c r="C35" s="18">
        <f>(3097.0/B35*100)</f>
        <v/>
      </c>
      <c r="D35" s="19" t="n">
        <v>408</v>
      </c>
      <c r="E35" s="18" t="n">
        <v>23.72142812</v>
      </c>
      <c r="F35" s="20" t="n">
        <v>2.64281088</v>
      </c>
      <c r="G35" s="18" t="n">
        <v>75.12699585</v>
      </c>
      <c r="H35" s="20" t="n">
        <v>2.72610753</v>
      </c>
      <c r="I35" s="18" t="s">
        <v>431</v>
      </c>
      <c r="J35" s="20" t="s">
        <v>431</v>
      </c>
      <c r="K35" s="18" t="n">
        <v>0</v>
      </c>
      <c r="L35" s="20" t="n">
        <v>0</v>
      </c>
      <c r="M35" s="18" t="n">
        <v>0</v>
      </c>
      <c r="N35" s="20" t="n">
        <v>0</v>
      </c>
      <c r="O35" s="18" t="n">
        <v>0</v>
      </c>
      <c r="P35" s="20" t="n">
        <v>0</v>
      </c>
      <c r="Q35" s="18" t="n">
        <v>1.15157603</v>
      </c>
      <c r="R35" s="20" t="n">
        <v>0.53880493</v>
      </c>
    </row>
    <row r="36" spans="1:18">
      <c r="A36" s="15" t="s">
        <v>460</v>
      </c>
      <c r="B36" s="17" t="n">
        <v>3332</v>
      </c>
      <c r="C36" s="18">
        <f>(2916.0/B36*100)</f>
        <v/>
      </c>
      <c r="D36" s="19" t="n">
        <v>416</v>
      </c>
      <c r="E36" s="18" t="n">
        <v>21.25396898</v>
      </c>
      <c r="F36" s="20" t="n">
        <v>2.10803893</v>
      </c>
      <c r="G36" s="18" t="n">
        <v>77.19328424</v>
      </c>
      <c r="H36" s="20" t="n">
        <v>1.97794779</v>
      </c>
      <c r="I36" s="18" t="s">
        <v>431</v>
      </c>
      <c r="J36" s="20" t="s">
        <v>431</v>
      </c>
      <c r="K36" s="18" t="n">
        <v>0.78078476</v>
      </c>
      <c r="L36" s="20" t="n">
        <v>0.37945946</v>
      </c>
      <c r="M36" s="18" t="n">
        <v>0</v>
      </c>
      <c r="N36" s="20" t="n">
        <v>0</v>
      </c>
      <c r="O36" s="18" t="n">
        <v>0</v>
      </c>
      <c r="P36" s="20" t="n">
        <v>0</v>
      </c>
      <c r="Q36" s="18" t="n">
        <v>0.77196202</v>
      </c>
      <c r="R36" s="20" t="n">
        <v>0.81472416</v>
      </c>
    </row>
    <row r="37" spans="1:18">
      <c r="A37" s="15" t="s">
        <v>461</v>
      </c>
      <c r="B37" s="17" t="n">
        <v>2727</v>
      </c>
      <c r="C37" s="18">
        <f>(2386.0/B37*100)</f>
        <v/>
      </c>
      <c r="D37" s="19" t="n">
        <v>341</v>
      </c>
      <c r="E37" s="18" t="n">
        <v>25.00499613</v>
      </c>
      <c r="F37" s="20" t="n">
        <v>2.52137065</v>
      </c>
      <c r="G37" s="18" t="n">
        <v>71.13257924</v>
      </c>
      <c r="H37" s="20" t="n">
        <v>2.76156827</v>
      </c>
      <c r="I37" s="18" t="s">
        <v>431</v>
      </c>
      <c r="J37" s="20" t="s">
        <v>431</v>
      </c>
      <c r="K37" s="18" t="n">
        <v>0.22223585</v>
      </c>
      <c r="L37" s="20" t="n">
        <v>0.22267032</v>
      </c>
      <c r="M37" s="18" t="n">
        <v>0</v>
      </c>
      <c r="N37" s="20" t="n">
        <v>0</v>
      </c>
      <c r="O37" s="18" t="n">
        <v>0</v>
      </c>
      <c r="P37" s="20" t="n">
        <v>0</v>
      </c>
      <c r="Q37" s="18" t="n">
        <v>3.64018879</v>
      </c>
      <c r="R37" s="20" t="n">
        <v>1.16891203</v>
      </c>
    </row>
    <row r="38" spans="1:18">
      <c r="A38" s="15" t="s">
        <v>462</v>
      </c>
      <c r="B38" s="17" t="n">
        <v>3053</v>
      </c>
      <c r="C38" s="18">
        <f>(2534.0/B38*100)</f>
        <v/>
      </c>
      <c r="D38" s="19" t="n">
        <v>519</v>
      </c>
      <c r="E38" s="18" t="n">
        <v>24.60183951</v>
      </c>
      <c r="F38" s="20" t="n">
        <v>1.98884855</v>
      </c>
      <c r="G38" s="18" t="n">
        <v>71.15629878999999</v>
      </c>
      <c r="H38" s="20" t="n">
        <v>2.1537184</v>
      </c>
      <c r="I38" s="18" t="s">
        <v>431</v>
      </c>
      <c r="J38" s="20" t="s">
        <v>431</v>
      </c>
      <c r="K38" s="18" t="n">
        <v>0.8696214799999999</v>
      </c>
      <c r="L38" s="20" t="n">
        <v>0.57224751</v>
      </c>
      <c r="M38" s="18" t="n">
        <v>0</v>
      </c>
      <c r="N38" s="20" t="n">
        <v>0</v>
      </c>
      <c r="O38" s="18" t="n">
        <v>0</v>
      </c>
      <c r="P38" s="20" t="n">
        <v>0</v>
      </c>
      <c r="Q38" s="18" t="n">
        <v>3.37224022</v>
      </c>
      <c r="R38" s="20" t="n">
        <v>0.73583728</v>
      </c>
    </row>
    <row r="39" spans="1:18">
      <c r="A39" s="15" t="s">
        <v>463</v>
      </c>
      <c r="B39" s="17" t="n">
        <v>2957</v>
      </c>
      <c r="C39" s="18">
        <f>(2594.0/B39*100)</f>
        <v/>
      </c>
      <c r="D39" s="19" t="n">
        <v>363</v>
      </c>
      <c r="E39" s="18" t="n">
        <v>28.84837801</v>
      </c>
      <c r="F39" s="20" t="n">
        <v>2.96324085</v>
      </c>
      <c r="G39" s="18" t="n">
        <v>68.02892619000001</v>
      </c>
      <c r="H39" s="20" t="n">
        <v>3.07392944</v>
      </c>
      <c r="I39" s="18" t="s">
        <v>431</v>
      </c>
      <c r="J39" s="20" t="s">
        <v>431</v>
      </c>
      <c r="K39" s="18" t="n">
        <v>0</v>
      </c>
      <c r="L39" s="20" t="n">
        <v>0</v>
      </c>
      <c r="M39" s="18" t="n">
        <v>0</v>
      </c>
      <c r="N39" s="20" t="n">
        <v>0</v>
      </c>
      <c r="O39" s="18" t="n">
        <v>0</v>
      </c>
      <c r="P39" s="20" t="n">
        <v>0</v>
      </c>
      <c r="Q39" s="18" t="n">
        <v>3.1226958</v>
      </c>
      <c r="R39" s="20" t="n">
        <v>1.12042323</v>
      </c>
    </row>
    <row r="40" spans="1:18">
      <c r="A40" s="15" t="s">
        <v>464</v>
      </c>
      <c r="B40" s="17" t="n">
        <v>7235</v>
      </c>
      <c r="C40" s="18">
        <f>(6376.0/B40*100)</f>
        <v/>
      </c>
      <c r="D40" s="19" t="n">
        <v>859</v>
      </c>
      <c r="E40" s="18" t="n">
        <v>21.14586796</v>
      </c>
      <c r="F40" s="20" t="n">
        <v>2.1436423</v>
      </c>
      <c r="G40" s="18" t="n">
        <v>76.72997921</v>
      </c>
      <c r="H40" s="20" t="n">
        <v>2.25089493</v>
      </c>
      <c r="I40" s="18" t="s">
        <v>431</v>
      </c>
      <c r="J40" s="20" t="s">
        <v>431</v>
      </c>
      <c r="K40" s="18" t="n">
        <v>0.69334577</v>
      </c>
      <c r="L40" s="20" t="n">
        <v>0.49275849</v>
      </c>
      <c r="M40" s="18" t="n">
        <v>0</v>
      </c>
      <c r="N40" s="20" t="n">
        <v>0</v>
      </c>
      <c r="O40" s="18" t="n">
        <v>0</v>
      </c>
      <c r="P40" s="20" t="n">
        <v>0</v>
      </c>
      <c r="Q40" s="18" t="n">
        <v>1.43080706</v>
      </c>
      <c r="R40" s="20" t="n">
        <v>0.79499869</v>
      </c>
    </row>
    <row r="41" spans="1:18">
      <c r="A41" s="15" t="s">
        <v>465</v>
      </c>
      <c r="B41" s="17" t="n">
        <v>2858</v>
      </c>
      <c r="C41" s="18">
        <f>(2509.0/B41*100)</f>
        <v/>
      </c>
      <c r="D41" s="19" t="n">
        <v>349</v>
      </c>
      <c r="E41" s="18" t="n">
        <v>30.22233881</v>
      </c>
      <c r="F41" s="20" t="n">
        <v>2.29903046</v>
      </c>
      <c r="G41" s="18" t="n">
        <v>69.55654020999999</v>
      </c>
      <c r="H41" s="20" t="n">
        <v>2.32513897</v>
      </c>
      <c r="I41" s="18" t="s">
        <v>431</v>
      </c>
      <c r="J41" s="20" t="s">
        <v>431</v>
      </c>
      <c r="K41" s="18" t="n">
        <v>0</v>
      </c>
      <c r="L41" s="20" t="n">
        <v>0</v>
      </c>
      <c r="M41" s="18" t="n">
        <v>0</v>
      </c>
      <c r="N41" s="20" t="n">
        <v>0</v>
      </c>
      <c r="O41" s="18" t="n">
        <v>0</v>
      </c>
      <c r="P41" s="20" t="n">
        <v>0</v>
      </c>
      <c r="Q41" s="18" t="n">
        <v>0.22112099</v>
      </c>
      <c r="R41" s="20" t="n">
        <v>0.21868308</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(9806.0/B46*100)</f>
        <v/>
      </c>
      <c r="D46" s="19" t="n">
        <v>1262</v>
      </c>
      <c r="E46" s="18" t="n">
        <v>34.70156865</v>
      </c>
      <c r="F46" s="20" t="n">
        <v>1.64078458</v>
      </c>
      <c r="G46" s="18" t="n">
        <v>62.62318125</v>
      </c>
      <c r="H46" s="20" t="n">
        <v>1.68074626</v>
      </c>
      <c r="I46" s="18" t="s">
        <v>431</v>
      </c>
      <c r="J46" s="20" t="s">
        <v>431</v>
      </c>
      <c r="K46" s="18" t="n">
        <v>0.34052372</v>
      </c>
      <c r="L46" s="20" t="n">
        <v>0.17569629</v>
      </c>
      <c r="M46" s="18" t="n">
        <v>0</v>
      </c>
      <c r="N46" s="20" t="n">
        <v>0</v>
      </c>
      <c r="O46" s="18" t="n">
        <v>0</v>
      </c>
      <c r="P46" s="20" t="n">
        <v>0</v>
      </c>
      <c r="Q46" s="18" t="n">
        <v>2.33472638</v>
      </c>
      <c r="R46" s="20" t="n">
        <v>0.51207599</v>
      </c>
    </row>
    <row r="47" spans="1:18">
      <c r="A47" s="15" t="s">
        <v>471</v>
      </c>
      <c r="B47" s="17" t="n">
        <v>3105</v>
      </c>
      <c r="C47" s="18">
        <f>(2756.0/B47*100)</f>
        <v/>
      </c>
      <c r="D47" s="19" t="n">
        <v>349</v>
      </c>
      <c r="E47" s="18" t="n">
        <v>35.49556139</v>
      </c>
      <c r="F47" s="20" t="n">
        <v>2.82912776</v>
      </c>
      <c r="G47" s="18" t="n">
        <v>63.58064217</v>
      </c>
      <c r="H47" s="20" t="n">
        <v>2.73714693</v>
      </c>
      <c r="I47" s="18" t="s">
        <v>431</v>
      </c>
      <c r="J47" s="20" t="s">
        <v>431</v>
      </c>
      <c r="K47" s="18" t="n">
        <v>0</v>
      </c>
      <c r="L47" s="20" t="n">
        <v>0</v>
      </c>
      <c r="M47" s="18" t="n">
        <v>0</v>
      </c>
      <c r="N47" s="20" t="n">
        <v>0</v>
      </c>
      <c r="O47" s="18" t="n">
        <v>0</v>
      </c>
      <c r="P47" s="20" t="n">
        <v>0</v>
      </c>
      <c r="Q47" s="18" t="n">
        <v>0.9237964400000001</v>
      </c>
      <c r="R47" s="20" t="n">
        <v>0.5701151800000001</v>
      </c>
    </row>
    <row r="48" spans="1:18">
      <c r="A48" s="15" t="s">
        <v>472</v>
      </c>
      <c r="B48" s="17" t="n">
        <v>5159</v>
      </c>
      <c r="C48" s="18">
        <f>(4522.0/B48*100)</f>
        <v/>
      </c>
      <c r="D48" s="19" t="n">
        <v>637</v>
      </c>
      <c r="E48" s="18" t="n">
        <v>16.19677303</v>
      </c>
      <c r="F48" s="20" t="n">
        <v>2.02061321</v>
      </c>
      <c r="G48" s="18" t="n">
        <v>81.71011083</v>
      </c>
      <c r="H48" s="20" t="n">
        <v>2.04901624</v>
      </c>
      <c r="I48" s="18" t="s">
        <v>431</v>
      </c>
      <c r="J48" s="20" t="s">
        <v>431</v>
      </c>
      <c r="K48" s="18" t="n">
        <v>0.09782762</v>
      </c>
      <c r="L48" s="20" t="n">
        <v>0.06944174</v>
      </c>
      <c r="M48" s="18" t="n">
        <v>0</v>
      </c>
      <c r="N48" s="20" t="n">
        <v>0</v>
      </c>
      <c r="O48" s="18" t="n">
        <v>0</v>
      </c>
      <c r="P48" s="20" t="n">
        <v>0</v>
      </c>
      <c r="Q48" s="18" t="n">
        <v>1.99528852</v>
      </c>
      <c r="R48" s="20" t="n">
        <v>0.55661178</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(4968.0/B50*100)</f>
        <v/>
      </c>
      <c r="D50" s="19" t="n">
        <v>669</v>
      </c>
      <c r="E50" s="18" t="n">
        <v>33.9663598</v>
      </c>
      <c r="F50" s="20" t="n">
        <v>2.44749226</v>
      </c>
      <c r="G50" s="18" t="n">
        <v>64.54128865</v>
      </c>
      <c r="H50" s="20" t="n">
        <v>2.63213593</v>
      </c>
      <c r="I50" s="18" t="s">
        <v>431</v>
      </c>
      <c r="J50" s="20" t="s">
        <v>431</v>
      </c>
      <c r="K50" s="18" t="n">
        <v>0.1758987</v>
      </c>
      <c r="L50" s="20" t="n">
        <v>0.17475869</v>
      </c>
      <c r="M50" s="18" t="n">
        <v>0</v>
      </c>
      <c r="N50" s="20" t="n">
        <v>0</v>
      </c>
      <c r="O50" s="18" t="n">
        <v>0</v>
      </c>
      <c r="P50" s="20" t="n">
        <v>0</v>
      </c>
      <c r="Q50" s="18" t="n">
        <v>1.31645284</v>
      </c>
      <c r="R50" s="20" t="n">
        <v>0.90437852</v>
      </c>
    </row>
    <row r="51" spans="1:18">
      <c r="A51" s="15" t="s">
        <v>475</v>
      </c>
      <c r="B51" s="17" t="n">
        <v>3372</v>
      </c>
      <c r="C51" s="18">
        <f>(3011.0/B51*100)</f>
        <v/>
      </c>
      <c r="D51" s="19" t="n">
        <v>361</v>
      </c>
      <c r="E51" s="18" t="n">
        <v>41.23837792</v>
      </c>
      <c r="F51" s="20" t="n">
        <v>3.24741463</v>
      </c>
      <c r="G51" s="18" t="n">
        <v>55.35855713</v>
      </c>
      <c r="H51" s="20" t="n">
        <v>3.21358061</v>
      </c>
      <c r="I51" s="18" t="s">
        <v>431</v>
      </c>
      <c r="J51" s="20" t="s">
        <v>431</v>
      </c>
      <c r="K51" s="18" t="n">
        <v>0.8519343</v>
      </c>
      <c r="L51" s="20" t="n">
        <v>0.56980221</v>
      </c>
      <c r="M51" s="18" t="n">
        <v>0</v>
      </c>
      <c r="N51" s="20" t="n">
        <v>0</v>
      </c>
      <c r="O51" s="18" t="n">
        <v>0</v>
      </c>
      <c r="P51" s="20" t="n">
        <v>0</v>
      </c>
      <c r="Q51" s="18" t="n">
        <v>2.55113065</v>
      </c>
      <c r="R51" s="20" t="n">
        <v>1.01362608</v>
      </c>
    </row>
    <row r="52" spans="1:18">
      <c r="A52" s="15" t="s">
        <v>476</v>
      </c>
      <c r="B52" s="17" t="n">
        <v>2796</v>
      </c>
      <c r="C52" s="18">
        <f>(2451.0/B52*100)</f>
        <v/>
      </c>
      <c r="D52" s="19" t="n">
        <v>345</v>
      </c>
      <c r="E52" s="18" t="n">
        <v>27.01327854</v>
      </c>
      <c r="F52" s="20" t="n">
        <v>2.49121262</v>
      </c>
      <c r="G52" s="18" t="n">
        <v>71.56985955</v>
      </c>
      <c r="H52" s="20" t="n">
        <v>2.72159862</v>
      </c>
      <c r="I52" s="18" t="s">
        <v>431</v>
      </c>
      <c r="J52" s="20" t="s">
        <v>431</v>
      </c>
      <c r="K52" s="18" t="n">
        <v>0</v>
      </c>
      <c r="L52" s="20" t="n">
        <v>0</v>
      </c>
      <c r="M52" s="18" t="n">
        <v>0</v>
      </c>
      <c r="N52" s="20" t="n">
        <v>0</v>
      </c>
      <c r="O52" s="18" t="n">
        <v>0</v>
      </c>
      <c r="P52" s="20" t="n">
        <v>0</v>
      </c>
      <c r="Q52" s="18" t="n">
        <v>1.41686191</v>
      </c>
      <c r="R52" s="20" t="n">
        <v>0.49409019</v>
      </c>
    </row>
    <row r="53" spans="1:18">
      <c r="A53" s="15" t="s">
        <v>477</v>
      </c>
      <c r="B53" s="17" t="n">
        <v>2811</v>
      </c>
      <c r="C53" s="18">
        <f>(2467.0/B53*100)</f>
        <v/>
      </c>
      <c r="D53" s="19" t="n">
        <v>344</v>
      </c>
      <c r="E53" s="18" t="n">
        <v>45.74428469</v>
      </c>
      <c r="F53" s="20" t="n">
        <v>2.66370358</v>
      </c>
      <c r="G53" s="18" t="n">
        <v>50.11910524</v>
      </c>
      <c r="H53" s="20" t="n">
        <v>2.69864718</v>
      </c>
      <c r="I53" s="18" t="s">
        <v>431</v>
      </c>
      <c r="J53" s="20" t="s">
        <v>431</v>
      </c>
      <c r="K53" s="18" t="n">
        <v>0</v>
      </c>
      <c r="L53" s="20" t="n">
        <v>0</v>
      </c>
      <c r="M53" s="18" t="n">
        <v>0</v>
      </c>
      <c r="N53" s="20" t="n">
        <v>0</v>
      </c>
      <c r="O53" s="18" t="n">
        <v>0</v>
      </c>
      <c r="P53" s="20" t="n">
        <v>0</v>
      </c>
      <c r="Q53" s="18" t="n">
        <v>4.13661007</v>
      </c>
      <c r="R53" s="20" t="n">
        <v>1.14920046</v>
      </c>
    </row>
    <row r="54" spans="1:18">
      <c r="A54" s="15" t="s">
        <v>478</v>
      </c>
      <c r="B54" s="17" t="n">
        <v>2266</v>
      </c>
      <c r="C54" s="18">
        <f>(1901.0/B54*100)</f>
        <v/>
      </c>
      <c r="D54" s="19" t="n">
        <v>365</v>
      </c>
      <c r="E54" s="18" t="n">
        <v>46.68055912</v>
      </c>
      <c r="F54" s="20" t="n">
        <v>2.94988665</v>
      </c>
      <c r="G54" s="18" t="n">
        <v>42.39117488</v>
      </c>
      <c r="H54" s="20" t="n">
        <v>3.08136539</v>
      </c>
      <c r="I54" s="18" t="s">
        <v>431</v>
      </c>
      <c r="J54" s="20" t="s">
        <v>431</v>
      </c>
      <c r="K54" s="18" t="n">
        <v>3.77420493</v>
      </c>
      <c r="L54" s="20" t="n">
        <v>1.26367669</v>
      </c>
      <c r="M54" s="18" t="n">
        <v>0</v>
      </c>
      <c r="N54" s="20" t="n">
        <v>0</v>
      </c>
      <c r="O54" s="18" t="n">
        <v>0</v>
      </c>
      <c r="P54" s="20" t="n">
        <v>0</v>
      </c>
      <c r="Q54" s="18" t="n">
        <v>7.15406108</v>
      </c>
      <c r="R54" s="20" t="n">
        <v>1.49001241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(2342.0/B56*100)</f>
        <v/>
      </c>
      <c r="D56" s="19" t="n">
        <v>342</v>
      </c>
      <c r="E56" s="18" t="n">
        <v>19.46103419</v>
      </c>
      <c r="F56" s="20" t="n">
        <v>2.37926647</v>
      </c>
      <c r="G56" s="18" t="n">
        <v>78.80647808000001</v>
      </c>
      <c r="H56" s="20" t="n">
        <v>2.48755093</v>
      </c>
      <c r="I56" s="18" t="s">
        <v>431</v>
      </c>
      <c r="J56" s="20" t="s">
        <v>431</v>
      </c>
      <c r="K56" s="18" t="n">
        <v>0.24596657</v>
      </c>
      <c r="L56" s="20" t="n">
        <v>0.24546808</v>
      </c>
      <c r="M56" s="18" t="n">
        <v>0</v>
      </c>
      <c r="N56" s="20" t="n">
        <v>0</v>
      </c>
      <c r="O56" s="18" t="n">
        <v>0</v>
      </c>
      <c r="P56" s="20" t="n">
        <v>0</v>
      </c>
      <c r="Q56" s="18" t="n">
        <v>1.48652117</v>
      </c>
      <c r="R56" s="20" t="n">
        <v>0.71827375</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(2943.0/B61*100)</f>
        <v/>
      </c>
      <c r="D61" s="19" t="n">
        <v>381</v>
      </c>
      <c r="E61" s="18" t="n">
        <v>26.77086089</v>
      </c>
      <c r="F61" s="20" t="n">
        <v>2.61354462</v>
      </c>
      <c r="G61" s="18" t="n">
        <v>72.82713921</v>
      </c>
      <c r="H61" s="20" t="n">
        <v>2.64452013</v>
      </c>
      <c r="I61" s="18" t="s">
        <v>431</v>
      </c>
      <c r="J61" s="20" t="s">
        <v>431</v>
      </c>
      <c r="K61" s="18" t="n">
        <v>0</v>
      </c>
      <c r="L61" s="20" t="n">
        <v>0</v>
      </c>
      <c r="M61" s="18" t="n">
        <v>0</v>
      </c>
      <c r="N61" s="20" t="n">
        <v>0</v>
      </c>
      <c r="O61" s="18" t="n">
        <v>0</v>
      </c>
      <c r="P61" s="20" t="n">
        <v>0</v>
      </c>
      <c r="Q61" s="18" t="n">
        <v>0.40199991</v>
      </c>
      <c r="R61" s="20" t="n">
        <v>0.3248453</v>
      </c>
    </row>
    <row r="62" spans="1:18">
      <c r="A62" s="15" t="s">
        <v>486</v>
      </c>
      <c r="B62" s="17" t="n">
        <v>2246</v>
      </c>
      <c r="C62" s="18">
        <f>(1951.0/B62*100)</f>
        <v/>
      </c>
      <c r="D62" s="19" t="n">
        <v>295</v>
      </c>
      <c r="E62" s="18" t="n">
        <v>25.03829857</v>
      </c>
      <c r="F62" s="20" t="n">
        <v>2.45363758</v>
      </c>
      <c r="G62" s="18" t="n">
        <v>74.61336329</v>
      </c>
      <c r="H62" s="20" t="n">
        <v>2.45510913</v>
      </c>
      <c r="I62" s="18" t="s">
        <v>431</v>
      </c>
      <c r="J62" s="20" t="s">
        <v>431</v>
      </c>
      <c r="K62" s="18" t="n">
        <v>0.34833814</v>
      </c>
      <c r="L62" s="20" t="n">
        <v>0.34614501</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(2540.0/B66*100)</f>
        <v/>
      </c>
      <c r="D66" s="19" t="n">
        <v>354</v>
      </c>
      <c r="E66" s="18" t="n">
        <v>38.09185885</v>
      </c>
      <c r="F66" s="20" t="n">
        <v>2.52578395</v>
      </c>
      <c r="G66" s="18" t="n">
        <v>58.74900083</v>
      </c>
      <c r="H66" s="20" t="n">
        <v>2.56550942</v>
      </c>
      <c r="I66" s="18" t="s">
        <v>431</v>
      </c>
      <c r="J66" s="20" t="s">
        <v>431</v>
      </c>
      <c r="K66" s="18" t="n">
        <v>0.89887745</v>
      </c>
      <c r="L66" s="20" t="n">
        <v>0.53477449</v>
      </c>
      <c r="M66" s="18" t="n">
        <v>0</v>
      </c>
      <c r="N66" s="20" t="n">
        <v>0</v>
      </c>
      <c r="O66" s="18" t="n">
        <v>0</v>
      </c>
      <c r="P66" s="20" t="n">
        <v>0</v>
      </c>
      <c r="Q66" s="18" t="n">
        <v>2.26026287</v>
      </c>
      <c r="R66" s="20" t="n">
        <v>0.73771099</v>
      </c>
    </row>
    <row r="67" spans="1:18">
      <c r="A67" s="15" t="s">
        <v>491</v>
      </c>
      <c r="B67" s="17" t="n">
        <v>3511</v>
      </c>
      <c r="C67" s="18">
        <f>(3082.0/B67*100)</f>
        <v/>
      </c>
      <c r="D67" s="19" t="n">
        <v>429</v>
      </c>
      <c r="E67" s="18" t="n">
        <v>33.66933306</v>
      </c>
      <c r="F67" s="20" t="n">
        <v>2.25124585</v>
      </c>
      <c r="G67" s="18" t="n">
        <v>64.95433649</v>
      </c>
      <c r="H67" s="20" t="n">
        <v>2.24284752</v>
      </c>
      <c r="I67" s="18" t="s">
        <v>431</v>
      </c>
      <c r="J67" s="20" t="s">
        <v>431</v>
      </c>
      <c r="K67" s="18" t="n">
        <v>0.17676479</v>
      </c>
      <c r="L67" s="20" t="n">
        <v>0.17586746</v>
      </c>
      <c r="M67" s="18" t="n">
        <v>0</v>
      </c>
      <c r="N67" s="20" t="n">
        <v>0</v>
      </c>
      <c r="O67" s="18" t="n">
        <v>0</v>
      </c>
      <c r="P67" s="20" t="n">
        <v>0</v>
      </c>
      <c r="Q67" s="18" t="n">
        <v>1.19956566</v>
      </c>
      <c r="R67" s="20" t="n">
        <v>0.53589079</v>
      </c>
    </row>
    <row r="68" spans="1:18">
      <c r="A68" s="15" t="s">
        <v>492</v>
      </c>
      <c r="B68" s="17" t="n">
        <v>6049</v>
      </c>
      <c r="C68" s="18">
        <f>(5035.0/B68*100)</f>
        <v/>
      </c>
      <c r="D68" s="19" t="n">
        <v>1014</v>
      </c>
      <c r="E68" s="18" t="n">
        <v>33.86107357</v>
      </c>
      <c r="F68" s="20" t="n">
        <v>1.38443724</v>
      </c>
      <c r="G68" s="18" t="n">
        <v>56.76028272</v>
      </c>
      <c r="H68" s="20" t="n">
        <v>1.52878945</v>
      </c>
      <c r="I68" s="18" t="s">
        <v>431</v>
      </c>
      <c r="J68" s="20" t="s">
        <v>431</v>
      </c>
      <c r="K68" s="18" t="n">
        <v>2.02777837</v>
      </c>
      <c r="L68" s="20" t="n">
        <v>0.44576951</v>
      </c>
      <c r="M68" s="18" t="n">
        <v>0</v>
      </c>
      <c r="N68" s="20" t="n">
        <v>0</v>
      </c>
      <c r="O68" s="18" t="n">
        <v>0</v>
      </c>
      <c r="P68" s="20" t="n">
        <v>0</v>
      </c>
      <c r="Q68" s="18" t="n">
        <v>7.35086533</v>
      </c>
      <c r="R68" s="20" t="n">
        <v>0.77270071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(2571.0/B70*100)</f>
        <v/>
      </c>
      <c r="D70" s="19" t="n">
        <v>358</v>
      </c>
      <c r="E70" s="18" t="n">
        <v>19.28361863</v>
      </c>
      <c r="F70" s="20" t="n">
        <v>2.78966779</v>
      </c>
      <c r="G70" s="18" t="n">
        <v>80.13353809</v>
      </c>
      <c r="H70" s="20" t="n">
        <v>2.98092851</v>
      </c>
      <c r="I70" s="18" t="s">
        <v>431</v>
      </c>
      <c r="J70" s="20" t="s">
        <v>431</v>
      </c>
      <c r="K70" s="18" t="n">
        <v>0</v>
      </c>
      <c r="L70" s="20" t="n">
        <v>0</v>
      </c>
      <c r="M70" s="18" t="n">
        <v>0</v>
      </c>
      <c r="N70" s="20" t="n">
        <v>0</v>
      </c>
      <c r="O70" s="18" t="n">
        <v>0</v>
      </c>
      <c r="P70" s="20" t="n">
        <v>0</v>
      </c>
      <c r="Q70" s="18" t="n">
        <v>0.58284328</v>
      </c>
      <c r="R70" s="20" t="n">
        <v>0.41306856</v>
      </c>
    </row>
    <row r="71" spans="1:18">
      <c r="A71" s="15" t="s">
        <v>495</v>
      </c>
      <c r="B71" s="17" t="n">
        <v>3142</v>
      </c>
      <c r="C71" s="18">
        <f>(2749.0/B71*100)</f>
        <v/>
      </c>
      <c r="D71" s="19" t="n">
        <v>393</v>
      </c>
      <c r="E71" s="18" t="n">
        <v>15.2842227</v>
      </c>
      <c r="F71" s="20" t="n">
        <v>1.8508713</v>
      </c>
      <c r="G71" s="18" t="n">
        <v>84.19708136</v>
      </c>
      <c r="H71" s="20" t="n">
        <v>1.75343965</v>
      </c>
      <c r="I71" s="18" t="s">
        <v>431</v>
      </c>
      <c r="J71" s="20" t="s">
        <v>431</v>
      </c>
      <c r="K71" s="18" t="n">
        <v>0</v>
      </c>
      <c r="L71" s="20" t="n">
        <v>0</v>
      </c>
      <c r="M71" s="18" t="n">
        <v>0</v>
      </c>
      <c r="N71" s="20" t="n">
        <v>0</v>
      </c>
      <c r="O71" s="18" t="n">
        <v>0</v>
      </c>
      <c r="P71" s="20" t="n">
        <v>0</v>
      </c>
      <c r="Q71" s="18" t="n">
        <v>0.51869594</v>
      </c>
      <c r="R71" s="20" t="n">
        <v>0.36795599</v>
      </c>
    </row>
    <row r="72" spans="1:18">
      <c r="A72" s="15" t="s">
        <v>496</v>
      </c>
      <c r="B72" s="17" t="n">
        <v>3889</v>
      </c>
      <c r="C72" s="18">
        <f>(3407.0/B72*100)</f>
        <v/>
      </c>
      <c r="D72" s="19" t="n">
        <v>482</v>
      </c>
      <c r="E72" s="18" t="n">
        <v>18.07321425</v>
      </c>
      <c r="F72" s="20" t="n">
        <v>1.69566814</v>
      </c>
      <c r="G72" s="18" t="n">
        <v>80.35838108</v>
      </c>
      <c r="H72" s="20" t="n">
        <v>1.86646879</v>
      </c>
      <c r="I72" s="18" t="s">
        <v>431</v>
      </c>
      <c r="J72" s="20" t="s">
        <v>431</v>
      </c>
      <c r="K72" s="18" t="n">
        <v>0</v>
      </c>
      <c r="L72" s="20" t="n">
        <v>0</v>
      </c>
      <c r="M72" s="18" t="n">
        <v>0</v>
      </c>
      <c r="N72" s="20" t="n">
        <v>0</v>
      </c>
      <c r="O72" s="18" t="n">
        <v>0</v>
      </c>
      <c r="P72" s="20" t="n">
        <v>0</v>
      </c>
      <c r="Q72" s="18" t="n">
        <v>1.56840467</v>
      </c>
      <c r="R72" s="20" t="n">
        <v>0.6306780400000001</v>
      </c>
    </row>
    <row r="73" spans="1:18">
      <c r="A73" s="15" t="s">
        <v>497</v>
      </c>
      <c r="B73" s="17" t="n">
        <v>3597</v>
      </c>
      <c r="C73" s="18">
        <f>(3167.0/B73*100)</f>
        <v/>
      </c>
      <c r="D73" s="19" t="n">
        <v>430</v>
      </c>
      <c r="E73" s="18" t="n">
        <v>38.9695445</v>
      </c>
      <c r="F73" s="20" t="n">
        <v>3.01726792</v>
      </c>
      <c r="G73" s="18" t="n">
        <v>60.3323227</v>
      </c>
      <c r="H73" s="20" t="n">
        <v>2.99990392</v>
      </c>
      <c r="I73" s="18" t="s">
        <v>431</v>
      </c>
      <c r="J73" s="20" t="s">
        <v>431</v>
      </c>
      <c r="K73" s="18" t="n">
        <v>0.33880083</v>
      </c>
      <c r="L73" s="20" t="n">
        <v>0.3376561</v>
      </c>
      <c r="M73" s="18" t="n">
        <v>0</v>
      </c>
      <c r="N73" s="20" t="n">
        <v>0</v>
      </c>
      <c r="O73" s="18" t="n">
        <v>0</v>
      </c>
      <c r="P73" s="20" t="n">
        <v>0</v>
      </c>
      <c r="Q73" s="18" t="n">
        <v>0.35933197</v>
      </c>
      <c r="R73" s="20" t="n">
        <v>0.33770105</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(2123.0/B75*100)</f>
        <v/>
      </c>
      <c r="D75" s="19" t="n">
        <v>283</v>
      </c>
      <c r="E75" s="18" t="n">
        <v>44.53538475</v>
      </c>
      <c r="F75" s="20" t="n">
        <v>3.37545434</v>
      </c>
      <c r="G75" s="18" t="n">
        <v>52.72079269</v>
      </c>
      <c r="H75" s="20" t="n">
        <v>3.32236191</v>
      </c>
      <c r="I75" s="18" t="s">
        <v>431</v>
      </c>
      <c r="J75" s="20" t="s">
        <v>431</v>
      </c>
      <c r="K75" s="18" t="n">
        <v>1.39301486</v>
      </c>
      <c r="L75" s="20" t="n">
        <v>0.64581578</v>
      </c>
      <c r="M75" s="18" t="n">
        <v>0</v>
      </c>
      <c r="N75" s="20" t="n">
        <v>0</v>
      </c>
      <c r="O75" s="18" t="n">
        <v>0</v>
      </c>
      <c r="P75" s="20" t="n">
        <v>0</v>
      </c>
      <c r="Q75" s="18" t="n">
        <v>1.3508077</v>
      </c>
      <c r="R75" s="20" t="n">
        <v>0.6260786</v>
      </c>
    </row>
    <row r="76" spans="1:18">
      <c r="A76" s="15" t="s">
        <v>500</v>
      </c>
      <c r="B76" s="17" t="n">
        <v>7052</v>
      </c>
      <c r="C76" s="18">
        <f>(6193.0/B76*100)</f>
        <v/>
      </c>
      <c r="D76" s="19" t="n">
        <v>859</v>
      </c>
      <c r="E76" s="18" t="n">
        <v>37.95226827</v>
      </c>
      <c r="F76" s="20" t="n">
        <v>1.93389169</v>
      </c>
      <c r="G76" s="18" t="n">
        <v>58.02875415</v>
      </c>
      <c r="H76" s="20" t="n">
        <v>2.01450762</v>
      </c>
      <c r="I76" s="18" t="s">
        <v>431</v>
      </c>
      <c r="J76" s="20" t="s">
        <v>431</v>
      </c>
      <c r="K76" s="18" t="n">
        <v>0.73207372</v>
      </c>
      <c r="L76" s="20" t="n">
        <v>0.29157538</v>
      </c>
      <c r="M76" s="18" t="n">
        <v>0</v>
      </c>
      <c r="N76" s="20" t="n">
        <v>0</v>
      </c>
      <c r="O76" s="18" t="n">
        <v>0</v>
      </c>
      <c r="P76" s="20" t="n">
        <v>0</v>
      </c>
      <c r="Q76" s="18" t="n">
        <v>3.28690386</v>
      </c>
      <c r="R76" s="20" t="n">
        <v>0.81395292</v>
      </c>
    </row>
    <row r="77" spans="1:18">
      <c r="A77" s="15" t="s">
        <v>501</v>
      </c>
      <c r="B77" s="17" t="n">
        <v>2908</v>
      </c>
      <c r="C77" s="18">
        <f>(2537.0/B77*100)</f>
        <v/>
      </c>
      <c r="D77" s="19" t="n">
        <v>371</v>
      </c>
      <c r="E77" s="18" t="n">
        <v>31.53956941</v>
      </c>
      <c r="F77" s="20" t="n">
        <v>2.33059871</v>
      </c>
      <c r="G77" s="18" t="n">
        <v>63.99744141</v>
      </c>
      <c r="H77" s="20" t="n">
        <v>2.26481394</v>
      </c>
      <c r="I77" s="18" t="s">
        <v>431</v>
      </c>
      <c r="J77" s="20" t="s">
        <v>431</v>
      </c>
      <c r="K77" s="18" t="n">
        <v>0.60638188</v>
      </c>
      <c r="L77" s="20" t="n">
        <v>0.47597489</v>
      </c>
      <c r="M77" s="18" t="n">
        <v>0</v>
      </c>
      <c r="N77" s="20" t="n">
        <v>0</v>
      </c>
      <c r="O77" s="18" t="n">
        <v>0</v>
      </c>
      <c r="P77" s="20" t="n">
        <v>0</v>
      </c>
      <c r="Q77" s="18" t="n">
        <v>3.8566073</v>
      </c>
      <c r="R77" s="20" t="n">
        <v>1.06267871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(3642.0/B81*100)</f>
        <v/>
      </c>
      <c r="D81" s="19" t="n">
        <v>521</v>
      </c>
      <c r="E81" s="18" t="n">
        <v>27.04510681</v>
      </c>
      <c r="F81" s="20" t="n">
        <v>2.74097882</v>
      </c>
      <c r="G81" s="18" t="n">
        <v>71.51207356</v>
      </c>
      <c r="H81" s="20" t="n">
        <v>2.69613012</v>
      </c>
      <c r="I81" s="18" t="s">
        <v>431</v>
      </c>
      <c r="J81" s="20" t="s">
        <v>431</v>
      </c>
      <c r="K81" s="18" t="n">
        <v>0</v>
      </c>
      <c r="L81" s="20" t="n">
        <v>0</v>
      </c>
      <c r="M81" s="18" t="n">
        <v>0</v>
      </c>
      <c r="N81" s="20" t="n">
        <v>0</v>
      </c>
      <c r="O81" s="18" t="n">
        <v>0</v>
      </c>
      <c r="P81" s="20" t="n">
        <v>0</v>
      </c>
      <c r="Q81" s="18" t="n">
        <v>1.44281963</v>
      </c>
      <c r="R81" s="20" t="n">
        <v>0.6509610300000001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(6474.0/B7*100)</f>
        <v/>
      </c>
      <c r="D7" s="19" t="n">
        <v>893</v>
      </c>
      <c r="E7" s="18" t="n">
        <v>25.22335247</v>
      </c>
      <c r="F7" s="20" t="n">
        <v>2.0288026</v>
      </c>
      <c r="G7" s="18" t="n">
        <v>74.17916449000001</v>
      </c>
      <c r="H7" s="20" t="n">
        <v>2.11840324</v>
      </c>
      <c r="I7" s="18" t="s">
        <v>431</v>
      </c>
      <c r="J7" s="20" t="s">
        <v>431</v>
      </c>
      <c r="K7" s="18" t="n">
        <v>0.01818608</v>
      </c>
      <c r="L7" s="20" t="n">
        <v>0.01824314</v>
      </c>
      <c r="M7" s="18" t="n">
        <v>0</v>
      </c>
      <c r="N7" s="20" t="n">
        <v>0</v>
      </c>
      <c r="O7" s="18" t="n">
        <v>0</v>
      </c>
      <c r="P7" s="20" t="n">
        <v>0</v>
      </c>
      <c r="Q7" s="18" t="n">
        <v>0.57929696</v>
      </c>
      <c r="R7" s="20" t="n">
        <v>0.34803322</v>
      </c>
    </row>
    <row r="8" spans="1:18">
      <c r="A8" s="15" t="s">
        <v>432</v>
      </c>
      <c r="B8" s="17" t="n">
        <v>3564</v>
      </c>
      <c r="C8" s="18">
        <f>(3113.0/B8*100)</f>
        <v/>
      </c>
      <c r="D8" s="19" t="n">
        <v>451</v>
      </c>
      <c r="E8" s="18" t="n">
        <v>33.11081605</v>
      </c>
      <c r="F8" s="20" t="n">
        <v>2.50961718</v>
      </c>
      <c r="G8" s="18" t="n">
        <v>64.66039910000001</v>
      </c>
      <c r="H8" s="20" t="n">
        <v>2.45331304</v>
      </c>
      <c r="I8" s="18" t="s">
        <v>431</v>
      </c>
      <c r="J8" s="20" t="s">
        <v>431</v>
      </c>
      <c r="K8" s="18" t="n">
        <v>0.26686765</v>
      </c>
      <c r="L8" s="20" t="n">
        <v>0.26750181</v>
      </c>
      <c r="M8" s="18" t="n">
        <v>0</v>
      </c>
      <c r="N8" s="20" t="n">
        <v>0</v>
      </c>
      <c r="O8" s="18" t="n">
        <v>0</v>
      </c>
      <c r="P8" s="20" t="n">
        <v>0</v>
      </c>
      <c r="Q8" s="18" t="n">
        <v>1.96191719</v>
      </c>
      <c r="R8" s="20" t="n">
        <v>0.83984061</v>
      </c>
    </row>
    <row r="9" spans="1:18">
      <c r="A9" s="15" t="s">
        <v>433</v>
      </c>
      <c r="B9" s="17" t="n">
        <v>4899</v>
      </c>
      <c r="C9" s="18">
        <f>(4315.0/B9*100)</f>
        <v/>
      </c>
      <c r="D9" s="19" t="n">
        <v>584</v>
      </c>
      <c r="E9" s="18" t="n">
        <v>27.59043182</v>
      </c>
      <c r="F9" s="20" t="n">
        <v>1.78812318</v>
      </c>
      <c r="G9" s="18" t="n">
        <v>70.78099223</v>
      </c>
      <c r="H9" s="20" t="n">
        <v>1.91176981</v>
      </c>
      <c r="I9" s="18" t="s">
        <v>431</v>
      </c>
      <c r="J9" s="20" t="s">
        <v>431</v>
      </c>
      <c r="K9" s="18" t="n">
        <v>0</v>
      </c>
      <c r="L9" s="20" t="n">
        <v>0</v>
      </c>
      <c r="M9" s="18" t="n">
        <v>0</v>
      </c>
      <c r="N9" s="20" t="n">
        <v>0</v>
      </c>
      <c r="O9" s="18" t="n">
        <v>0</v>
      </c>
      <c r="P9" s="20" t="n">
        <v>0</v>
      </c>
      <c r="Q9" s="18" t="n">
        <v>1.62857594</v>
      </c>
      <c r="R9" s="20" t="n">
        <v>0.5639124599999999</v>
      </c>
    </row>
    <row r="10" spans="1:18">
      <c r="A10" s="15" t="s">
        <v>434</v>
      </c>
      <c r="B10" s="17" t="n">
        <v>10036</v>
      </c>
      <c r="C10" s="18">
        <f>(8748.0/B10*100)</f>
        <v/>
      </c>
      <c r="D10" s="19" t="n">
        <v>1288</v>
      </c>
      <c r="E10" s="18" t="n">
        <v>24.15062506</v>
      </c>
      <c r="F10" s="20" t="n">
        <v>1.49310966</v>
      </c>
      <c r="G10" s="18" t="n">
        <v>75.22700158000001</v>
      </c>
      <c r="H10" s="20" t="n">
        <v>1.54557635</v>
      </c>
      <c r="I10" s="18" t="s">
        <v>431</v>
      </c>
      <c r="J10" s="20" t="s">
        <v>431</v>
      </c>
      <c r="K10" s="18" t="n">
        <v>0.18583744</v>
      </c>
      <c r="L10" s="20" t="n">
        <v>0.17174849</v>
      </c>
      <c r="M10" s="18" t="n">
        <v>0</v>
      </c>
      <c r="N10" s="20" t="n">
        <v>0</v>
      </c>
      <c r="O10" s="18" t="n">
        <v>0</v>
      </c>
      <c r="P10" s="20" t="n">
        <v>0</v>
      </c>
      <c r="Q10" s="18" t="n">
        <v>0.43653592</v>
      </c>
      <c r="R10" s="20" t="n">
        <v>0.23799636</v>
      </c>
    </row>
    <row r="11" spans="1:18">
      <c r="A11" s="15" t="s">
        <v>435</v>
      </c>
      <c r="B11" s="17" t="n">
        <v>3553</v>
      </c>
      <c r="C11" s="18">
        <f>(3151.0/B11*100)</f>
        <v/>
      </c>
      <c r="D11" s="19" t="n">
        <v>402</v>
      </c>
      <c r="E11" s="18" t="n">
        <v>40.41972243</v>
      </c>
      <c r="F11" s="20" t="n">
        <v>2.80642679</v>
      </c>
      <c r="G11" s="18" t="n">
        <v>57.15204449</v>
      </c>
      <c r="H11" s="20" t="n">
        <v>2.78005762</v>
      </c>
      <c r="I11" s="18" t="s">
        <v>431</v>
      </c>
      <c r="J11" s="20" t="s">
        <v>431</v>
      </c>
      <c r="K11" s="18" t="n">
        <v>1.06870124</v>
      </c>
      <c r="L11" s="20" t="n">
        <v>0.80338114</v>
      </c>
      <c r="M11" s="18" t="n">
        <v>0</v>
      </c>
      <c r="N11" s="20" t="n">
        <v>0</v>
      </c>
      <c r="O11" s="18" t="n">
        <v>0</v>
      </c>
      <c r="P11" s="20" t="n">
        <v>0</v>
      </c>
      <c r="Q11" s="18" t="n">
        <v>1.35953184</v>
      </c>
      <c r="R11" s="20" t="n">
        <v>0.71763301</v>
      </c>
    </row>
    <row r="12" spans="1:18">
      <c r="A12" s="15" t="s">
        <v>436</v>
      </c>
      <c r="B12" s="17" t="n">
        <v>3472</v>
      </c>
      <c r="C12" s="18">
        <f>(3037.0/B12*100)</f>
        <v/>
      </c>
      <c r="D12" s="19" t="n">
        <v>435</v>
      </c>
      <c r="E12" s="18" t="n">
        <v>31.62530937</v>
      </c>
      <c r="F12" s="20" t="n">
        <v>2.68257004</v>
      </c>
      <c r="G12" s="18" t="n">
        <v>68.06415165999999</v>
      </c>
      <c r="H12" s="20" t="n">
        <v>2.67373757</v>
      </c>
      <c r="I12" s="18" t="s">
        <v>431</v>
      </c>
      <c r="J12" s="20" t="s">
        <v>431</v>
      </c>
      <c r="K12" s="18" t="n">
        <v>0.20307973</v>
      </c>
      <c r="L12" s="20" t="n">
        <v>0.20004472</v>
      </c>
      <c r="M12" s="18" t="n">
        <v>0</v>
      </c>
      <c r="N12" s="20" t="n">
        <v>0</v>
      </c>
      <c r="O12" s="18" t="n">
        <v>0</v>
      </c>
      <c r="P12" s="20" t="n">
        <v>0</v>
      </c>
      <c r="Q12" s="18" t="n">
        <v>0.10745924</v>
      </c>
      <c r="R12" s="20" t="n">
        <v>0.11099667</v>
      </c>
    </row>
    <row r="13" spans="1:18">
      <c r="A13" s="15" t="s">
        <v>437</v>
      </c>
      <c r="B13" s="17" t="n">
        <v>3559</v>
      </c>
      <c r="C13" s="18">
        <f>(3124.0/B13*100)</f>
        <v/>
      </c>
      <c r="D13" s="19" t="n">
        <v>435</v>
      </c>
      <c r="E13" s="18" t="n">
        <v>32.20340781</v>
      </c>
      <c r="F13" s="20" t="n">
        <v>2.73095749</v>
      </c>
      <c r="G13" s="18" t="n">
        <v>66.66005177</v>
      </c>
      <c r="H13" s="20" t="n">
        <v>2.78610468</v>
      </c>
      <c r="I13" s="18" t="s">
        <v>431</v>
      </c>
      <c r="J13" s="20" t="s">
        <v>431</v>
      </c>
      <c r="K13" s="18" t="n">
        <v>0.29236121</v>
      </c>
      <c r="L13" s="20" t="n">
        <v>0.18486414</v>
      </c>
      <c r="M13" s="18" t="n">
        <v>0</v>
      </c>
      <c r="N13" s="20" t="n">
        <v>0</v>
      </c>
      <c r="O13" s="18" t="n">
        <v>0</v>
      </c>
      <c r="P13" s="20" t="n">
        <v>0</v>
      </c>
      <c r="Q13" s="18" t="n">
        <v>0.84417921</v>
      </c>
      <c r="R13" s="20" t="n">
        <v>0.47020027</v>
      </c>
    </row>
    <row r="14" spans="1:18">
      <c r="A14" s="15" t="s">
        <v>438</v>
      </c>
      <c r="B14" s="17" t="n">
        <v>2799</v>
      </c>
      <c r="C14" s="18">
        <f>(2468.0/B14*100)</f>
        <v/>
      </c>
      <c r="D14" s="19" t="n">
        <v>331</v>
      </c>
      <c r="E14" s="18" t="n">
        <v>27.25839075</v>
      </c>
      <c r="F14" s="20" t="n">
        <v>3.06754953</v>
      </c>
      <c r="G14" s="18" t="n">
        <v>72.74160925</v>
      </c>
      <c r="H14" s="20" t="n">
        <v>3.06754953</v>
      </c>
      <c r="I14" s="18" t="s">
        <v>431</v>
      </c>
      <c r="J14" s="20" t="s">
        <v>431</v>
      </c>
      <c r="K14" s="18" t="n">
        <v>0</v>
      </c>
      <c r="L14" s="20" t="n">
        <v>0</v>
      </c>
      <c r="M14" s="18" t="n">
        <v>0</v>
      </c>
      <c r="N14" s="20" t="n">
        <v>0</v>
      </c>
      <c r="O14" s="18" t="n">
        <v>0</v>
      </c>
      <c r="P14" s="20" t="n">
        <v>0</v>
      </c>
      <c r="Q14" s="18" t="n">
        <v>0</v>
      </c>
      <c r="R14" s="20" t="n">
        <v>0</v>
      </c>
    </row>
    <row r="15" spans="1:18">
      <c r="A15" s="15" t="s">
        <v>439</v>
      </c>
      <c r="B15" s="17" t="n">
        <v>3019</v>
      </c>
      <c r="C15" s="18">
        <f>(2636.0/B15*100)</f>
        <v/>
      </c>
      <c r="D15" s="19" t="n">
        <v>383</v>
      </c>
      <c r="E15" s="18" t="n">
        <v>21.21901935</v>
      </c>
      <c r="F15" s="20" t="n">
        <v>2.15923869</v>
      </c>
      <c r="G15" s="18" t="n">
        <v>77.9926865</v>
      </c>
      <c r="H15" s="20" t="n">
        <v>2.1608604</v>
      </c>
      <c r="I15" s="18" t="s">
        <v>431</v>
      </c>
      <c r="J15" s="20" t="s">
        <v>431</v>
      </c>
      <c r="K15" s="18" t="n">
        <v>0</v>
      </c>
      <c r="L15" s="20" t="n">
        <v>0</v>
      </c>
      <c r="M15" s="18" t="n">
        <v>0</v>
      </c>
      <c r="N15" s="20" t="n">
        <v>0</v>
      </c>
      <c r="O15" s="18" t="n">
        <v>0</v>
      </c>
      <c r="P15" s="20" t="n">
        <v>0</v>
      </c>
      <c r="Q15" s="18" t="n">
        <v>0.78829416</v>
      </c>
      <c r="R15" s="20" t="n">
        <v>0.45931266</v>
      </c>
    </row>
    <row r="16" spans="1:18">
      <c r="A16" s="15" t="s">
        <v>440</v>
      </c>
      <c r="B16" s="17" t="n">
        <v>2997</v>
      </c>
      <c r="C16" s="18">
        <f>(2647.0/B16*100)</f>
        <v/>
      </c>
      <c r="D16" s="19" t="n">
        <v>350</v>
      </c>
      <c r="E16" s="18" t="n">
        <v>23.99351312</v>
      </c>
      <c r="F16" s="20" t="n">
        <v>2.30793907</v>
      </c>
      <c r="G16" s="18" t="n">
        <v>73.04330229</v>
      </c>
      <c r="H16" s="20" t="n">
        <v>2.53321017</v>
      </c>
      <c r="I16" s="18" t="s">
        <v>431</v>
      </c>
      <c r="J16" s="20" t="s">
        <v>431</v>
      </c>
      <c r="K16" s="18" t="n">
        <v>0.85496029</v>
      </c>
      <c r="L16" s="20" t="n">
        <v>0.52793724</v>
      </c>
      <c r="M16" s="18" t="n">
        <v>0</v>
      </c>
      <c r="N16" s="20" t="n">
        <v>0</v>
      </c>
      <c r="O16" s="18" t="n">
        <v>0</v>
      </c>
      <c r="P16" s="20" t="n">
        <v>0</v>
      </c>
      <c r="Q16" s="18" t="n">
        <v>2.10822431</v>
      </c>
      <c r="R16" s="20" t="n">
        <v>0.68979928</v>
      </c>
    </row>
    <row r="17" spans="1:18">
      <c r="A17" s="15" t="s">
        <v>441</v>
      </c>
      <c r="B17" s="17" t="n">
        <v>3307</v>
      </c>
      <c r="C17" s="18">
        <f>(2906.0/B17*100)</f>
        <v/>
      </c>
      <c r="D17" s="19" t="n">
        <v>401</v>
      </c>
      <c r="E17" s="18" t="n">
        <v>27.69232664</v>
      </c>
      <c r="F17" s="20" t="n">
        <v>2.22206404</v>
      </c>
      <c r="G17" s="18" t="n">
        <v>70.92229165000001</v>
      </c>
      <c r="H17" s="20" t="n">
        <v>2.28008187</v>
      </c>
      <c r="I17" s="18" t="s">
        <v>431</v>
      </c>
      <c r="J17" s="20" t="s">
        <v>431</v>
      </c>
      <c r="K17" s="18" t="n">
        <v>0</v>
      </c>
      <c r="L17" s="20" t="n">
        <v>0</v>
      </c>
      <c r="M17" s="18" t="n">
        <v>0</v>
      </c>
      <c r="N17" s="20" t="n">
        <v>0</v>
      </c>
      <c r="O17" s="18" t="n">
        <v>0</v>
      </c>
      <c r="P17" s="20" t="n">
        <v>0</v>
      </c>
      <c r="Q17" s="18" t="n">
        <v>1.38538171</v>
      </c>
      <c r="R17" s="20" t="n">
        <v>0.62773506</v>
      </c>
    </row>
    <row r="18" spans="1:18">
      <c r="A18" s="15" t="s">
        <v>442</v>
      </c>
      <c r="B18" s="17" t="n">
        <v>2826</v>
      </c>
      <c r="C18" s="18">
        <f>(2467.0/B18*100)</f>
        <v/>
      </c>
      <c r="D18" s="19" t="n">
        <v>359</v>
      </c>
      <c r="E18" s="18" t="n">
        <v>38.32090845</v>
      </c>
      <c r="F18" s="20" t="n">
        <v>3.17079326</v>
      </c>
      <c r="G18" s="18" t="n">
        <v>58.95420929</v>
      </c>
      <c r="H18" s="20" t="n">
        <v>3.1052913</v>
      </c>
      <c r="I18" s="18" t="s">
        <v>431</v>
      </c>
      <c r="J18" s="20" t="s">
        <v>431</v>
      </c>
      <c r="K18" s="18" t="n">
        <v>0.49511533</v>
      </c>
      <c r="L18" s="20" t="n">
        <v>0.50108266</v>
      </c>
      <c r="M18" s="18" t="n">
        <v>0</v>
      </c>
      <c r="N18" s="20" t="n">
        <v>0</v>
      </c>
      <c r="O18" s="18" t="n">
        <v>0</v>
      </c>
      <c r="P18" s="20" t="n">
        <v>0</v>
      </c>
      <c r="Q18" s="18" t="n">
        <v>2.22976693</v>
      </c>
      <c r="R18" s="20" t="n">
        <v>0.87404606</v>
      </c>
    </row>
    <row r="19" spans="1:18">
      <c r="A19" s="15" t="s">
        <v>443</v>
      </c>
      <c r="B19" s="17" t="n">
        <v>2808</v>
      </c>
      <c r="C19" s="18">
        <f>(2450.0/B19*100)</f>
        <v/>
      </c>
      <c r="D19" s="19" t="n">
        <v>358</v>
      </c>
      <c r="E19" s="18" t="n">
        <v>27.89565201</v>
      </c>
      <c r="F19" s="20" t="n">
        <v>2.25844543</v>
      </c>
      <c r="G19" s="18" t="n">
        <v>70.43625557</v>
      </c>
      <c r="H19" s="20" t="n">
        <v>2.30447972</v>
      </c>
      <c r="I19" s="18" t="s">
        <v>431</v>
      </c>
      <c r="J19" s="20" t="s">
        <v>431</v>
      </c>
      <c r="K19" s="18" t="n">
        <v>0.57372187</v>
      </c>
      <c r="L19" s="20" t="n">
        <v>0.6228832399999999</v>
      </c>
      <c r="M19" s="18" t="n">
        <v>0</v>
      </c>
      <c r="N19" s="20" t="n">
        <v>0</v>
      </c>
      <c r="O19" s="18" t="n">
        <v>0</v>
      </c>
      <c r="P19" s="20" t="n">
        <v>0</v>
      </c>
      <c r="Q19" s="18" t="n">
        <v>1.09437055</v>
      </c>
      <c r="R19" s="20" t="n">
        <v>0.53051116</v>
      </c>
    </row>
    <row r="20" spans="1:18">
      <c r="A20" s="15" t="s">
        <v>444</v>
      </c>
      <c r="B20" s="17" t="n">
        <v>1630</v>
      </c>
      <c r="C20" s="18">
        <f>(1436.0/B20*100)</f>
        <v/>
      </c>
      <c r="D20" s="19" t="n">
        <v>194</v>
      </c>
      <c r="E20" s="18" t="n">
        <v>35.60285085</v>
      </c>
      <c r="F20" s="20" t="n">
        <v>3.39428581</v>
      </c>
      <c r="G20" s="18" t="n">
        <v>62.92967188</v>
      </c>
      <c r="H20" s="20" t="n">
        <v>3.4331757</v>
      </c>
      <c r="I20" s="18" t="s">
        <v>431</v>
      </c>
      <c r="J20" s="20" t="s">
        <v>431</v>
      </c>
      <c r="K20" s="18" t="n">
        <v>0.49991428</v>
      </c>
      <c r="L20" s="20" t="n">
        <v>0.48296887</v>
      </c>
      <c r="M20" s="18" t="n">
        <v>0</v>
      </c>
      <c r="N20" s="20" t="n">
        <v>0</v>
      </c>
      <c r="O20" s="18" t="n">
        <v>0</v>
      </c>
      <c r="P20" s="20" t="n">
        <v>0</v>
      </c>
      <c r="Q20" s="18" t="n">
        <v>0.96756298</v>
      </c>
      <c r="R20" s="20" t="n">
        <v>0.67234651</v>
      </c>
    </row>
    <row r="21" spans="1:18">
      <c r="A21" s="15" t="s">
        <v>445</v>
      </c>
      <c r="B21" s="17" t="n">
        <v>2908</v>
      </c>
      <c r="C21" s="18">
        <f>(2434.0/B21*100)</f>
        <v/>
      </c>
      <c r="D21" s="19" t="n">
        <v>474</v>
      </c>
      <c r="E21" s="18" t="n">
        <v>23.57815701</v>
      </c>
      <c r="F21" s="20" t="n">
        <v>1.94827219</v>
      </c>
      <c r="G21" s="18" t="n">
        <v>75.88719694</v>
      </c>
      <c r="H21" s="20" t="n">
        <v>1.9810775</v>
      </c>
      <c r="I21" s="18" t="s">
        <v>431</v>
      </c>
      <c r="J21" s="20" t="s">
        <v>431</v>
      </c>
      <c r="K21" s="18" t="n">
        <v>0</v>
      </c>
      <c r="L21" s="20" t="n">
        <v>0</v>
      </c>
      <c r="M21" s="18" t="n">
        <v>0</v>
      </c>
      <c r="N21" s="20" t="n">
        <v>0</v>
      </c>
      <c r="O21" s="18" t="n">
        <v>0</v>
      </c>
      <c r="P21" s="20" t="n">
        <v>0</v>
      </c>
      <c r="Q21" s="18" t="n">
        <v>0.53464604</v>
      </c>
      <c r="R21" s="20" t="n">
        <v>0.34252315</v>
      </c>
    </row>
    <row r="22" spans="1:18">
      <c r="A22" s="15" t="s">
        <v>446</v>
      </c>
      <c r="B22" s="17" t="n">
        <v>2931</v>
      </c>
      <c r="C22" s="18">
        <f>(2565.0/B22*100)</f>
        <v/>
      </c>
      <c r="D22" s="19" t="n">
        <v>366</v>
      </c>
      <c r="E22" s="18" t="n">
        <v>26.23444558</v>
      </c>
      <c r="F22" s="20" t="n">
        <v>2.65729378</v>
      </c>
      <c r="G22" s="18" t="n">
        <v>67.39183731</v>
      </c>
      <c r="H22" s="20" t="n">
        <v>2.83531058</v>
      </c>
      <c r="I22" s="18" t="s">
        <v>431</v>
      </c>
      <c r="J22" s="20" t="s">
        <v>431</v>
      </c>
      <c r="K22" s="18" t="n">
        <v>1.77757785</v>
      </c>
      <c r="L22" s="20" t="n">
        <v>0.75056603</v>
      </c>
      <c r="M22" s="18" t="n">
        <v>0</v>
      </c>
      <c r="N22" s="20" t="n">
        <v>0</v>
      </c>
      <c r="O22" s="18" t="n">
        <v>0</v>
      </c>
      <c r="P22" s="20" t="n">
        <v>0</v>
      </c>
      <c r="Q22" s="18" t="n">
        <v>4.59613927</v>
      </c>
      <c r="R22" s="20" t="n">
        <v>1.04116418</v>
      </c>
    </row>
    <row r="23" spans="1:18">
      <c r="A23" s="15" t="s">
        <v>447</v>
      </c>
      <c r="B23" s="17" t="n">
        <v>5791</v>
      </c>
      <c r="C23" s="18">
        <f>(5068.0/B23*100)</f>
        <v/>
      </c>
      <c r="D23" s="19" t="n">
        <v>723</v>
      </c>
      <c r="E23" s="18" t="n">
        <v>20.14299028</v>
      </c>
      <c r="F23" s="20" t="n">
        <v>1.9536288</v>
      </c>
      <c r="G23" s="18" t="n">
        <v>78.20269374999999</v>
      </c>
      <c r="H23" s="20" t="n">
        <v>2.21706862</v>
      </c>
      <c r="I23" s="18" t="s">
        <v>431</v>
      </c>
      <c r="J23" s="20" t="s">
        <v>431</v>
      </c>
      <c r="K23" s="18" t="n">
        <v>0.13336067</v>
      </c>
      <c r="L23" s="20" t="n">
        <v>0.13876472</v>
      </c>
      <c r="M23" s="18" t="n">
        <v>0</v>
      </c>
      <c r="N23" s="20" t="n">
        <v>0</v>
      </c>
      <c r="O23" s="18" t="n">
        <v>0</v>
      </c>
      <c r="P23" s="20" t="n">
        <v>0</v>
      </c>
      <c r="Q23" s="18" t="n">
        <v>1.5209553</v>
      </c>
      <c r="R23" s="20" t="n">
        <v>0.76006158</v>
      </c>
    </row>
    <row r="24" spans="1:18">
      <c r="A24" s="15" t="s">
        <v>448</v>
      </c>
      <c r="B24" s="17" t="n">
        <v>3338</v>
      </c>
      <c r="C24" s="18">
        <f>(2938.0/B24*100)</f>
        <v/>
      </c>
      <c r="D24" s="19" t="n">
        <v>400</v>
      </c>
      <c r="E24" s="18" t="n">
        <v>17.75055398</v>
      </c>
      <c r="F24" s="20" t="n">
        <v>2.07544741</v>
      </c>
      <c r="G24" s="18" t="n">
        <v>81.31904541</v>
      </c>
      <c r="H24" s="20" t="n">
        <v>2.07575685</v>
      </c>
      <c r="I24" s="18" t="s">
        <v>431</v>
      </c>
      <c r="J24" s="20" t="s">
        <v>431</v>
      </c>
      <c r="K24" s="18" t="n">
        <v>0</v>
      </c>
      <c r="L24" s="20" t="n">
        <v>0</v>
      </c>
      <c r="M24" s="18" t="n">
        <v>0</v>
      </c>
      <c r="N24" s="20" t="n">
        <v>0</v>
      </c>
      <c r="O24" s="18" t="n">
        <v>0</v>
      </c>
      <c r="P24" s="20" t="n">
        <v>0</v>
      </c>
      <c r="Q24" s="18" t="n">
        <v>0.93040061</v>
      </c>
      <c r="R24" s="20" t="n">
        <v>0.45787434</v>
      </c>
    </row>
    <row r="25" spans="1:18">
      <c r="A25" s="15" t="s">
        <v>449</v>
      </c>
      <c r="B25" s="17" t="n">
        <v>2912</v>
      </c>
      <c r="C25" s="18">
        <f>(2540.0/B25*100)</f>
        <v/>
      </c>
      <c r="D25" s="19" t="n">
        <v>372</v>
      </c>
      <c r="E25" s="18" t="n">
        <v>23.9422827</v>
      </c>
      <c r="F25" s="20" t="n">
        <v>2.45061398</v>
      </c>
      <c r="G25" s="18" t="n">
        <v>76.05771729999999</v>
      </c>
      <c r="H25" s="20" t="n">
        <v>2.45061398</v>
      </c>
      <c r="I25" s="18" t="s">
        <v>431</v>
      </c>
      <c r="J25" s="20" t="s">
        <v>431</v>
      </c>
      <c r="K25" s="18" t="n">
        <v>0</v>
      </c>
      <c r="L25" s="20" t="n">
        <v>0</v>
      </c>
      <c r="M25" s="18" t="n">
        <v>0</v>
      </c>
      <c r="N25" s="20" t="n">
        <v>0</v>
      </c>
      <c r="O25" s="18" t="n">
        <v>0</v>
      </c>
      <c r="P25" s="20" t="n">
        <v>0</v>
      </c>
      <c r="Q25" s="18" t="n">
        <v>0</v>
      </c>
      <c r="R25" s="20" t="n">
        <v>0</v>
      </c>
    </row>
    <row r="26" spans="1:18">
      <c r="A26" s="15" t="s">
        <v>450</v>
      </c>
      <c r="B26" s="17" t="n">
        <v>2450</v>
      </c>
      <c r="C26" s="18">
        <f>(2136.0/B26*100)</f>
        <v/>
      </c>
      <c r="D26" s="19" t="n">
        <v>314</v>
      </c>
      <c r="E26" s="18" t="n">
        <v>32.15853533</v>
      </c>
      <c r="F26" s="20" t="n">
        <v>2.72999671</v>
      </c>
      <c r="G26" s="18" t="n">
        <v>67.32987255</v>
      </c>
      <c r="H26" s="20" t="n">
        <v>2.73876086</v>
      </c>
      <c r="I26" s="18" t="s">
        <v>431</v>
      </c>
      <c r="J26" s="20" t="s">
        <v>431</v>
      </c>
      <c r="K26" s="18" t="n">
        <v>0</v>
      </c>
      <c r="L26" s="20" t="n">
        <v>0</v>
      </c>
      <c r="M26" s="18" t="n">
        <v>0</v>
      </c>
      <c r="N26" s="20" t="n">
        <v>0</v>
      </c>
      <c r="O26" s="18" t="n">
        <v>0</v>
      </c>
      <c r="P26" s="20" t="n">
        <v>0</v>
      </c>
      <c r="Q26" s="18" t="n">
        <v>0.51159212</v>
      </c>
      <c r="R26" s="20" t="n">
        <v>0.36096579</v>
      </c>
    </row>
    <row r="27" spans="1:18">
      <c r="A27" s="15" t="s">
        <v>451</v>
      </c>
      <c r="B27" s="17" t="n">
        <v>2616</v>
      </c>
      <c r="C27" s="18">
        <f>(2288.0/B27*100)</f>
        <v/>
      </c>
      <c r="D27" s="19" t="n">
        <v>328</v>
      </c>
      <c r="E27" s="18" t="n">
        <v>32.7018867</v>
      </c>
      <c r="F27" s="20" t="n">
        <v>2.68105254</v>
      </c>
      <c r="G27" s="18" t="n">
        <v>64.56370834000001</v>
      </c>
      <c r="H27" s="20" t="n">
        <v>2.46013911</v>
      </c>
      <c r="I27" s="18" t="s">
        <v>431</v>
      </c>
      <c r="J27" s="20" t="s">
        <v>431</v>
      </c>
      <c r="K27" s="18" t="n">
        <v>0.30680597</v>
      </c>
      <c r="L27" s="20" t="n">
        <v>0.3081557</v>
      </c>
      <c r="M27" s="18" t="n">
        <v>0</v>
      </c>
      <c r="N27" s="20" t="n">
        <v>0</v>
      </c>
      <c r="O27" s="18" t="n">
        <v>0</v>
      </c>
      <c r="P27" s="20" t="n">
        <v>0</v>
      </c>
      <c r="Q27" s="18" t="n">
        <v>2.42759899</v>
      </c>
      <c r="R27" s="20" t="n">
        <v>0.96639636</v>
      </c>
    </row>
    <row r="28" spans="1:18">
      <c r="A28" s="15" t="s">
        <v>452</v>
      </c>
      <c r="B28" s="17" t="n">
        <v>3765</v>
      </c>
      <c r="C28" s="18">
        <f>(3305.0/B28*100)</f>
        <v/>
      </c>
      <c r="D28" s="19" t="n">
        <v>460</v>
      </c>
      <c r="E28" s="18" t="n">
        <v>42.42490468</v>
      </c>
      <c r="F28" s="20" t="n">
        <v>2.36757324</v>
      </c>
      <c r="G28" s="18" t="n">
        <v>55.83819016</v>
      </c>
      <c r="H28" s="20" t="n">
        <v>2.37811795</v>
      </c>
      <c r="I28" s="18" t="s">
        <v>431</v>
      </c>
      <c r="J28" s="20" t="s">
        <v>431</v>
      </c>
      <c r="K28" s="18" t="n">
        <v>0</v>
      </c>
      <c r="L28" s="20" t="n">
        <v>0</v>
      </c>
      <c r="M28" s="18" t="n">
        <v>0</v>
      </c>
      <c r="N28" s="20" t="n">
        <v>0</v>
      </c>
      <c r="O28" s="18" t="n">
        <v>0</v>
      </c>
      <c r="P28" s="20" t="n">
        <v>0</v>
      </c>
      <c r="Q28" s="18" t="n">
        <v>1.73690515</v>
      </c>
      <c r="R28" s="20" t="n">
        <v>0.6699489</v>
      </c>
    </row>
    <row r="29" spans="1:18">
      <c r="A29" s="15" t="s">
        <v>453</v>
      </c>
      <c r="B29" s="17" t="n">
        <v>2685</v>
      </c>
      <c r="C29" s="18">
        <f>(2369.0/B29*100)</f>
        <v/>
      </c>
      <c r="D29" s="19" t="n">
        <v>316</v>
      </c>
      <c r="E29" s="18" t="n">
        <v>39.01380434</v>
      </c>
      <c r="F29" s="20" t="n">
        <v>2.58998953</v>
      </c>
      <c r="G29" s="18" t="n">
        <v>60.98619566</v>
      </c>
      <c r="H29" s="20" t="n">
        <v>2.58998953</v>
      </c>
      <c r="I29" s="18" t="s">
        <v>431</v>
      </c>
      <c r="J29" s="20" t="s">
        <v>431</v>
      </c>
      <c r="K29" s="18" t="n">
        <v>0</v>
      </c>
      <c r="L29" s="20" t="n">
        <v>0</v>
      </c>
      <c r="M29" s="18" t="n">
        <v>0</v>
      </c>
      <c r="N29" s="20" t="n">
        <v>0</v>
      </c>
      <c r="O29" s="18" t="n">
        <v>0</v>
      </c>
      <c r="P29" s="20" t="n">
        <v>0</v>
      </c>
      <c r="Q29" s="18" t="n">
        <v>0</v>
      </c>
      <c r="R29" s="20" t="n">
        <v>0</v>
      </c>
    </row>
    <row r="30" spans="1:18">
      <c r="A30" s="15" t="s">
        <v>454</v>
      </c>
      <c r="B30" s="17" t="n">
        <v>2263</v>
      </c>
      <c r="C30" s="18">
        <f>(1986.0/B30*100)</f>
        <v/>
      </c>
      <c r="D30" s="19" t="n">
        <v>277</v>
      </c>
      <c r="E30" s="18" t="n">
        <v>21.66539997</v>
      </c>
      <c r="F30" s="20" t="n">
        <v>2.39410955</v>
      </c>
      <c r="G30" s="18" t="n">
        <v>75.64542371</v>
      </c>
      <c r="H30" s="20" t="n">
        <v>2.3412087</v>
      </c>
      <c r="I30" s="18" t="s">
        <v>431</v>
      </c>
      <c r="J30" s="20" t="s">
        <v>431</v>
      </c>
      <c r="K30" s="18" t="n">
        <v>0.3218021</v>
      </c>
      <c r="L30" s="20" t="n">
        <v>0.32833676</v>
      </c>
      <c r="M30" s="18" t="n">
        <v>0</v>
      </c>
      <c r="N30" s="20" t="n">
        <v>0</v>
      </c>
      <c r="O30" s="18" t="n">
        <v>0</v>
      </c>
      <c r="P30" s="20" t="n">
        <v>0</v>
      </c>
      <c r="Q30" s="18" t="n">
        <v>2.36737422</v>
      </c>
      <c r="R30" s="20" t="n">
        <v>0.89946903</v>
      </c>
    </row>
    <row r="31" spans="1:18">
      <c r="A31" s="15" t="s">
        <v>455</v>
      </c>
      <c r="B31" s="17" t="n">
        <v>2750</v>
      </c>
      <c r="C31" s="18">
        <f>(2413.0/B31*100)</f>
        <v/>
      </c>
      <c r="D31" s="19" t="n">
        <v>337</v>
      </c>
      <c r="E31" s="18" t="n">
        <v>27.53588042</v>
      </c>
      <c r="F31" s="20" t="n">
        <v>2.45340068</v>
      </c>
      <c r="G31" s="18" t="n">
        <v>69.42642517</v>
      </c>
      <c r="H31" s="20" t="n">
        <v>2.76221875</v>
      </c>
      <c r="I31" s="18" t="s">
        <v>431</v>
      </c>
      <c r="J31" s="20" t="s">
        <v>431</v>
      </c>
      <c r="K31" s="18" t="n">
        <v>0.60039837</v>
      </c>
      <c r="L31" s="20" t="n">
        <v>0.35660264</v>
      </c>
      <c r="M31" s="18" t="n">
        <v>0</v>
      </c>
      <c r="N31" s="20" t="n">
        <v>0</v>
      </c>
      <c r="O31" s="18" t="n">
        <v>0</v>
      </c>
      <c r="P31" s="20" t="n">
        <v>0</v>
      </c>
      <c r="Q31" s="18" t="n">
        <v>2.43729604</v>
      </c>
      <c r="R31" s="20" t="n">
        <v>1.0341274</v>
      </c>
    </row>
    <row r="32" spans="1:18">
      <c r="A32" s="15" t="s">
        <v>456</v>
      </c>
      <c r="B32" s="17" t="n">
        <v>2269</v>
      </c>
      <c r="C32" s="18">
        <f>(1897.0/B32*100)</f>
        <v/>
      </c>
      <c r="D32" s="19" t="n">
        <v>372</v>
      </c>
      <c r="E32" s="18" t="n">
        <v>24.56602519</v>
      </c>
      <c r="F32" s="20" t="n">
        <v>2.14896183</v>
      </c>
      <c r="G32" s="18" t="n">
        <v>75.16464007</v>
      </c>
      <c r="H32" s="20" t="n">
        <v>2.15024781</v>
      </c>
      <c r="I32" s="18" t="s">
        <v>431</v>
      </c>
      <c r="J32" s="20" t="s">
        <v>431</v>
      </c>
      <c r="K32" s="18" t="n">
        <v>0</v>
      </c>
      <c r="L32" s="20" t="n">
        <v>0</v>
      </c>
      <c r="M32" s="18" t="n">
        <v>0</v>
      </c>
      <c r="N32" s="20" t="n">
        <v>0</v>
      </c>
      <c r="O32" s="18" t="n">
        <v>0</v>
      </c>
      <c r="P32" s="20" t="n">
        <v>0</v>
      </c>
      <c r="Q32" s="18" t="n">
        <v>0.26933474</v>
      </c>
      <c r="R32" s="20" t="n">
        <v>0.29368951</v>
      </c>
    </row>
    <row r="33" spans="1:18">
      <c r="A33" s="15" t="s">
        <v>457</v>
      </c>
      <c r="B33" s="17" t="n">
        <v>3674</v>
      </c>
      <c r="C33" s="18">
        <f>(3222.0/B33*100)</f>
        <v/>
      </c>
      <c r="D33" s="19" t="n">
        <v>452</v>
      </c>
      <c r="E33" s="18" t="n">
        <v>32.31329505</v>
      </c>
      <c r="F33" s="20" t="n">
        <v>2.77513711</v>
      </c>
      <c r="G33" s="18" t="n">
        <v>66.82076397</v>
      </c>
      <c r="H33" s="20" t="n">
        <v>2.68584867</v>
      </c>
      <c r="I33" s="18" t="s">
        <v>431</v>
      </c>
      <c r="J33" s="20" t="s">
        <v>431</v>
      </c>
      <c r="K33" s="18" t="n">
        <v>0</v>
      </c>
      <c r="L33" s="20" t="n">
        <v>0</v>
      </c>
      <c r="M33" s="18" t="n">
        <v>0</v>
      </c>
      <c r="N33" s="20" t="n">
        <v>0</v>
      </c>
      <c r="O33" s="18" t="n">
        <v>0</v>
      </c>
      <c r="P33" s="20" t="n">
        <v>0</v>
      </c>
      <c r="Q33" s="18" t="n">
        <v>0.86594098</v>
      </c>
      <c r="R33" s="20" t="n">
        <v>0.34681501</v>
      </c>
    </row>
    <row r="34" spans="1:18">
      <c r="A34" s="15" t="s">
        <v>458</v>
      </c>
      <c r="B34" s="17" t="n">
        <v>3315</v>
      </c>
      <c r="C34" s="18">
        <f>(2931.0/B34*100)</f>
        <v/>
      </c>
      <c r="D34" s="19" t="n">
        <v>384</v>
      </c>
      <c r="E34" s="18" t="n">
        <v>35.93377289</v>
      </c>
      <c r="F34" s="20" t="n">
        <v>2.8072941</v>
      </c>
      <c r="G34" s="18" t="n">
        <v>61.79222984</v>
      </c>
      <c r="H34" s="20" t="n">
        <v>3.06974453</v>
      </c>
      <c r="I34" s="18" t="s">
        <v>431</v>
      </c>
      <c r="J34" s="20" t="s">
        <v>431</v>
      </c>
      <c r="K34" s="18" t="n">
        <v>0.08476448</v>
      </c>
      <c r="L34" s="20" t="n">
        <v>0.08537516000000001</v>
      </c>
      <c r="M34" s="18" t="n">
        <v>0</v>
      </c>
      <c r="N34" s="20" t="n">
        <v>0</v>
      </c>
      <c r="O34" s="18" t="n">
        <v>0</v>
      </c>
      <c r="P34" s="20" t="n">
        <v>0</v>
      </c>
      <c r="Q34" s="18" t="n">
        <v>2.18923278</v>
      </c>
      <c r="R34" s="20" t="n">
        <v>0.87986491</v>
      </c>
    </row>
    <row r="35" spans="1:18">
      <c r="A35" s="15" t="s">
        <v>459</v>
      </c>
      <c r="B35" s="17" t="n">
        <v>3505</v>
      </c>
      <c r="C35" s="18">
        <f>(3097.0/B35*100)</f>
        <v/>
      </c>
      <c r="D35" s="19" t="n">
        <v>408</v>
      </c>
      <c r="E35" s="18" t="n">
        <v>31.24206794</v>
      </c>
      <c r="F35" s="20" t="n">
        <v>2.87105322</v>
      </c>
      <c r="G35" s="18" t="n">
        <v>67.9452672</v>
      </c>
      <c r="H35" s="20" t="n">
        <v>2.93901159</v>
      </c>
      <c r="I35" s="18" t="s">
        <v>431</v>
      </c>
      <c r="J35" s="20" t="s">
        <v>431</v>
      </c>
      <c r="K35" s="18" t="n">
        <v>0</v>
      </c>
      <c r="L35" s="20" t="n">
        <v>0</v>
      </c>
      <c r="M35" s="18" t="n">
        <v>0</v>
      </c>
      <c r="N35" s="20" t="n">
        <v>0</v>
      </c>
      <c r="O35" s="18" t="n">
        <v>0</v>
      </c>
      <c r="P35" s="20" t="n">
        <v>0</v>
      </c>
      <c r="Q35" s="18" t="n">
        <v>0.81266486</v>
      </c>
      <c r="R35" s="20" t="n">
        <v>0.58710476</v>
      </c>
    </row>
    <row r="36" spans="1:18">
      <c r="A36" s="15" t="s">
        <v>460</v>
      </c>
      <c r="B36" s="17" t="n">
        <v>3332</v>
      </c>
      <c r="C36" s="18">
        <f>(2920.0/B36*100)</f>
        <v/>
      </c>
      <c r="D36" s="19" t="n">
        <v>412</v>
      </c>
      <c r="E36" s="18" t="n">
        <v>35.16219551</v>
      </c>
      <c r="F36" s="20" t="n">
        <v>2.61312882</v>
      </c>
      <c r="G36" s="18" t="n">
        <v>63.03563648</v>
      </c>
      <c r="H36" s="20" t="n">
        <v>2.6756365</v>
      </c>
      <c r="I36" s="18" t="s">
        <v>431</v>
      </c>
      <c r="J36" s="20" t="s">
        <v>431</v>
      </c>
      <c r="K36" s="18" t="n">
        <v>0.78874283</v>
      </c>
      <c r="L36" s="20" t="n">
        <v>0.38330298</v>
      </c>
      <c r="M36" s="18" t="n">
        <v>0</v>
      </c>
      <c r="N36" s="20" t="n">
        <v>0</v>
      </c>
      <c r="O36" s="18" t="n">
        <v>0</v>
      </c>
      <c r="P36" s="20" t="n">
        <v>0</v>
      </c>
      <c r="Q36" s="18" t="n">
        <v>1.01342518</v>
      </c>
      <c r="R36" s="20" t="n">
        <v>0.55817832</v>
      </c>
    </row>
    <row r="37" spans="1:18">
      <c r="A37" s="15" t="s">
        <v>461</v>
      </c>
      <c r="B37" s="17" t="n">
        <v>2727</v>
      </c>
      <c r="C37" s="18">
        <f>(2387.0/B37*100)</f>
        <v/>
      </c>
      <c r="D37" s="19" t="n">
        <v>340</v>
      </c>
      <c r="E37" s="18" t="n">
        <v>30.65585804</v>
      </c>
      <c r="F37" s="20" t="n">
        <v>2.54143605</v>
      </c>
      <c r="G37" s="18" t="n">
        <v>68.27605008</v>
      </c>
      <c r="H37" s="20" t="n">
        <v>2.59092421</v>
      </c>
      <c r="I37" s="18" t="s">
        <v>431</v>
      </c>
      <c r="J37" s="20" t="s">
        <v>431</v>
      </c>
      <c r="K37" s="18" t="n">
        <v>0.22282904</v>
      </c>
      <c r="L37" s="20" t="n">
        <v>0.22326446</v>
      </c>
      <c r="M37" s="18" t="n">
        <v>0</v>
      </c>
      <c r="N37" s="20" t="n">
        <v>0</v>
      </c>
      <c r="O37" s="18" t="n">
        <v>0</v>
      </c>
      <c r="P37" s="20" t="n">
        <v>0</v>
      </c>
      <c r="Q37" s="18" t="n">
        <v>0.84526284</v>
      </c>
      <c r="R37" s="20" t="n">
        <v>0.635613</v>
      </c>
    </row>
    <row r="38" spans="1:18">
      <c r="A38" s="15" t="s">
        <v>462</v>
      </c>
      <c r="B38" s="17" t="n">
        <v>3053</v>
      </c>
      <c r="C38" s="18">
        <f>(2535.0/B38*100)</f>
        <v/>
      </c>
      <c r="D38" s="19" t="n">
        <v>518</v>
      </c>
      <c r="E38" s="18" t="n">
        <v>29.93570437</v>
      </c>
      <c r="F38" s="20" t="n">
        <v>2.15032643</v>
      </c>
      <c r="G38" s="18" t="n">
        <v>66.74299431</v>
      </c>
      <c r="H38" s="20" t="n">
        <v>2.33334887</v>
      </c>
      <c r="I38" s="18" t="s">
        <v>431</v>
      </c>
      <c r="J38" s="20" t="s">
        <v>431</v>
      </c>
      <c r="K38" s="18" t="n">
        <v>0.87140277</v>
      </c>
      <c r="L38" s="20" t="n">
        <v>0.57337466</v>
      </c>
      <c r="M38" s="18" t="n">
        <v>0</v>
      </c>
      <c r="N38" s="20" t="n">
        <v>0</v>
      </c>
      <c r="O38" s="18" t="n">
        <v>0</v>
      </c>
      <c r="P38" s="20" t="n">
        <v>0</v>
      </c>
      <c r="Q38" s="18" t="n">
        <v>2.44989855</v>
      </c>
      <c r="R38" s="20" t="n">
        <v>1.15335032</v>
      </c>
    </row>
    <row r="39" spans="1:18">
      <c r="A39" s="15" t="s">
        <v>463</v>
      </c>
      <c r="B39" s="17" t="n">
        <v>2957</v>
      </c>
      <c r="C39" s="18">
        <f>(2594.0/B39*100)</f>
        <v/>
      </c>
      <c r="D39" s="19" t="n">
        <v>363</v>
      </c>
      <c r="E39" s="18" t="n">
        <v>39.31547309</v>
      </c>
      <c r="F39" s="20" t="n">
        <v>3.2462044</v>
      </c>
      <c r="G39" s="18" t="n">
        <v>58.22642425</v>
      </c>
      <c r="H39" s="20" t="n">
        <v>3.25772507</v>
      </c>
      <c r="I39" s="18" t="s">
        <v>431</v>
      </c>
      <c r="J39" s="20" t="s">
        <v>431</v>
      </c>
      <c r="K39" s="18" t="n">
        <v>0</v>
      </c>
      <c r="L39" s="20" t="n">
        <v>0</v>
      </c>
      <c r="M39" s="18" t="n">
        <v>0</v>
      </c>
      <c r="N39" s="20" t="n">
        <v>0</v>
      </c>
      <c r="O39" s="18" t="n">
        <v>0</v>
      </c>
      <c r="P39" s="20" t="n">
        <v>0</v>
      </c>
      <c r="Q39" s="18" t="n">
        <v>2.45810266</v>
      </c>
      <c r="R39" s="20" t="n">
        <v>0.8133093300000001</v>
      </c>
    </row>
    <row r="40" spans="1:18">
      <c r="A40" s="15" t="s">
        <v>464</v>
      </c>
      <c r="B40" s="17" t="n">
        <v>7235</v>
      </c>
      <c r="C40" s="18">
        <f>(6376.0/B40*100)</f>
        <v/>
      </c>
      <c r="D40" s="19" t="n">
        <v>859</v>
      </c>
      <c r="E40" s="18" t="n">
        <v>27.22820938</v>
      </c>
      <c r="F40" s="20" t="n">
        <v>2.51964139</v>
      </c>
      <c r="G40" s="18" t="n">
        <v>71.78919607</v>
      </c>
      <c r="H40" s="20" t="n">
        <v>2.64397056</v>
      </c>
      <c r="I40" s="18" t="s">
        <v>431</v>
      </c>
      <c r="J40" s="20" t="s">
        <v>431</v>
      </c>
      <c r="K40" s="18" t="n">
        <v>0.69334577</v>
      </c>
      <c r="L40" s="20" t="n">
        <v>0.49275849</v>
      </c>
      <c r="M40" s="18" t="n">
        <v>0</v>
      </c>
      <c r="N40" s="20" t="n">
        <v>0</v>
      </c>
      <c r="O40" s="18" t="n">
        <v>0</v>
      </c>
      <c r="P40" s="20" t="n">
        <v>0</v>
      </c>
      <c r="Q40" s="18" t="n">
        <v>0.28924878</v>
      </c>
      <c r="R40" s="20" t="n">
        <v>0.09737303</v>
      </c>
    </row>
    <row r="41" spans="1:18">
      <c r="A41" s="15" t="s">
        <v>465</v>
      </c>
      <c r="B41" s="17" t="n">
        <v>2858</v>
      </c>
      <c r="C41" s="18">
        <f>(2508.0/B41*100)</f>
        <v/>
      </c>
      <c r="D41" s="19" t="n">
        <v>350</v>
      </c>
      <c r="E41" s="18" t="n">
        <v>32.94633134</v>
      </c>
      <c r="F41" s="20" t="n">
        <v>2.3849766</v>
      </c>
      <c r="G41" s="18" t="n">
        <v>66.46237446000001</v>
      </c>
      <c r="H41" s="20" t="n">
        <v>2.45205011</v>
      </c>
      <c r="I41" s="18" t="s">
        <v>431</v>
      </c>
      <c r="J41" s="20" t="s">
        <v>431</v>
      </c>
      <c r="K41" s="18" t="n">
        <v>0</v>
      </c>
      <c r="L41" s="20" t="n">
        <v>0</v>
      </c>
      <c r="M41" s="18" t="n">
        <v>0</v>
      </c>
      <c r="N41" s="20" t="n">
        <v>0</v>
      </c>
      <c r="O41" s="18" t="n">
        <v>0</v>
      </c>
      <c r="P41" s="20" t="n">
        <v>0</v>
      </c>
      <c r="Q41" s="18" t="n">
        <v>0.5912942</v>
      </c>
      <c r="R41" s="20" t="n">
        <v>0.39986531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(9832.0/B46*100)</f>
        <v/>
      </c>
      <c r="D46" s="19" t="n">
        <v>1236</v>
      </c>
      <c r="E46" s="18" t="n">
        <v>45.4749686</v>
      </c>
      <c r="F46" s="20" t="n">
        <v>2.08109052</v>
      </c>
      <c r="G46" s="18" t="n">
        <v>52.05932488</v>
      </c>
      <c r="H46" s="20" t="n">
        <v>2.10005076</v>
      </c>
      <c r="I46" s="18" t="s">
        <v>431</v>
      </c>
      <c r="J46" s="20" t="s">
        <v>431</v>
      </c>
      <c r="K46" s="18" t="n">
        <v>0.34765468</v>
      </c>
      <c r="L46" s="20" t="n">
        <v>0.17924339</v>
      </c>
      <c r="M46" s="18" t="n">
        <v>0</v>
      </c>
      <c r="N46" s="20" t="n">
        <v>0</v>
      </c>
      <c r="O46" s="18" t="n">
        <v>0</v>
      </c>
      <c r="P46" s="20" t="n">
        <v>0</v>
      </c>
      <c r="Q46" s="18" t="n">
        <v>2.11805184</v>
      </c>
      <c r="R46" s="20" t="n">
        <v>0.49712739</v>
      </c>
    </row>
    <row r="47" spans="1:18">
      <c r="A47" s="15" t="s">
        <v>471</v>
      </c>
      <c r="B47" s="17" t="n">
        <v>3105</v>
      </c>
      <c r="C47" s="18">
        <f>(2756.0/B47*100)</f>
        <v/>
      </c>
      <c r="D47" s="19" t="n">
        <v>349</v>
      </c>
      <c r="E47" s="18" t="n">
        <v>41.51144814</v>
      </c>
      <c r="F47" s="20" t="n">
        <v>2.53928575</v>
      </c>
      <c r="G47" s="18" t="n">
        <v>56.87644184</v>
      </c>
      <c r="H47" s="20" t="n">
        <v>2.64429539</v>
      </c>
      <c r="I47" s="18" t="s">
        <v>431</v>
      </c>
      <c r="J47" s="20" t="s">
        <v>431</v>
      </c>
      <c r="K47" s="18" t="n">
        <v>0</v>
      </c>
      <c r="L47" s="20" t="n">
        <v>0</v>
      </c>
      <c r="M47" s="18" t="n">
        <v>0</v>
      </c>
      <c r="N47" s="20" t="n">
        <v>0</v>
      </c>
      <c r="O47" s="18" t="n">
        <v>0</v>
      </c>
      <c r="P47" s="20" t="n">
        <v>0</v>
      </c>
      <c r="Q47" s="18" t="n">
        <v>1.61211002</v>
      </c>
      <c r="R47" s="20" t="n">
        <v>0.59026464</v>
      </c>
    </row>
    <row r="48" spans="1:18">
      <c r="A48" s="15" t="s">
        <v>472</v>
      </c>
      <c r="B48" s="17" t="n">
        <v>5159</v>
      </c>
      <c r="C48" s="18">
        <f>(4522.0/B48*100)</f>
        <v/>
      </c>
      <c r="D48" s="19" t="n">
        <v>637</v>
      </c>
      <c r="E48" s="18" t="n">
        <v>11.47998025</v>
      </c>
      <c r="F48" s="20" t="n">
        <v>1.60985815</v>
      </c>
      <c r="G48" s="18" t="n">
        <v>86.65457422999999</v>
      </c>
      <c r="H48" s="20" t="n">
        <v>1.69938328</v>
      </c>
      <c r="I48" s="18" t="s">
        <v>431</v>
      </c>
      <c r="J48" s="20" t="s">
        <v>431</v>
      </c>
      <c r="K48" s="18" t="n">
        <v>0.87690601</v>
      </c>
      <c r="L48" s="20" t="n">
        <v>0.76682484</v>
      </c>
      <c r="M48" s="18" t="n">
        <v>0</v>
      </c>
      <c r="N48" s="20" t="n">
        <v>0</v>
      </c>
      <c r="O48" s="18" t="n">
        <v>0</v>
      </c>
      <c r="P48" s="20" t="n">
        <v>0</v>
      </c>
      <c r="Q48" s="18" t="n">
        <v>0.98853951</v>
      </c>
      <c r="R48" s="20" t="n">
        <v>0.49342395</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(4968.0/B50*100)</f>
        <v/>
      </c>
      <c r="D50" s="19" t="n">
        <v>669</v>
      </c>
      <c r="E50" s="18" t="n">
        <v>37.52337155</v>
      </c>
      <c r="F50" s="20" t="n">
        <v>2.44368105</v>
      </c>
      <c r="G50" s="18" t="n">
        <v>59.23845966</v>
      </c>
      <c r="H50" s="20" t="n">
        <v>2.54807699</v>
      </c>
      <c r="I50" s="18" t="s">
        <v>431</v>
      </c>
      <c r="J50" s="20" t="s">
        <v>431</v>
      </c>
      <c r="K50" s="18" t="n">
        <v>0.47057811</v>
      </c>
      <c r="L50" s="20" t="n">
        <v>0.24656727</v>
      </c>
      <c r="M50" s="18" t="n">
        <v>0</v>
      </c>
      <c r="N50" s="20" t="n">
        <v>0</v>
      </c>
      <c r="O50" s="18" t="n">
        <v>0</v>
      </c>
      <c r="P50" s="20" t="n">
        <v>0</v>
      </c>
      <c r="Q50" s="18" t="n">
        <v>2.76759068</v>
      </c>
      <c r="R50" s="20" t="n">
        <v>0.87376022</v>
      </c>
    </row>
    <row r="51" spans="1:18">
      <c r="A51" s="15" t="s">
        <v>475</v>
      </c>
      <c r="B51" s="17" t="n">
        <v>3372</v>
      </c>
      <c r="C51" s="18">
        <f>(3015.0/B51*100)</f>
        <v/>
      </c>
      <c r="D51" s="19" t="n">
        <v>357</v>
      </c>
      <c r="E51" s="18" t="n">
        <v>43.43816434</v>
      </c>
      <c r="F51" s="20" t="n">
        <v>2.7474754</v>
      </c>
      <c r="G51" s="18" t="n">
        <v>53.94158798</v>
      </c>
      <c r="H51" s="20" t="n">
        <v>2.94647501</v>
      </c>
      <c r="I51" s="18" t="s">
        <v>431</v>
      </c>
      <c r="J51" s="20" t="s">
        <v>431</v>
      </c>
      <c r="K51" s="18" t="n">
        <v>0.86104124</v>
      </c>
      <c r="L51" s="20" t="n">
        <v>0.57581128</v>
      </c>
      <c r="M51" s="18" t="n">
        <v>0</v>
      </c>
      <c r="N51" s="20" t="n">
        <v>0</v>
      </c>
      <c r="O51" s="18" t="n">
        <v>0</v>
      </c>
      <c r="P51" s="20" t="n">
        <v>0</v>
      </c>
      <c r="Q51" s="18" t="n">
        <v>1.75920644</v>
      </c>
      <c r="R51" s="20" t="n">
        <v>0.7715484500000001</v>
      </c>
    </row>
    <row r="52" spans="1:18">
      <c r="A52" s="15" t="s">
        <v>476</v>
      </c>
      <c r="B52" s="17" t="n">
        <v>2796</v>
      </c>
      <c r="C52" s="18">
        <f>(2449.0/B52*100)</f>
        <v/>
      </c>
      <c r="D52" s="19" t="n">
        <v>347</v>
      </c>
      <c r="E52" s="18" t="n">
        <v>35.97499413</v>
      </c>
      <c r="F52" s="20" t="n">
        <v>2.62104027</v>
      </c>
      <c r="G52" s="18" t="n">
        <v>63.51385013</v>
      </c>
      <c r="H52" s="20" t="n">
        <v>2.65318537</v>
      </c>
      <c r="I52" s="18" t="s">
        <v>431</v>
      </c>
      <c r="J52" s="20" t="s">
        <v>431</v>
      </c>
      <c r="K52" s="18" t="n">
        <v>0</v>
      </c>
      <c r="L52" s="20" t="n">
        <v>0</v>
      </c>
      <c r="M52" s="18" t="n">
        <v>0</v>
      </c>
      <c r="N52" s="20" t="n">
        <v>0</v>
      </c>
      <c r="O52" s="18" t="n">
        <v>0</v>
      </c>
      <c r="P52" s="20" t="n">
        <v>0</v>
      </c>
      <c r="Q52" s="18" t="n">
        <v>0.51115574</v>
      </c>
      <c r="R52" s="20" t="n">
        <v>0.35767204</v>
      </c>
    </row>
    <row r="53" spans="1:18">
      <c r="A53" s="15" t="s">
        <v>477</v>
      </c>
      <c r="B53" s="17" t="n">
        <v>2811</v>
      </c>
      <c r="C53" s="18">
        <f>(2467.0/B53*100)</f>
        <v/>
      </c>
      <c r="D53" s="19" t="n">
        <v>344</v>
      </c>
      <c r="E53" s="18" t="n">
        <v>51.96396507</v>
      </c>
      <c r="F53" s="20" t="n">
        <v>2.99896744</v>
      </c>
      <c r="G53" s="18" t="n">
        <v>45.53271699</v>
      </c>
      <c r="H53" s="20" t="n">
        <v>2.94896376</v>
      </c>
      <c r="I53" s="18" t="s">
        <v>431</v>
      </c>
      <c r="J53" s="20" t="s">
        <v>431</v>
      </c>
      <c r="K53" s="18" t="n">
        <v>0</v>
      </c>
      <c r="L53" s="20" t="n">
        <v>0</v>
      </c>
      <c r="M53" s="18" t="n">
        <v>0</v>
      </c>
      <c r="N53" s="20" t="n">
        <v>0</v>
      </c>
      <c r="O53" s="18" t="n">
        <v>0</v>
      </c>
      <c r="P53" s="20" t="n">
        <v>0</v>
      </c>
      <c r="Q53" s="18" t="n">
        <v>2.50331794</v>
      </c>
      <c r="R53" s="20" t="n">
        <v>0.88941389</v>
      </c>
    </row>
    <row r="54" spans="1:18">
      <c r="A54" s="15" t="s">
        <v>478</v>
      </c>
      <c r="B54" s="17" t="n">
        <v>2266</v>
      </c>
      <c r="C54" s="18">
        <f>(1901.0/B54*100)</f>
        <v/>
      </c>
      <c r="D54" s="19" t="n">
        <v>365</v>
      </c>
      <c r="E54" s="18" t="n">
        <v>52.25768739</v>
      </c>
      <c r="F54" s="20" t="n">
        <v>2.82103377</v>
      </c>
      <c r="G54" s="18" t="n">
        <v>37.71017871</v>
      </c>
      <c r="H54" s="20" t="n">
        <v>2.74715978</v>
      </c>
      <c r="I54" s="18" t="s">
        <v>431</v>
      </c>
      <c r="J54" s="20" t="s">
        <v>431</v>
      </c>
      <c r="K54" s="18" t="n">
        <v>4.69628306</v>
      </c>
      <c r="L54" s="20" t="n">
        <v>1.38147752</v>
      </c>
      <c r="M54" s="18" t="n">
        <v>0</v>
      </c>
      <c r="N54" s="20" t="n">
        <v>0</v>
      </c>
      <c r="O54" s="18" t="n">
        <v>0</v>
      </c>
      <c r="P54" s="20" t="n">
        <v>0</v>
      </c>
      <c r="Q54" s="18" t="n">
        <v>5.33585084</v>
      </c>
      <c r="R54" s="20" t="n">
        <v>1.29573129</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(2343.0/B56*100)</f>
        <v/>
      </c>
      <c r="D56" s="19" t="n">
        <v>341</v>
      </c>
      <c r="E56" s="18" t="n">
        <v>23.0430053</v>
      </c>
      <c r="F56" s="20" t="n">
        <v>2.15314762</v>
      </c>
      <c r="G56" s="18" t="n">
        <v>76.18992704999999</v>
      </c>
      <c r="H56" s="20" t="n">
        <v>2.27467399</v>
      </c>
      <c r="I56" s="18" t="s">
        <v>431</v>
      </c>
      <c r="J56" s="20" t="s">
        <v>431</v>
      </c>
      <c r="K56" s="18" t="n">
        <v>0.24701233</v>
      </c>
      <c r="L56" s="20" t="n">
        <v>0.24652277</v>
      </c>
      <c r="M56" s="18" t="n">
        <v>0</v>
      </c>
      <c r="N56" s="20" t="n">
        <v>0</v>
      </c>
      <c r="O56" s="18" t="n">
        <v>0</v>
      </c>
      <c r="P56" s="20" t="n">
        <v>0</v>
      </c>
      <c r="Q56" s="18" t="n">
        <v>0.52005532</v>
      </c>
      <c r="R56" s="20" t="n">
        <v>0.52190847</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(2944.0/B61*100)</f>
        <v/>
      </c>
      <c r="D61" s="19" t="n">
        <v>380</v>
      </c>
      <c r="E61" s="18" t="n">
        <v>31.74372011</v>
      </c>
      <c r="F61" s="20" t="n">
        <v>2.59303863</v>
      </c>
      <c r="G61" s="18" t="n">
        <v>67.0057862</v>
      </c>
      <c r="H61" s="20" t="n">
        <v>2.56626924</v>
      </c>
      <c r="I61" s="18" t="s">
        <v>431</v>
      </c>
      <c r="J61" s="20" t="s">
        <v>431</v>
      </c>
      <c r="K61" s="18" t="n">
        <v>0</v>
      </c>
      <c r="L61" s="20" t="n">
        <v>0</v>
      </c>
      <c r="M61" s="18" t="n">
        <v>0</v>
      </c>
      <c r="N61" s="20" t="n">
        <v>0</v>
      </c>
      <c r="O61" s="18" t="n">
        <v>0</v>
      </c>
      <c r="P61" s="20" t="n">
        <v>0</v>
      </c>
      <c r="Q61" s="18" t="n">
        <v>1.25049369</v>
      </c>
      <c r="R61" s="20" t="n">
        <v>0.63450081</v>
      </c>
    </row>
    <row r="62" spans="1:18">
      <c r="A62" s="15" t="s">
        <v>486</v>
      </c>
      <c r="B62" s="17" t="n">
        <v>2246</v>
      </c>
      <c r="C62" s="18">
        <f>(1951.0/B62*100)</f>
        <v/>
      </c>
      <c r="D62" s="19" t="n">
        <v>295</v>
      </c>
      <c r="E62" s="18" t="n">
        <v>18.61478549</v>
      </c>
      <c r="F62" s="20" t="n">
        <v>2.50535257</v>
      </c>
      <c r="G62" s="18" t="n">
        <v>80.70014861</v>
      </c>
      <c r="H62" s="20" t="n">
        <v>2.68125474</v>
      </c>
      <c r="I62" s="18" t="s">
        <v>431</v>
      </c>
      <c r="J62" s="20" t="s">
        <v>431</v>
      </c>
      <c r="K62" s="18" t="n">
        <v>0.34833814</v>
      </c>
      <c r="L62" s="20" t="n">
        <v>0.34614501</v>
      </c>
      <c r="M62" s="18" t="n">
        <v>0</v>
      </c>
      <c r="N62" s="20" t="n">
        <v>0</v>
      </c>
      <c r="O62" s="18" t="n">
        <v>0</v>
      </c>
      <c r="P62" s="20" t="n">
        <v>0</v>
      </c>
      <c r="Q62" s="18" t="n">
        <v>0.33672776</v>
      </c>
      <c r="R62" s="20" t="n">
        <v>0.33248009</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(2541.0/B66*100)</f>
        <v/>
      </c>
      <c r="D66" s="19" t="n">
        <v>353</v>
      </c>
      <c r="E66" s="18" t="n">
        <v>49.89540032</v>
      </c>
      <c r="F66" s="20" t="n">
        <v>2.14088861</v>
      </c>
      <c r="G66" s="18" t="n">
        <v>44.76801556</v>
      </c>
      <c r="H66" s="20" t="n">
        <v>2.13640101</v>
      </c>
      <c r="I66" s="18" t="s">
        <v>431</v>
      </c>
      <c r="J66" s="20" t="s">
        <v>431</v>
      </c>
      <c r="K66" s="18" t="n">
        <v>1.18657988</v>
      </c>
      <c r="L66" s="20" t="n">
        <v>0.61507029</v>
      </c>
      <c r="M66" s="18" t="n">
        <v>0</v>
      </c>
      <c r="N66" s="20" t="n">
        <v>0</v>
      </c>
      <c r="O66" s="18" t="n">
        <v>0</v>
      </c>
      <c r="P66" s="20" t="n">
        <v>0</v>
      </c>
      <c r="Q66" s="18" t="n">
        <v>4.15000425</v>
      </c>
      <c r="R66" s="20" t="n">
        <v>0.96252215</v>
      </c>
    </row>
    <row r="67" spans="1:18">
      <c r="A67" s="15" t="s">
        <v>491</v>
      </c>
      <c r="B67" s="17" t="n">
        <v>3511</v>
      </c>
      <c r="C67" s="18">
        <f>(3088.0/B67*100)</f>
        <v/>
      </c>
      <c r="D67" s="19" t="n">
        <v>423</v>
      </c>
      <c r="E67" s="18" t="n">
        <v>44.06584315</v>
      </c>
      <c r="F67" s="20" t="n">
        <v>2.5056088</v>
      </c>
      <c r="G67" s="18" t="n">
        <v>53.39027895</v>
      </c>
      <c r="H67" s="20" t="n">
        <v>2.6090195</v>
      </c>
      <c r="I67" s="18" t="s">
        <v>431</v>
      </c>
      <c r="J67" s="20" t="s">
        <v>431</v>
      </c>
      <c r="K67" s="18" t="n">
        <v>0.17955999</v>
      </c>
      <c r="L67" s="20" t="n">
        <v>0.17865621</v>
      </c>
      <c r="M67" s="18" t="n">
        <v>0</v>
      </c>
      <c r="N67" s="20" t="n">
        <v>0</v>
      </c>
      <c r="O67" s="18" t="n">
        <v>0</v>
      </c>
      <c r="P67" s="20" t="n">
        <v>0</v>
      </c>
      <c r="Q67" s="18" t="n">
        <v>2.3643179</v>
      </c>
      <c r="R67" s="20" t="n">
        <v>0.86790743</v>
      </c>
    </row>
    <row r="68" spans="1:18">
      <c r="A68" s="15" t="s">
        <v>492</v>
      </c>
      <c r="B68" s="17" t="n">
        <v>6049</v>
      </c>
      <c r="C68" s="18">
        <f>(5036.0/B68*100)</f>
        <v/>
      </c>
      <c r="D68" s="19" t="n">
        <v>1013</v>
      </c>
      <c r="E68" s="18" t="n">
        <v>36.39536965</v>
      </c>
      <c r="F68" s="20" t="n">
        <v>1.41685608</v>
      </c>
      <c r="G68" s="18" t="n">
        <v>56.12591727</v>
      </c>
      <c r="H68" s="20" t="n">
        <v>1.51572658</v>
      </c>
      <c r="I68" s="18" t="s">
        <v>431</v>
      </c>
      <c r="J68" s="20" t="s">
        <v>431</v>
      </c>
      <c r="K68" s="18" t="n">
        <v>2.35858242</v>
      </c>
      <c r="L68" s="20" t="n">
        <v>0.51070264</v>
      </c>
      <c r="M68" s="18" t="n">
        <v>0</v>
      </c>
      <c r="N68" s="20" t="n">
        <v>0</v>
      </c>
      <c r="O68" s="18" t="n">
        <v>0</v>
      </c>
      <c r="P68" s="20" t="n">
        <v>0</v>
      </c>
      <c r="Q68" s="18" t="n">
        <v>5.12013067</v>
      </c>
      <c r="R68" s="20" t="n">
        <v>0.64579283</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(2572.0/B70*100)</f>
        <v/>
      </c>
      <c r="D70" s="19" t="n">
        <v>357</v>
      </c>
      <c r="E70" s="18" t="n">
        <v>31.80869253</v>
      </c>
      <c r="F70" s="20" t="n">
        <v>2.37499888</v>
      </c>
      <c r="G70" s="18" t="n">
        <v>67.77364466</v>
      </c>
      <c r="H70" s="20" t="n">
        <v>2.66858232</v>
      </c>
      <c r="I70" s="18" t="s">
        <v>431</v>
      </c>
      <c r="J70" s="20" t="s">
        <v>431</v>
      </c>
      <c r="K70" s="18" t="n">
        <v>0</v>
      </c>
      <c r="L70" s="20" t="n">
        <v>0</v>
      </c>
      <c r="M70" s="18" t="n">
        <v>0</v>
      </c>
      <c r="N70" s="20" t="n">
        <v>0</v>
      </c>
      <c r="O70" s="18" t="n">
        <v>0</v>
      </c>
      <c r="P70" s="20" t="n">
        <v>0</v>
      </c>
      <c r="Q70" s="18" t="n">
        <v>0.41766281</v>
      </c>
      <c r="R70" s="20" t="n">
        <v>0.58852363</v>
      </c>
    </row>
    <row r="71" spans="1:18">
      <c r="A71" s="15" t="s">
        <v>495</v>
      </c>
      <c r="B71" s="17" t="n">
        <v>3142</v>
      </c>
      <c r="C71" s="18">
        <f>(2750.0/B71*100)</f>
        <v/>
      </c>
      <c r="D71" s="19" t="n">
        <v>392</v>
      </c>
      <c r="E71" s="18" t="n">
        <v>22.62771206</v>
      </c>
      <c r="F71" s="20" t="n">
        <v>2.34036331</v>
      </c>
      <c r="G71" s="18" t="n">
        <v>76.7607627</v>
      </c>
      <c r="H71" s="20" t="n">
        <v>2.32057186</v>
      </c>
      <c r="I71" s="18" t="s">
        <v>431</v>
      </c>
      <c r="J71" s="20" t="s">
        <v>431</v>
      </c>
      <c r="K71" s="18" t="n">
        <v>0.23174988</v>
      </c>
      <c r="L71" s="20" t="n">
        <v>0.23482522</v>
      </c>
      <c r="M71" s="18" t="n">
        <v>0</v>
      </c>
      <c r="N71" s="20" t="n">
        <v>0</v>
      </c>
      <c r="O71" s="18" t="n">
        <v>0</v>
      </c>
      <c r="P71" s="20" t="n">
        <v>0</v>
      </c>
      <c r="Q71" s="18" t="n">
        <v>0.37977536</v>
      </c>
      <c r="R71" s="20" t="n">
        <v>0.27063881</v>
      </c>
    </row>
    <row r="72" spans="1:18">
      <c r="A72" s="15" t="s">
        <v>496</v>
      </c>
      <c r="B72" s="17" t="n">
        <v>3889</v>
      </c>
      <c r="C72" s="18">
        <f>(3407.0/B72*100)</f>
        <v/>
      </c>
      <c r="D72" s="19" t="n">
        <v>482</v>
      </c>
      <c r="E72" s="18" t="n">
        <v>17.68220438</v>
      </c>
      <c r="F72" s="20" t="n">
        <v>1.81251255</v>
      </c>
      <c r="G72" s="18" t="n">
        <v>81.24888661999999</v>
      </c>
      <c r="H72" s="20" t="n">
        <v>1.90359009</v>
      </c>
      <c r="I72" s="18" t="s">
        <v>431</v>
      </c>
      <c r="J72" s="20" t="s">
        <v>431</v>
      </c>
      <c r="K72" s="18" t="n">
        <v>0</v>
      </c>
      <c r="L72" s="20" t="n">
        <v>0</v>
      </c>
      <c r="M72" s="18" t="n">
        <v>0</v>
      </c>
      <c r="N72" s="20" t="n">
        <v>0</v>
      </c>
      <c r="O72" s="18" t="n">
        <v>0</v>
      </c>
      <c r="P72" s="20" t="n">
        <v>0</v>
      </c>
      <c r="Q72" s="18" t="n">
        <v>1.068909</v>
      </c>
      <c r="R72" s="20" t="n">
        <v>0.51024317</v>
      </c>
    </row>
    <row r="73" spans="1:18">
      <c r="A73" s="15" t="s">
        <v>497</v>
      </c>
      <c r="B73" s="17" t="n">
        <v>3597</v>
      </c>
      <c r="C73" s="18">
        <f>(3169.0/B73*100)</f>
        <v/>
      </c>
      <c r="D73" s="19" t="n">
        <v>428</v>
      </c>
      <c r="E73" s="18" t="n">
        <v>48.29452968</v>
      </c>
      <c r="F73" s="20" t="n">
        <v>3.50007827</v>
      </c>
      <c r="G73" s="18" t="n">
        <v>50.23212624</v>
      </c>
      <c r="H73" s="20" t="n">
        <v>3.4984646</v>
      </c>
      <c r="I73" s="18" t="s">
        <v>431</v>
      </c>
      <c r="J73" s="20" t="s">
        <v>431</v>
      </c>
      <c r="K73" s="18" t="n">
        <v>0.33992544</v>
      </c>
      <c r="L73" s="20" t="n">
        <v>0.33877741</v>
      </c>
      <c r="M73" s="18" t="n">
        <v>0</v>
      </c>
      <c r="N73" s="20" t="n">
        <v>0</v>
      </c>
      <c r="O73" s="18" t="n">
        <v>0</v>
      </c>
      <c r="P73" s="20" t="n">
        <v>0</v>
      </c>
      <c r="Q73" s="18" t="n">
        <v>1.13341864</v>
      </c>
      <c r="R73" s="20" t="n">
        <v>0.6629791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(2125.0/B75*100)</f>
        <v/>
      </c>
      <c r="D75" s="19" t="n">
        <v>281</v>
      </c>
      <c r="E75" s="18" t="n">
        <v>38.52352306</v>
      </c>
      <c r="F75" s="20" t="n">
        <v>3.21051819</v>
      </c>
      <c r="G75" s="18" t="n">
        <v>57.46590074</v>
      </c>
      <c r="H75" s="20" t="n">
        <v>3.20109803</v>
      </c>
      <c r="I75" s="18" t="s">
        <v>431</v>
      </c>
      <c r="J75" s="20" t="s">
        <v>431</v>
      </c>
      <c r="K75" s="18" t="n">
        <v>1.40182405</v>
      </c>
      <c r="L75" s="20" t="n">
        <v>0.65002286</v>
      </c>
      <c r="M75" s="18" t="n">
        <v>0</v>
      </c>
      <c r="N75" s="20" t="n">
        <v>0</v>
      </c>
      <c r="O75" s="18" t="n">
        <v>0</v>
      </c>
      <c r="P75" s="20" t="n">
        <v>0</v>
      </c>
      <c r="Q75" s="18" t="n">
        <v>2.60875215</v>
      </c>
      <c r="R75" s="20" t="n">
        <v>0.87302052</v>
      </c>
    </row>
    <row r="76" spans="1:18">
      <c r="A76" s="15" t="s">
        <v>500</v>
      </c>
      <c r="B76" s="17" t="n">
        <v>7052</v>
      </c>
      <c r="C76" s="18">
        <f>(6194.0/B76*100)</f>
        <v/>
      </c>
      <c r="D76" s="19" t="n">
        <v>858</v>
      </c>
      <c r="E76" s="18" t="n">
        <v>32.09500332</v>
      </c>
      <c r="F76" s="20" t="n">
        <v>2.10813222</v>
      </c>
      <c r="G76" s="18" t="n">
        <v>62.10549399</v>
      </c>
      <c r="H76" s="20" t="n">
        <v>2.00862858</v>
      </c>
      <c r="I76" s="18" t="s">
        <v>431</v>
      </c>
      <c r="J76" s="20" t="s">
        <v>431</v>
      </c>
      <c r="K76" s="18" t="n">
        <v>0.73340451</v>
      </c>
      <c r="L76" s="20" t="n">
        <v>0.29211513</v>
      </c>
      <c r="M76" s="18" t="n">
        <v>0</v>
      </c>
      <c r="N76" s="20" t="n">
        <v>0</v>
      </c>
      <c r="O76" s="18" t="n">
        <v>0</v>
      </c>
      <c r="P76" s="20" t="n">
        <v>0</v>
      </c>
      <c r="Q76" s="18" t="n">
        <v>5.06609818</v>
      </c>
      <c r="R76" s="20" t="n">
        <v>1.19305657</v>
      </c>
    </row>
    <row r="77" spans="1:18">
      <c r="A77" s="15" t="s">
        <v>501</v>
      </c>
      <c r="B77" s="17" t="n">
        <v>2908</v>
      </c>
      <c r="C77" s="18">
        <f>(2538.0/B77*100)</f>
        <v/>
      </c>
      <c r="D77" s="19" t="n">
        <v>370</v>
      </c>
      <c r="E77" s="18" t="n">
        <v>40.17601243</v>
      </c>
      <c r="F77" s="20" t="n">
        <v>2.34530771</v>
      </c>
      <c r="G77" s="18" t="n">
        <v>57.38846771</v>
      </c>
      <c r="H77" s="20" t="n">
        <v>2.39501973</v>
      </c>
      <c r="I77" s="18" t="s">
        <v>431</v>
      </c>
      <c r="J77" s="20" t="s">
        <v>431</v>
      </c>
      <c r="K77" s="18" t="n">
        <v>0.79842822</v>
      </c>
      <c r="L77" s="20" t="n">
        <v>0.52219627</v>
      </c>
      <c r="M77" s="18" t="n">
        <v>0</v>
      </c>
      <c r="N77" s="20" t="n">
        <v>0</v>
      </c>
      <c r="O77" s="18" t="n">
        <v>0</v>
      </c>
      <c r="P77" s="20" t="n">
        <v>0</v>
      </c>
      <c r="Q77" s="18" t="n">
        <v>1.63709163</v>
      </c>
      <c r="R77" s="20" t="n">
        <v>0.48249434</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(3642.0/B81*100)</f>
        <v/>
      </c>
      <c r="D81" s="19" t="n">
        <v>521</v>
      </c>
      <c r="E81" s="18" t="n">
        <v>37.07660193</v>
      </c>
      <c r="F81" s="20" t="n">
        <v>2.70188635</v>
      </c>
      <c r="G81" s="18" t="n">
        <v>62.63722326</v>
      </c>
      <c r="H81" s="20" t="n">
        <v>2.67623594</v>
      </c>
      <c r="I81" s="18" t="s">
        <v>431</v>
      </c>
      <c r="J81" s="20" t="s">
        <v>431</v>
      </c>
      <c r="K81" s="18" t="n">
        <v>0</v>
      </c>
      <c r="L81" s="20" t="n">
        <v>0</v>
      </c>
      <c r="M81" s="18" t="n">
        <v>0</v>
      </c>
      <c r="N81" s="20" t="n">
        <v>0</v>
      </c>
      <c r="O81" s="18" t="n">
        <v>0</v>
      </c>
      <c r="P81" s="20" t="n">
        <v>0</v>
      </c>
      <c r="Q81" s="18" t="n">
        <v>0.2861748</v>
      </c>
      <c r="R81" s="20" t="n">
        <v>0.28701008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(6474.0/B7*100)</f>
        <v/>
      </c>
      <c r="D7" s="19" t="n">
        <v>893</v>
      </c>
      <c r="E7" s="18" t="n">
        <v>52.81948236</v>
      </c>
      <c r="F7" s="20" t="n">
        <v>1.91935622</v>
      </c>
      <c r="G7" s="18" t="n">
        <v>46.78461623</v>
      </c>
      <c r="H7" s="20" t="n">
        <v>1.98017081</v>
      </c>
      <c r="I7" s="18" t="s">
        <v>431</v>
      </c>
      <c r="J7" s="20" t="s">
        <v>431</v>
      </c>
      <c r="K7" s="18" t="n">
        <v>0.01818608</v>
      </c>
      <c r="L7" s="20" t="n">
        <v>0.01824314</v>
      </c>
      <c r="M7" s="18" t="n">
        <v>0</v>
      </c>
      <c r="N7" s="20" t="n">
        <v>0</v>
      </c>
      <c r="O7" s="18" t="n">
        <v>0</v>
      </c>
      <c r="P7" s="20" t="n">
        <v>0</v>
      </c>
      <c r="Q7" s="18" t="n">
        <v>0.37771534</v>
      </c>
      <c r="R7" s="20" t="n">
        <v>0.25375658</v>
      </c>
    </row>
    <row r="8" spans="1:18">
      <c r="A8" s="15" t="s">
        <v>432</v>
      </c>
      <c r="B8" s="17" t="n">
        <v>3564</v>
      </c>
      <c r="C8" s="18">
        <f>(3113.0/B8*100)</f>
        <v/>
      </c>
      <c r="D8" s="19" t="n">
        <v>451</v>
      </c>
      <c r="E8" s="18" t="n">
        <v>61.56738121</v>
      </c>
      <c r="F8" s="20" t="n">
        <v>2.72238263</v>
      </c>
      <c r="G8" s="18" t="n">
        <v>37.70314475</v>
      </c>
      <c r="H8" s="20" t="n">
        <v>2.70101792</v>
      </c>
      <c r="I8" s="18" t="s">
        <v>431</v>
      </c>
      <c r="J8" s="20" t="s">
        <v>431</v>
      </c>
      <c r="K8" s="18" t="n">
        <v>0.26686765</v>
      </c>
      <c r="L8" s="20" t="n">
        <v>0.26750181</v>
      </c>
      <c r="M8" s="18" t="n">
        <v>0</v>
      </c>
      <c r="N8" s="20" t="n">
        <v>0</v>
      </c>
      <c r="O8" s="18" t="n">
        <v>0</v>
      </c>
      <c r="P8" s="20" t="n">
        <v>0</v>
      </c>
      <c r="Q8" s="18" t="n">
        <v>0.46260638</v>
      </c>
      <c r="R8" s="20" t="n">
        <v>0.43975123</v>
      </c>
    </row>
    <row r="9" spans="1:18">
      <c r="A9" s="15" t="s">
        <v>433</v>
      </c>
      <c r="B9" s="17" t="n">
        <v>4899</v>
      </c>
      <c r="C9" s="18">
        <f>(4315.0/B9*100)</f>
        <v/>
      </c>
      <c r="D9" s="19" t="n">
        <v>584</v>
      </c>
      <c r="E9" s="18" t="n">
        <v>55.17920384</v>
      </c>
      <c r="F9" s="20" t="n">
        <v>2.38576696</v>
      </c>
      <c r="G9" s="18" t="n">
        <v>43.64696339</v>
      </c>
      <c r="H9" s="20" t="n">
        <v>2.42797875</v>
      </c>
      <c r="I9" s="18" t="s">
        <v>431</v>
      </c>
      <c r="J9" s="20" t="s">
        <v>431</v>
      </c>
      <c r="K9" s="18" t="n">
        <v>0</v>
      </c>
      <c r="L9" s="20" t="n">
        <v>0</v>
      </c>
      <c r="M9" s="18" t="n">
        <v>0</v>
      </c>
      <c r="N9" s="20" t="n">
        <v>0</v>
      </c>
      <c r="O9" s="18" t="n">
        <v>0</v>
      </c>
      <c r="P9" s="20" t="n">
        <v>0</v>
      </c>
      <c r="Q9" s="18" t="n">
        <v>1.17383277</v>
      </c>
      <c r="R9" s="20" t="n">
        <v>0.4351746</v>
      </c>
    </row>
    <row r="10" spans="1:18">
      <c r="A10" s="15" t="s">
        <v>434</v>
      </c>
      <c r="B10" s="17" t="n">
        <v>10036</v>
      </c>
      <c r="C10" s="18">
        <f>(8748.0/B10*100)</f>
        <v/>
      </c>
      <c r="D10" s="19" t="n">
        <v>1288</v>
      </c>
      <c r="E10" s="18" t="n">
        <v>51.2522275</v>
      </c>
      <c r="F10" s="20" t="n">
        <v>1.88249126</v>
      </c>
      <c r="G10" s="18" t="n">
        <v>48.14041757</v>
      </c>
      <c r="H10" s="20" t="n">
        <v>1.96584744</v>
      </c>
      <c r="I10" s="18" t="s">
        <v>431</v>
      </c>
      <c r="J10" s="20" t="s">
        <v>431</v>
      </c>
      <c r="K10" s="18" t="n">
        <v>0.18583744</v>
      </c>
      <c r="L10" s="20" t="n">
        <v>0.17174849</v>
      </c>
      <c r="M10" s="18" t="n">
        <v>0</v>
      </c>
      <c r="N10" s="20" t="n">
        <v>0</v>
      </c>
      <c r="O10" s="18" t="n">
        <v>0</v>
      </c>
      <c r="P10" s="20" t="n">
        <v>0</v>
      </c>
      <c r="Q10" s="18" t="n">
        <v>0.42151749</v>
      </c>
      <c r="R10" s="20" t="n">
        <v>0.2642945</v>
      </c>
    </row>
    <row r="11" spans="1:18">
      <c r="A11" s="15" t="s">
        <v>435</v>
      </c>
      <c r="B11" s="17" t="n">
        <v>3553</v>
      </c>
      <c r="C11" s="18">
        <f>(3152.0/B11*100)</f>
        <v/>
      </c>
      <c r="D11" s="19" t="n">
        <v>401</v>
      </c>
      <c r="E11" s="18" t="n">
        <v>60.907299</v>
      </c>
      <c r="F11" s="20" t="n">
        <v>2.93540752</v>
      </c>
      <c r="G11" s="18" t="n">
        <v>36.56009603</v>
      </c>
      <c r="H11" s="20" t="n">
        <v>2.78796501</v>
      </c>
      <c r="I11" s="18" t="s">
        <v>431</v>
      </c>
      <c r="J11" s="20" t="s">
        <v>431</v>
      </c>
      <c r="K11" s="18" t="n">
        <v>1.07210995</v>
      </c>
      <c r="L11" s="20" t="n">
        <v>0.8058911600000001</v>
      </c>
      <c r="M11" s="18" t="n">
        <v>0</v>
      </c>
      <c r="N11" s="20" t="n">
        <v>0</v>
      </c>
      <c r="O11" s="18" t="n">
        <v>0</v>
      </c>
      <c r="P11" s="20" t="n">
        <v>0</v>
      </c>
      <c r="Q11" s="18" t="n">
        <v>1.46049502</v>
      </c>
      <c r="R11" s="20" t="n">
        <v>0.88868959</v>
      </c>
    </row>
    <row r="12" spans="1:18">
      <c r="A12" s="15" t="s">
        <v>436</v>
      </c>
      <c r="B12" s="17" t="n">
        <v>3472</v>
      </c>
      <c r="C12" s="18">
        <f>(3037.0/B12*100)</f>
        <v/>
      </c>
      <c r="D12" s="19" t="n">
        <v>435</v>
      </c>
      <c r="E12" s="18" t="n">
        <v>57.50013309</v>
      </c>
      <c r="F12" s="20" t="n">
        <v>2.76424707</v>
      </c>
      <c r="G12" s="18" t="n">
        <v>41.84874898</v>
      </c>
      <c r="H12" s="20" t="n">
        <v>2.75995879</v>
      </c>
      <c r="I12" s="18" t="s">
        <v>431</v>
      </c>
      <c r="J12" s="20" t="s">
        <v>431</v>
      </c>
      <c r="K12" s="18" t="n">
        <v>0.20307973</v>
      </c>
      <c r="L12" s="20" t="n">
        <v>0.20004472</v>
      </c>
      <c r="M12" s="18" t="n">
        <v>0</v>
      </c>
      <c r="N12" s="20" t="n">
        <v>0</v>
      </c>
      <c r="O12" s="18" t="n">
        <v>0</v>
      </c>
      <c r="P12" s="20" t="n">
        <v>0</v>
      </c>
      <c r="Q12" s="18" t="n">
        <v>0.4480382</v>
      </c>
      <c r="R12" s="20" t="n">
        <v>0.20406455</v>
      </c>
    </row>
    <row r="13" spans="1:18">
      <c r="A13" s="15" t="s">
        <v>437</v>
      </c>
      <c r="B13" s="17" t="n">
        <v>3559</v>
      </c>
      <c r="C13" s="18">
        <f>(3124.0/B13*100)</f>
        <v/>
      </c>
      <c r="D13" s="19" t="n">
        <v>435</v>
      </c>
      <c r="E13" s="18" t="n">
        <v>63.01797804</v>
      </c>
      <c r="F13" s="20" t="n">
        <v>2.95635366</v>
      </c>
      <c r="G13" s="18" t="n">
        <v>35.68144862</v>
      </c>
      <c r="H13" s="20" t="n">
        <v>2.92029651</v>
      </c>
      <c r="I13" s="18" t="s">
        <v>431</v>
      </c>
      <c r="J13" s="20" t="s">
        <v>431</v>
      </c>
      <c r="K13" s="18" t="n">
        <v>0.29236121</v>
      </c>
      <c r="L13" s="20" t="n">
        <v>0.18486414</v>
      </c>
      <c r="M13" s="18" t="n">
        <v>0</v>
      </c>
      <c r="N13" s="20" t="n">
        <v>0</v>
      </c>
      <c r="O13" s="18" t="n">
        <v>0</v>
      </c>
      <c r="P13" s="20" t="n">
        <v>0</v>
      </c>
      <c r="Q13" s="18" t="n">
        <v>1.00821212</v>
      </c>
      <c r="R13" s="20" t="n">
        <v>0.49428464</v>
      </c>
    </row>
    <row r="14" spans="1:18">
      <c r="A14" s="15" t="s">
        <v>438</v>
      </c>
      <c r="B14" s="17" t="n">
        <v>2799</v>
      </c>
      <c r="C14" s="18">
        <f>(2468.0/B14*100)</f>
        <v/>
      </c>
      <c r="D14" s="19" t="n">
        <v>331</v>
      </c>
      <c r="E14" s="18" t="n">
        <v>53.92443758</v>
      </c>
      <c r="F14" s="20" t="n">
        <v>3.05725118</v>
      </c>
      <c r="G14" s="18" t="n">
        <v>46.07556242</v>
      </c>
      <c r="H14" s="20" t="n">
        <v>3.05725118</v>
      </c>
      <c r="I14" s="18" t="s">
        <v>431</v>
      </c>
      <c r="J14" s="20" t="s">
        <v>431</v>
      </c>
      <c r="K14" s="18" t="n">
        <v>0</v>
      </c>
      <c r="L14" s="20" t="n">
        <v>0</v>
      </c>
      <c r="M14" s="18" t="n">
        <v>0</v>
      </c>
      <c r="N14" s="20" t="n">
        <v>0</v>
      </c>
      <c r="O14" s="18" t="n">
        <v>0</v>
      </c>
      <c r="P14" s="20" t="n">
        <v>0</v>
      </c>
      <c r="Q14" s="18" t="n">
        <v>0</v>
      </c>
      <c r="R14" s="20" t="n">
        <v>0</v>
      </c>
    </row>
    <row r="15" spans="1:18">
      <c r="A15" s="15" t="s">
        <v>439</v>
      </c>
      <c r="B15" s="17" t="n">
        <v>3019</v>
      </c>
      <c r="C15" s="18">
        <f>(2636.0/B15*100)</f>
        <v/>
      </c>
      <c r="D15" s="19" t="n">
        <v>383</v>
      </c>
      <c r="E15" s="18" t="n">
        <v>54.82397669</v>
      </c>
      <c r="F15" s="20" t="n">
        <v>1.98537434</v>
      </c>
      <c r="G15" s="18" t="n">
        <v>44.90671137</v>
      </c>
      <c r="H15" s="20" t="n">
        <v>1.96301</v>
      </c>
      <c r="I15" s="18" t="s">
        <v>431</v>
      </c>
      <c r="J15" s="20" t="s">
        <v>431</v>
      </c>
      <c r="K15" s="18" t="n">
        <v>0</v>
      </c>
      <c r="L15" s="20" t="n">
        <v>0</v>
      </c>
      <c r="M15" s="18" t="n">
        <v>0</v>
      </c>
      <c r="N15" s="20" t="n">
        <v>0</v>
      </c>
      <c r="O15" s="18" t="n">
        <v>0</v>
      </c>
      <c r="P15" s="20" t="n">
        <v>0</v>
      </c>
      <c r="Q15" s="18" t="n">
        <v>0.26931194</v>
      </c>
      <c r="R15" s="20" t="n">
        <v>0.26953873</v>
      </c>
    </row>
    <row r="16" spans="1:18">
      <c r="A16" s="15" t="s">
        <v>440</v>
      </c>
      <c r="B16" s="17" t="n">
        <v>2997</v>
      </c>
      <c r="C16" s="18">
        <f>(2648.0/B16*100)</f>
        <v/>
      </c>
      <c r="D16" s="19" t="n">
        <v>349</v>
      </c>
      <c r="E16" s="18" t="n">
        <v>53.26360981</v>
      </c>
      <c r="F16" s="20" t="n">
        <v>3.08597637</v>
      </c>
      <c r="G16" s="18" t="n">
        <v>45.27382488</v>
      </c>
      <c r="H16" s="20" t="n">
        <v>3.0073976</v>
      </c>
      <c r="I16" s="18" t="s">
        <v>431</v>
      </c>
      <c r="J16" s="20" t="s">
        <v>431</v>
      </c>
      <c r="K16" s="18" t="n">
        <v>0.8576188</v>
      </c>
      <c r="L16" s="20" t="n">
        <v>0.52966877</v>
      </c>
      <c r="M16" s="18" t="n">
        <v>0</v>
      </c>
      <c r="N16" s="20" t="n">
        <v>0</v>
      </c>
      <c r="O16" s="18" t="n">
        <v>0</v>
      </c>
      <c r="P16" s="20" t="n">
        <v>0</v>
      </c>
      <c r="Q16" s="18" t="n">
        <v>0.60494651</v>
      </c>
      <c r="R16" s="20" t="n">
        <v>0.41764766</v>
      </c>
    </row>
    <row r="17" spans="1:18">
      <c r="A17" s="15" t="s">
        <v>441</v>
      </c>
      <c r="B17" s="17" t="n">
        <v>3307</v>
      </c>
      <c r="C17" s="18">
        <f>(2906.0/B17*100)</f>
        <v/>
      </c>
      <c r="D17" s="19" t="n">
        <v>401</v>
      </c>
      <c r="E17" s="18" t="n">
        <v>55.80914506</v>
      </c>
      <c r="F17" s="20" t="n">
        <v>2.73495219</v>
      </c>
      <c r="G17" s="18" t="n">
        <v>43.60643175</v>
      </c>
      <c r="H17" s="20" t="n">
        <v>2.75739812</v>
      </c>
      <c r="I17" s="18" t="s">
        <v>431</v>
      </c>
      <c r="J17" s="20" t="s">
        <v>431</v>
      </c>
      <c r="K17" s="18" t="n">
        <v>0</v>
      </c>
      <c r="L17" s="20" t="n">
        <v>0</v>
      </c>
      <c r="M17" s="18" t="n">
        <v>0</v>
      </c>
      <c r="N17" s="20" t="n">
        <v>0</v>
      </c>
      <c r="O17" s="18" t="n">
        <v>0</v>
      </c>
      <c r="P17" s="20" t="n">
        <v>0</v>
      </c>
      <c r="Q17" s="18" t="n">
        <v>0.58442319</v>
      </c>
      <c r="R17" s="20" t="n">
        <v>0.43253349</v>
      </c>
    </row>
    <row r="18" spans="1:18">
      <c r="A18" s="15" t="s">
        <v>442</v>
      </c>
      <c r="B18" s="17" t="n">
        <v>2826</v>
      </c>
      <c r="C18" s="18">
        <f>(2467.0/B18*100)</f>
        <v/>
      </c>
      <c r="D18" s="19" t="n">
        <v>359</v>
      </c>
      <c r="E18" s="18" t="n">
        <v>51.19880511</v>
      </c>
      <c r="F18" s="20" t="n">
        <v>2.98872073</v>
      </c>
      <c r="G18" s="18" t="n">
        <v>47.19269736</v>
      </c>
      <c r="H18" s="20" t="n">
        <v>3.03348016</v>
      </c>
      <c r="I18" s="18" t="s">
        <v>431</v>
      </c>
      <c r="J18" s="20" t="s">
        <v>431</v>
      </c>
      <c r="K18" s="18" t="n">
        <v>0.49511533</v>
      </c>
      <c r="L18" s="20" t="n">
        <v>0.50108266</v>
      </c>
      <c r="M18" s="18" t="n">
        <v>0</v>
      </c>
      <c r="N18" s="20" t="n">
        <v>0</v>
      </c>
      <c r="O18" s="18" t="n">
        <v>0</v>
      </c>
      <c r="P18" s="20" t="n">
        <v>0</v>
      </c>
      <c r="Q18" s="18" t="n">
        <v>1.1133822</v>
      </c>
      <c r="R18" s="20" t="n">
        <v>0.61023226</v>
      </c>
    </row>
    <row r="19" spans="1:18">
      <c r="A19" s="15" t="s">
        <v>443</v>
      </c>
      <c r="B19" s="17" t="n">
        <v>2808</v>
      </c>
      <c r="C19" s="18">
        <f>(2451.0/B19*100)</f>
        <v/>
      </c>
      <c r="D19" s="19" t="n">
        <v>357</v>
      </c>
      <c r="E19" s="18" t="n">
        <v>48.62810211</v>
      </c>
      <c r="F19" s="20" t="n">
        <v>2.59699446</v>
      </c>
      <c r="G19" s="18" t="n">
        <v>50.24686192</v>
      </c>
      <c r="H19" s="20" t="n">
        <v>2.70850976</v>
      </c>
      <c r="I19" s="18" t="s">
        <v>431</v>
      </c>
      <c r="J19" s="20" t="s">
        <v>431</v>
      </c>
      <c r="K19" s="18" t="n">
        <v>0.57739845</v>
      </c>
      <c r="L19" s="20" t="n">
        <v>0.6268793499999999</v>
      </c>
      <c r="M19" s="18" t="n">
        <v>0</v>
      </c>
      <c r="N19" s="20" t="n">
        <v>0</v>
      </c>
      <c r="O19" s="18" t="n">
        <v>0</v>
      </c>
      <c r="P19" s="20" t="n">
        <v>0</v>
      </c>
      <c r="Q19" s="18" t="n">
        <v>0.54763751</v>
      </c>
      <c r="R19" s="20" t="n">
        <v>0.3866587</v>
      </c>
    </row>
    <row r="20" spans="1:18">
      <c r="A20" s="15" t="s">
        <v>444</v>
      </c>
      <c r="B20" s="17" t="n">
        <v>1630</v>
      </c>
      <c r="C20" s="18">
        <f>(1436.0/B20*100)</f>
        <v/>
      </c>
      <c r="D20" s="19" t="n">
        <v>194</v>
      </c>
      <c r="E20" s="18" t="n">
        <v>61.94244116</v>
      </c>
      <c r="F20" s="20" t="n">
        <v>3.83339477</v>
      </c>
      <c r="G20" s="18" t="n">
        <v>35.01375186</v>
      </c>
      <c r="H20" s="20" t="n">
        <v>3.71154311</v>
      </c>
      <c r="I20" s="18" t="s">
        <v>431</v>
      </c>
      <c r="J20" s="20" t="s">
        <v>431</v>
      </c>
      <c r="K20" s="18" t="n">
        <v>0.49991428</v>
      </c>
      <c r="L20" s="20" t="n">
        <v>0.48296887</v>
      </c>
      <c r="M20" s="18" t="n">
        <v>0</v>
      </c>
      <c r="N20" s="20" t="n">
        <v>0</v>
      </c>
      <c r="O20" s="18" t="n">
        <v>0</v>
      </c>
      <c r="P20" s="20" t="n">
        <v>0</v>
      </c>
      <c r="Q20" s="18" t="n">
        <v>2.5438927</v>
      </c>
      <c r="R20" s="20" t="n">
        <v>1.15436758</v>
      </c>
    </row>
    <row r="21" spans="1:18">
      <c r="A21" s="15" t="s">
        <v>445</v>
      </c>
      <c r="B21" s="17" t="n">
        <v>2908</v>
      </c>
      <c r="C21" s="18">
        <f>(2433.0/B21*100)</f>
        <v/>
      </c>
      <c r="D21" s="19" t="n">
        <v>475</v>
      </c>
      <c r="E21" s="18" t="n">
        <v>54.13176006</v>
      </c>
      <c r="F21" s="20" t="n">
        <v>2.72861093</v>
      </c>
      <c r="G21" s="18" t="n">
        <v>44.89521879</v>
      </c>
      <c r="H21" s="20" t="n">
        <v>2.75677745</v>
      </c>
      <c r="I21" s="18" t="s">
        <v>431</v>
      </c>
      <c r="J21" s="20" t="s">
        <v>431</v>
      </c>
      <c r="K21" s="18" t="n">
        <v>0.21349249</v>
      </c>
      <c r="L21" s="20" t="n">
        <v>0.15077766</v>
      </c>
      <c r="M21" s="18" t="n">
        <v>0</v>
      </c>
      <c r="N21" s="20" t="n">
        <v>0</v>
      </c>
      <c r="O21" s="18" t="n">
        <v>0</v>
      </c>
      <c r="P21" s="20" t="n">
        <v>0</v>
      </c>
      <c r="Q21" s="18" t="n">
        <v>0.75952866</v>
      </c>
      <c r="R21" s="20" t="n">
        <v>0.38692823</v>
      </c>
    </row>
    <row r="22" spans="1:18">
      <c r="A22" s="15" t="s">
        <v>446</v>
      </c>
      <c r="B22" s="17" t="n">
        <v>2931</v>
      </c>
      <c r="C22" s="18">
        <f>(2565.0/B22*100)</f>
        <v/>
      </c>
      <c r="D22" s="19" t="n">
        <v>366</v>
      </c>
      <c r="E22" s="18" t="n">
        <v>48.81179807</v>
      </c>
      <c r="F22" s="20" t="n">
        <v>3.26985861</v>
      </c>
      <c r="G22" s="18" t="n">
        <v>44.30211659</v>
      </c>
      <c r="H22" s="20" t="n">
        <v>3.02813615</v>
      </c>
      <c r="I22" s="18" t="s">
        <v>431</v>
      </c>
      <c r="J22" s="20" t="s">
        <v>431</v>
      </c>
      <c r="K22" s="18" t="n">
        <v>1.77757785</v>
      </c>
      <c r="L22" s="20" t="n">
        <v>0.75056603</v>
      </c>
      <c r="M22" s="18" t="n">
        <v>0</v>
      </c>
      <c r="N22" s="20" t="n">
        <v>0</v>
      </c>
      <c r="O22" s="18" t="n">
        <v>0</v>
      </c>
      <c r="P22" s="20" t="n">
        <v>0</v>
      </c>
      <c r="Q22" s="18" t="n">
        <v>5.10850749</v>
      </c>
      <c r="R22" s="20" t="n">
        <v>1.10510713</v>
      </c>
    </row>
    <row r="23" spans="1:18">
      <c r="A23" s="15" t="s">
        <v>447</v>
      </c>
      <c r="B23" s="17" t="n">
        <v>5791</v>
      </c>
      <c r="C23" s="18">
        <f>(5068.0/B23*100)</f>
        <v/>
      </c>
      <c r="D23" s="19" t="n">
        <v>723</v>
      </c>
      <c r="E23" s="18" t="n">
        <v>56.83999262</v>
      </c>
      <c r="F23" s="20" t="n">
        <v>2.39023516</v>
      </c>
      <c r="G23" s="18" t="n">
        <v>42.52151305</v>
      </c>
      <c r="H23" s="20" t="n">
        <v>2.36719207</v>
      </c>
      <c r="I23" s="18" t="s">
        <v>431</v>
      </c>
      <c r="J23" s="20" t="s">
        <v>431</v>
      </c>
      <c r="K23" s="18" t="n">
        <v>0.13336067</v>
      </c>
      <c r="L23" s="20" t="n">
        <v>0.13876472</v>
      </c>
      <c r="M23" s="18" t="n">
        <v>0</v>
      </c>
      <c r="N23" s="20" t="n">
        <v>0</v>
      </c>
      <c r="O23" s="18" t="n">
        <v>0</v>
      </c>
      <c r="P23" s="20" t="n">
        <v>0</v>
      </c>
      <c r="Q23" s="18" t="n">
        <v>0.50513366</v>
      </c>
      <c r="R23" s="20" t="n">
        <v>0.33315562</v>
      </c>
    </row>
    <row r="24" spans="1:18">
      <c r="A24" s="15" t="s">
        <v>448</v>
      </c>
      <c r="B24" s="17" t="n">
        <v>3338</v>
      </c>
      <c r="C24" s="18">
        <f>(2938.0/B24*100)</f>
        <v/>
      </c>
      <c r="D24" s="19" t="n">
        <v>400</v>
      </c>
      <c r="E24" s="18" t="n">
        <v>47.61878255</v>
      </c>
      <c r="F24" s="20" t="n">
        <v>3.11068384</v>
      </c>
      <c r="G24" s="18" t="n">
        <v>52.13361583</v>
      </c>
      <c r="H24" s="20" t="n">
        <v>3.12124414</v>
      </c>
      <c r="I24" s="18" t="s">
        <v>431</v>
      </c>
      <c r="J24" s="20" t="s">
        <v>431</v>
      </c>
      <c r="K24" s="18" t="n">
        <v>0</v>
      </c>
      <c r="L24" s="20" t="n">
        <v>0</v>
      </c>
      <c r="M24" s="18" t="n">
        <v>0</v>
      </c>
      <c r="N24" s="20" t="n">
        <v>0</v>
      </c>
      <c r="O24" s="18" t="n">
        <v>0</v>
      </c>
      <c r="P24" s="20" t="n">
        <v>0</v>
      </c>
      <c r="Q24" s="18" t="n">
        <v>0.24760162</v>
      </c>
      <c r="R24" s="20" t="n">
        <v>0.24729706</v>
      </c>
    </row>
    <row r="25" spans="1:18">
      <c r="A25" s="15" t="s">
        <v>449</v>
      </c>
      <c r="B25" s="17" t="n">
        <v>2912</v>
      </c>
      <c r="C25" s="18">
        <f>(2540.0/B25*100)</f>
        <v/>
      </c>
      <c r="D25" s="19" t="n">
        <v>372</v>
      </c>
      <c r="E25" s="18" t="n">
        <v>55.07371412</v>
      </c>
      <c r="F25" s="20" t="n">
        <v>2.66780178</v>
      </c>
      <c r="G25" s="18" t="n">
        <v>44.67745004</v>
      </c>
      <c r="H25" s="20" t="n">
        <v>2.67645235</v>
      </c>
      <c r="I25" s="18" t="s">
        <v>431</v>
      </c>
      <c r="J25" s="20" t="s">
        <v>431</v>
      </c>
      <c r="K25" s="18" t="n">
        <v>0</v>
      </c>
      <c r="L25" s="20" t="n">
        <v>0</v>
      </c>
      <c r="M25" s="18" t="n">
        <v>0</v>
      </c>
      <c r="N25" s="20" t="n">
        <v>0</v>
      </c>
      <c r="O25" s="18" t="n">
        <v>0</v>
      </c>
      <c r="P25" s="20" t="n">
        <v>0</v>
      </c>
      <c r="Q25" s="18" t="n">
        <v>0.24883584</v>
      </c>
      <c r="R25" s="20" t="n">
        <v>0.24984306</v>
      </c>
    </row>
    <row r="26" spans="1:18">
      <c r="A26" s="15" t="s">
        <v>450</v>
      </c>
      <c r="B26" s="17" t="n">
        <v>2450</v>
      </c>
      <c r="C26" s="18">
        <f>(2136.0/B26*100)</f>
        <v/>
      </c>
      <c r="D26" s="19" t="n">
        <v>314</v>
      </c>
      <c r="E26" s="18" t="n">
        <v>64.08970117</v>
      </c>
      <c r="F26" s="20" t="n">
        <v>2.79944407</v>
      </c>
      <c r="G26" s="18" t="n">
        <v>34.76655304</v>
      </c>
      <c r="H26" s="20" t="n">
        <v>2.79478824</v>
      </c>
      <c r="I26" s="18" t="s">
        <v>431</v>
      </c>
      <c r="J26" s="20" t="s">
        <v>431</v>
      </c>
      <c r="K26" s="18" t="n">
        <v>0</v>
      </c>
      <c r="L26" s="20" t="n">
        <v>0</v>
      </c>
      <c r="M26" s="18" t="n">
        <v>0</v>
      </c>
      <c r="N26" s="20" t="n">
        <v>0</v>
      </c>
      <c r="O26" s="18" t="n">
        <v>0</v>
      </c>
      <c r="P26" s="20" t="n">
        <v>0</v>
      </c>
      <c r="Q26" s="18" t="n">
        <v>1.14374579</v>
      </c>
      <c r="R26" s="20" t="n">
        <v>0.60070459</v>
      </c>
    </row>
    <row r="27" spans="1:18">
      <c r="A27" s="15" t="s">
        <v>451</v>
      </c>
      <c r="B27" s="17" t="n">
        <v>2616</v>
      </c>
      <c r="C27" s="18">
        <f>(2288.0/B27*100)</f>
        <v/>
      </c>
      <c r="D27" s="19" t="n">
        <v>328</v>
      </c>
      <c r="E27" s="18" t="n">
        <v>58.15128454</v>
      </c>
      <c r="F27" s="20" t="n">
        <v>2.36204242</v>
      </c>
      <c r="G27" s="18" t="n">
        <v>40.29293054</v>
      </c>
      <c r="H27" s="20" t="n">
        <v>2.35188017</v>
      </c>
      <c r="I27" s="18" t="s">
        <v>431</v>
      </c>
      <c r="J27" s="20" t="s">
        <v>431</v>
      </c>
      <c r="K27" s="18" t="n">
        <v>0.30680597</v>
      </c>
      <c r="L27" s="20" t="n">
        <v>0.3081557</v>
      </c>
      <c r="M27" s="18" t="n">
        <v>0</v>
      </c>
      <c r="N27" s="20" t="n">
        <v>0</v>
      </c>
      <c r="O27" s="18" t="n">
        <v>0</v>
      </c>
      <c r="P27" s="20" t="n">
        <v>0</v>
      </c>
      <c r="Q27" s="18" t="n">
        <v>1.24897895</v>
      </c>
      <c r="R27" s="20" t="n">
        <v>0.62967809</v>
      </c>
    </row>
    <row r="28" spans="1:18">
      <c r="A28" s="15" t="s">
        <v>452</v>
      </c>
      <c r="B28" s="17" t="n">
        <v>3765</v>
      </c>
      <c r="C28" s="18">
        <f>(3306.0/B28*100)</f>
        <v/>
      </c>
      <c r="D28" s="19" t="n">
        <v>459</v>
      </c>
      <c r="E28" s="18" t="n">
        <v>68.26932404999999</v>
      </c>
      <c r="F28" s="20" t="n">
        <v>2.19746498</v>
      </c>
      <c r="G28" s="18" t="n">
        <v>30.47773229</v>
      </c>
      <c r="H28" s="20" t="n">
        <v>2.09663621</v>
      </c>
      <c r="I28" s="18" t="s">
        <v>431</v>
      </c>
      <c r="J28" s="20" t="s">
        <v>431</v>
      </c>
      <c r="K28" s="18" t="n">
        <v>0</v>
      </c>
      <c r="L28" s="20" t="n">
        <v>0</v>
      </c>
      <c r="M28" s="18" t="n">
        <v>0</v>
      </c>
      <c r="N28" s="20" t="n">
        <v>0</v>
      </c>
      <c r="O28" s="18" t="n">
        <v>0</v>
      </c>
      <c r="P28" s="20" t="n">
        <v>0</v>
      </c>
      <c r="Q28" s="18" t="n">
        <v>1.25294366</v>
      </c>
      <c r="R28" s="20" t="n">
        <v>0.5801556</v>
      </c>
    </row>
    <row r="29" spans="1:18">
      <c r="A29" s="15" t="s">
        <v>453</v>
      </c>
      <c r="B29" s="17" t="n">
        <v>2685</v>
      </c>
      <c r="C29" s="18">
        <f>(2369.0/B29*100)</f>
        <v/>
      </c>
      <c r="D29" s="19" t="n">
        <v>316</v>
      </c>
      <c r="E29" s="18" t="n">
        <v>53.06787457</v>
      </c>
      <c r="F29" s="20" t="n">
        <v>2.69106245</v>
      </c>
      <c r="G29" s="18" t="n">
        <v>46.93212543</v>
      </c>
      <c r="H29" s="20" t="n">
        <v>2.69106245</v>
      </c>
      <c r="I29" s="18" t="s">
        <v>431</v>
      </c>
      <c r="J29" s="20" t="s">
        <v>431</v>
      </c>
      <c r="K29" s="18" t="n">
        <v>0</v>
      </c>
      <c r="L29" s="20" t="n">
        <v>0</v>
      </c>
      <c r="M29" s="18" t="n">
        <v>0</v>
      </c>
      <c r="N29" s="20" t="n">
        <v>0</v>
      </c>
      <c r="O29" s="18" t="n">
        <v>0</v>
      </c>
      <c r="P29" s="20" t="n">
        <v>0</v>
      </c>
      <c r="Q29" s="18" t="n">
        <v>0</v>
      </c>
      <c r="R29" s="20" t="n">
        <v>0</v>
      </c>
    </row>
    <row r="30" spans="1:18">
      <c r="A30" s="15" t="s">
        <v>454</v>
      </c>
      <c r="B30" s="17" t="n">
        <v>2263</v>
      </c>
      <c r="C30" s="18">
        <f>(1986.0/B30*100)</f>
        <v/>
      </c>
      <c r="D30" s="19" t="n">
        <v>277</v>
      </c>
      <c r="E30" s="18" t="n">
        <v>50.91157515</v>
      </c>
      <c r="F30" s="20" t="n">
        <v>3.22686034</v>
      </c>
      <c r="G30" s="18" t="n">
        <v>46.86745948</v>
      </c>
      <c r="H30" s="20" t="n">
        <v>3.03449339</v>
      </c>
      <c r="I30" s="18" t="s">
        <v>431</v>
      </c>
      <c r="J30" s="20" t="s">
        <v>431</v>
      </c>
      <c r="K30" s="18" t="n">
        <v>0.3218021</v>
      </c>
      <c r="L30" s="20" t="n">
        <v>0.32833676</v>
      </c>
      <c r="M30" s="18" t="n">
        <v>0</v>
      </c>
      <c r="N30" s="20" t="n">
        <v>0</v>
      </c>
      <c r="O30" s="18" t="n">
        <v>0</v>
      </c>
      <c r="P30" s="20" t="n">
        <v>0</v>
      </c>
      <c r="Q30" s="18" t="n">
        <v>1.89916326</v>
      </c>
      <c r="R30" s="20" t="n">
        <v>0.90960118</v>
      </c>
    </row>
    <row r="31" spans="1:18">
      <c r="A31" s="15" t="s">
        <v>455</v>
      </c>
      <c r="B31" s="17" t="n">
        <v>2750</v>
      </c>
      <c r="C31" s="18">
        <f>(2413.0/B31*100)</f>
        <v/>
      </c>
      <c r="D31" s="19" t="n">
        <v>337</v>
      </c>
      <c r="E31" s="18" t="n">
        <v>63.13260422</v>
      </c>
      <c r="F31" s="20" t="n">
        <v>2.94787228</v>
      </c>
      <c r="G31" s="18" t="n">
        <v>34.80352157</v>
      </c>
      <c r="H31" s="20" t="n">
        <v>2.828084</v>
      </c>
      <c r="I31" s="18" t="s">
        <v>431</v>
      </c>
      <c r="J31" s="20" t="s">
        <v>431</v>
      </c>
      <c r="K31" s="18" t="n">
        <v>0.60039837</v>
      </c>
      <c r="L31" s="20" t="n">
        <v>0.35660264</v>
      </c>
      <c r="M31" s="18" t="n">
        <v>0</v>
      </c>
      <c r="N31" s="20" t="n">
        <v>0</v>
      </c>
      <c r="O31" s="18" t="n">
        <v>0</v>
      </c>
      <c r="P31" s="20" t="n">
        <v>0</v>
      </c>
      <c r="Q31" s="18" t="n">
        <v>1.46347584</v>
      </c>
      <c r="R31" s="20" t="n">
        <v>0.65590548</v>
      </c>
    </row>
    <row r="32" spans="1:18">
      <c r="A32" s="15" t="s">
        <v>456</v>
      </c>
      <c r="B32" s="17" t="n">
        <v>2269</v>
      </c>
      <c r="C32" s="18">
        <f>(1897.0/B32*100)</f>
        <v/>
      </c>
      <c r="D32" s="19" t="n">
        <v>372</v>
      </c>
      <c r="E32" s="18" t="n">
        <v>52.003335</v>
      </c>
      <c r="F32" s="20" t="n">
        <v>3.00087588</v>
      </c>
      <c r="G32" s="18" t="n">
        <v>47.996665</v>
      </c>
      <c r="H32" s="20" t="n">
        <v>3.00087588</v>
      </c>
      <c r="I32" s="18" t="s">
        <v>431</v>
      </c>
      <c r="J32" s="20" t="s">
        <v>431</v>
      </c>
      <c r="K32" s="18" t="n">
        <v>0</v>
      </c>
      <c r="L32" s="20" t="n">
        <v>0</v>
      </c>
      <c r="M32" s="18" t="n">
        <v>0</v>
      </c>
      <c r="N32" s="20" t="n">
        <v>0</v>
      </c>
      <c r="O32" s="18" t="n">
        <v>0</v>
      </c>
      <c r="P32" s="20" t="n">
        <v>0</v>
      </c>
      <c r="Q32" s="18" t="n">
        <v>0</v>
      </c>
      <c r="R32" s="20" t="n">
        <v>0</v>
      </c>
    </row>
    <row r="33" spans="1:18">
      <c r="A33" s="15" t="s">
        <v>457</v>
      </c>
      <c r="B33" s="17" t="n">
        <v>3674</v>
      </c>
      <c r="C33" s="18">
        <f>(3223.0/B33*100)</f>
        <v/>
      </c>
      <c r="D33" s="19" t="n">
        <v>451</v>
      </c>
      <c r="E33" s="18" t="n">
        <v>48.08260315</v>
      </c>
      <c r="F33" s="20" t="n">
        <v>3.22504456</v>
      </c>
      <c r="G33" s="18" t="n">
        <v>51.88619387</v>
      </c>
      <c r="H33" s="20" t="n">
        <v>3.2253554</v>
      </c>
      <c r="I33" s="18" t="s">
        <v>431</v>
      </c>
      <c r="J33" s="20" t="s">
        <v>431</v>
      </c>
      <c r="K33" s="18" t="n">
        <v>0.03120298</v>
      </c>
      <c r="L33" s="20" t="n">
        <v>0.03316957</v>
      </c>
      <c r="M33" s="18" t="n">
        <v>0</v>
      </c>
      <c r="N33" s="20" t="n">
        <v>0</v>
      </c>
      <c r="O33" s="18" t="n">
        <v>0</v>
      </c>
      <c r="P33" s="20" t="n">
        <v>0</v>
      </c>
      <c r="Q33" s="18" t="n">
        <v>0</v>
      </c>
      <c r="R33" s="20" t="n">
        <v>0</v>
      </c>
    </row>
    <row r="34" spans="1:18">
      <c r="A34" s="15" t="s">
        <v>458</v>
      </c>
      <c r="B34" s="17" t="n">
        <v>3315</v>
      </c>
      <c r="C34" s="18">
        <f>(2931.0/B34*100)</f>
        <v/>
      </c>
      <c r="D34" s="19" t="n">
        <v>384</v>
      </c>
      <c r="E34" s="18" t="n">
        <v>62.93371492</v>
      </c>
      <c r="F34" s="20" t="n">
        <v>2.21268462</v>
      </c>
      <c r="G34" s="18" t="n">
        <v>36.09395946</v>
      </c>
      <c r="H34" s="20" t="n">
        <v>2.23370241</v>
      </c>
      <c r="I34" s="18" t="s">
        <v>431</v>
      </c>
      <c r="J34" s="20" t="s">
        <v>431</v>
      </c>
      <c r="K34" s="18" t="n">
        <v>0.08476448</v>
      </c>
      <c r="L34" s="20" t="n">
        <v>0.08537516000000001</v>
      </c>
      <c r="M34" s="18" t="n">
        <v>0</v>
      </c>
      <c r="N34" s="20" t="n">
        <v>0</v>
      </c>
      <c r="O34" s="18" t="n">
        <v>0</v>
      </c>
      <c r="P34" s="20" t="n">
        <v>0</v>
      </c>
      <c r="Q34" s="18" t="n">
        <v>0.88756114</v>
      </c>
      <c r="R34" s="20" t="n">
        <v>0.54724089</v>
      </c>
    </row>
    <row r="35" spans="1:18">
      <c r="A35" s="15" t="s">
        <v>459</v>
      </c>
      <c r="B35" s="17" t="n">
        <v>3505</v>
      </c>
      <c r="C35" s="18">
        <f>(3097.0/B35*100)</f>
        <v/>
      </c>
      <c r="D35" s="19" t="n">
        <v>408</v>
      </c>
      <c r="E35" s="18" t="n">
        <v>57.8981401</v>
      </c>
      <c r="F35" s="20" t="n">
        <v>3.13568358</v>
      </c>
      <c r="G35" s="18" t="n">
        <v>40.98732577</v>
      </c>
      <c r="H35" s="20" t="n">
        <v>3.09226838</v>
      </c>
      <c r="I35" s="18" t="s">
        <v>431</v>
      </c>
      <c r="J35" s="20" t="s">
        <v>431</v>
      </c>
      <c r="K35" s="18" t="n">
        <v>0</v>
      </c>
      <c r="L35" s="20" t="n">
        <v>0</v>
      </c>
      <c r="M35" s="18" t="n">
        <v>0</v>
      </c>
      <c r="N35" s="20" t="n">
        <v>0</v>
      </c>
      <c r="O35" s="18" t="n">
        <v>0</v>
      </c>
      <c r="P35" s="20" t="n">
        <v>0</v>
      </c>
      <c r="Q35" s="18" t="n">
        <v>1.11453413</v>
      </c>
      <c r="R35" s="20" t="n">
        <v>0.62377407</v>
      </c>
    </row>
    <row r="36" spans="1:18">
      <c r="A36" s="15" t="s">
        <v>460</v>
      </c>
      <c r="B36" s="17" t="n">
        <v>3332</v>
      </c>
      <c r="C36" s="18">
        <f>(2921.0/B36*100)</f>
        <v/>
      </c>
      <c r="D36" s="19" t="n">
        <v>411</v>
      </c>
      <c r="E36" s="18" t="n">
        <v>51.42495347</v>
      </c>
      <c r="F36" s="20" t="n">
        <v>2.5989451</v>
      </c>
      <c r="G36" s="18" t="n">
        <v>46.88340771</v>
      </c>
      <c r="H36" s="20" t="n">
        <v>2.62140519</v>
      </c>
      <c r="I36" s="18" t="s">
        <v>431</v>
      </c>
      <c r="J36" s="20" t="s">
        <v>431</v>
      </c>
      <c r="K36" s="18" t="n">
        <v>0.79080677</v>
      </c>
      <c r="L36" s="20" t="n">
        <v>0.38431383</v>
      </c>
      <c r="M36" s="18" t="n">
        <v>0</v>
      </c>
      <c r="N36" s="20" t="n">
        <v>0</v>
      </c>
      <c r="O36" s="18" t="n">
        <v>0</v>
      </c>
      <c r="P36" s="20" t="n">
        <v>0</v>
      </c>
      <c r="Q36" s="18" t="n">
        <v>0.90083205</v>
      </c>
      <c r="R36" s="20" t="n">
        <v>0.09058743</v>
      </c>
    </row>
    <row r="37" spans="1:18">
      <c r="A37" s="15" t="s">
        <v>461</v>
      </c>
      <c r="B37" s="17" t="n">
        <v>2727</v>
      </c>
      <c r="C37" s="18">
        <f>(2387.0/B37*100)</f>
        <v/>
      </c>
      <c r="D37" s="19" t="n">
        <v>340</v>
      </c>
      <c r="E37" s="18" t="n">
        <v>60.07110234</v>
      </c>
      <c r="F37" s="20" t="n">
        <v>2.92298425</v>
      </c>
      <c r="G37" s="18" t="n">
        <v>38.85715208</v>
      </c>
      <c r="H37" s="20" t="n">
        <v>2.89863762</v>
      </c>
      <c r="I37" s="18" t="s">
        <v>431</v>
      </c>
      <c r="J37" s="20" t="s">
        <v>431</v>
      </c>
      <c r="K37" s="18" t="n">
        <v>0.22282904</v>
      </c>
      <c r="L37" s="20" t="n">
        <v>0.22326446</v>
      </c>
      <c r="M37" s="18" t="n">
        <v>0</v>
      </c>
      <c r="N37" s="20" t="n">
        <v>0</v>
      </c>
      <c r="O37" s="18" t="n">
        <v>0</v>
      </c>
      <c r="P37" s="20" t="n">
        <v>0</v>
      </c>
      <c r="Q37" s="18" t="n">
        <v>0.8489165400000001</v>
      </c>
      <c r="R37" s="20" t="n">
        <v>0.6398365499999999</v>
      </c>
    </row>
    <row r="38" spans="1:18">
      <c r="A38" s="15" t="s">
        <v>462</v>
      </c>
      <c r="B38" s="17" t="n">
        <v>3053</v>
      </c>
      <c r="C38" s="18">
        <f>(2535.0/B38*100)</f>
        <v/>
      </c>
      <c r="D38" s="19" t="n">
        <v>518</v>
      </c>
      <c r="E38" s="18" t="n">
        <v>55.48981587</v>
      </c>
      <c r="F38" s="20" t="n">
        <v>2.72538702</v>
      </c>
      <c r="G38" s="18" t="n">
        <v>41.51873751</v>
      </c>
      <c r="H38" s="20" t="n">
        <v>2.35952281</v>
      </c>
      <c r="I38" s="18" t="s">
        <v>431</v>
      </c>
      <c r="J38" s="20" t="s">
        <v>431</v>
      </c>
      <c r="K38" s="18" t="n">
        <v>0.92071337</v>
      </c>
      <c r="L38" s="20" t="n">
        <v>0.57484587</v>
      </c>
      <c r="M38" s="18" t="n">
        <v>0</v>
      </c>
      <c r="N38" s="20" t="n">
        <v>0</v>
      </c>
      <c r="O38" s="18" t="n">
        <v>0</v>
      </c>
      <c r="P38" s="20" t="n">
        <v>0</v>
      </c>
      <c r="Q38" s="18" t="n">
        <v>2.07073325</v>
      </c>
      <c r="R38" s="20" t="n">
        <v>1.10227813</v>
      </c>
    </row>
    <row r="39" spans="1:18">
      <c r="A39" s="15" t="s">
        <v>463</v>
      </c>
      <c r="B39" s="17" t="n">
        <v>2957</v>
      </c>
      <c r="C39" s="18">
        <f>(2594.0/B39*100)</f>
        <v/>
      </c>
      <c r="D39" s="19" t="n">
        <v>363</v>
      </c>
      <c r="E39" s="18" t="n">
        <v>66.05675691</v>
      </c>
      <c r="F39" s="20" t="n">
        <v>2.53521088</v>
      </c>
      <c r="G39" s="18" t="n">
        <v>32.01390086</v>
      </c>
      <c r="H39" s="20" t="n">
        <v>2.43865716</v>
      </c>
      <c r="I39" s="18" t="s">
        <v>431</v>
      </c>
      <c r="J39" s="20" t="s">
        <v>431</v>
      </c>
      <c r="K39" s="18" t="n">
        <v>0</v>
      </c>
      <c r="L39" s="20" t="n">
        <v>0</v>
      </c>
      <c r="M39" s="18" t="n">
        <v>0</v>
      </c>
      <c r="N39" s="20" t="n">
        <v>0</v>
      </c>
      <c r="O39" s="18" t="n">
        <v>0</v>
      </c>
      <c r="P39" s="20" t="n">
        <v>0</v>
      </c>
      <c r="Q39" s="18" t="n">
        <v>1.92934223</v>
      </c>
      <c r="R39" s="20" t="n">
        <v>0.67139265</v>
      </c>
    </row>
    <row r="40" spans="1:18">
      <c r="A40" s="15" t="s">
        <v>464</v>
      </c>
      <c r="B40" s="17" t="n">
        <v>7235</v>
      </c>
      <c r="C40" s="18">
        <f>(6376.0/B40*100)</f>
        <v/>
      </c>
      <c r="D40" s="19" t="n">
        <v>859</v>
      </c>
      <c r="E40" s="18" t="n">
        <v>55.27033151</v>
      </c>
      <c r="F40" s="20" t="n">
        <v>2.63147273</v>
      </c>
      <c r="G40" s="18" t="n">
        <v>43.52622506</v>
      </c>
      <c r="H40" s="20" t="n">
        <v>2.73740077</v>
      </c>
      <c r="I40" s="18" t="s">
        <v>431</v>
      </c>
      <c r="J40" s="20" t="s">
        <v>431</v>
      </c>
      <c r="K40" s="18" t="n">
        <v>0.69334577</v>
      </c>
      <c r="L40" s="20" t="n">
        <v>0.49275849</v>
      </c>
      <c r="M40" s="18" t="n">
        <v>0</v>
      </c>
      <c r="N40" s="20" t="n">
        <v>0</v>
      </c>
      <c r="O40" s="18" t="n">
        <v>0</v>
      </c>
      <c r="P40" s="20" t="n">
        <v>0</v>
      </c>
      <c r="Q40" s="18" t="n">
        <v>0.51009766</v>
      </c>
      <c r="R40" s="20" t="n">
        <v>0.40872917</v>
      </c>
    </row>
    <row r="41" spans="1:18">
      <c r="A41" s="15" t="s">
        <v>465</v>
      </c>
      <c r="B41" s="17" t="n">
        <v>2858</v>
      </c>
      <c r="C41" s="18">
        <f>(2508.0/B41*100)</f>
        <v/>
      </c>
      <c r="D41" s="19" t="n">
        <v>350</v>
      </c>
      <c r="E41" s="18" t="n">
        <v>54.82878237</v>
      </c>
      <c r="F41" s="20" t="n">
        <v>2.8176787</v>
      </c>
      <c r="G41" s="18" t="n">
        <v>44.34024694</v>
      </c>
      <c r="H41" s="20" t="n">
        <v>2.70270499</v>
      </c>
      <c r="I41" s="18" t="s">
        <v>431</v>
      </c>
      <c r="J41" s="20" t="s">
        <v>431</v>
      </c>
      <c r="K41" s="18" t="n">
        <v>0</v>
      </c>
      <c r="L41" s="20" t="n">
        <v>0</v>
      </c>
      <c r="M41" s="18" t="n">
        <v>0</v>
      </c>
      <c r="N41" s="20" t="n">
        <v>0</v>
      </c>
      <c r="O41" s="18" t="n">
        <v>0</v>
      </c>
      <c r="P41" s="20" t="n">
        <v>0</v>
      </c>
      <c r="Q41" s="18" t="n">
        <v>0.8309707</v>
      </c>
      <c r="R41" s="20" t="n">
        <v>0.60284707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(9845.0/B46*100)</f>
        <v/>
      </c>
      <c r="D46" s="19" t="n">
        <v>1223</v>
      </c>
      <c r="E46" s="18" t="n">
        <v>72.94438952</v>
      </c>
      <c r="F46" s="20" t="n">
        <v>1.53838492</v>
      </c>
      <c r="G46" s="18" t="n">
        <v>25.32058158</v>
      </c>
      <c r="H46" s="20" t="n">
        <v>1.46229042</v>
      </c>
      <c r="I46" s="18" t="s">
        <v>431</v>
      </c>
      <c r="J46" s="20" t="s">
        <v>431</v>
      </c>
      <c r="K46" s="18" t="n">
        <v>0.38305851</v>
      </c>
      <c r="L46" s="20" t="n">
        <v>0.18370013</v>
      </c>
      <c r="M46" s="18" t="n">
        <v>0</v>
      </c>
      <c r="N46" s="20" t="n">
        <v>0</v>
      </c>
      <c r="O46" s="18" t="n">
        <v>0</v>
      </c>
      <c r="P46" s="20" t="n">
        <v>0</v>
      </c>
      <c r="Q46" s="18" t="n">
        <v>1.3519704</v>
      </c>
      <c r="R46" s="20" t="n">
        <v>0.41386539</v>
      </c>
    </row>
    <row r="47" spans="1:18">
      <c r="A47" s="15" t="s">
        <v>471</v>
      </c>
      <c r="B47" s="17" t="n">
        <v>3105</v>
      </c>
      <c r="C47" s="18">
        <f>(2757.0/B47*100)</f>
        <v/>
      </c>
      <c r="D47" s="19" t="n">
        <v>348</v>
      </c>
      <c r="E47" s="18" t="n">
        <v>68.65817548</v>
      </c>
      <c r="F47" s="20" t="n">
        <v>2.94254896</v>
      </c>
      <c r="G47" s="18" t="n">
        <v>29.94840802</v>
      </c>
      <c r="H47" s="20" t="n">
        <v>2.89507436</v>
      </c>
      <c r="I47" s="18" t="s">
        <v>431</v>
      </c>
      <c r="J47" s="20" t="s">
        <v>431</v>
      </c>
      <c r="K47" s="18" t="n">
        <v>0</v>
      </c>
      <c r="L47" s="20" t="n">
        <v>0</v>
      </c>
      <c r="M47" s="18" t="n">
        <v>0</v>
      </c>
      <c r="N47" s="20" t="n">
        <v>0</v>
      </c>
      <c r="O47" s="18" t="n">
        <v>0</v>
      </c>
      <c r="P47" s="20" t="n">
        <v>0</v>
      </c>
      <c r="Q47" s="18" t="n">
        <v>1.3934165</v>
      </c>
      <c r="R47" s="20" t="n">
        <v>0.61738883</v>
      </c>
    </row>
    <row r="48" spans="1:18">
      <c r="A48" s="15" t="s">
        <v>472</v>
      </c>
      <c r="B48" s="17" t="n">
        <v>5159</v>
      </c>
      <c r="C48" s="18">
        <f>(4522.0/B48*100)</f>
        <v/>
      </c>
      <c r="D48" s="19" t="n">
        <v>637</v>
      </c>
      <c r="E48" s="18" t="n">
        <v>58.72400342</v>
      </c>
      <c r="F48" s="20" t="n">
        <v>2.60344471</v>
      </c>
      <c r="G48" s="18" t="n">
        <v>39.69213822</v>
      </c>
      <c r="H48" s="20" t="n">
        <v>2.46995531</v>
      </c>
      <c r="I48" s="18" t="s">
        <v>431</v>
      </c>
      <c r="J48" s="20" t="s">
        <v>431</v>
      </c>
      <c r="K48" s="18" t="n">
        <v>0.87690601</v>
      </c>
      <c r="L48" s="20" t="n">
        <v>0.76682484</v>
      </c>
      <c r="M48" s="18" t="n">
        <v>0</v>
      </c>
      <c r="N48" s="20" t="n">
        <v>0</v>
      </c>
      <c r="O48" s="18" t="n">
        <v>0</v>
      </c>
      <c r="P48" s="20" t="n">
        <v>0</v>
      </c>
      <c r="Q48" s="18" t="n">
        <v>0.70695235</v>
      </c>
      <c r="R48" s="20" t="n">
        <v>0.40201235</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(4969.0/B50*100)</f>
        <v/>
      </c>
      <c r="D50" s="19" t="n">
        <v>668</v>
      </c>
      <c r="E50" s="18" t="n">
        <v>67.07894285</v>
      </c>
      <c r="F50" s="20" t="n">
        <v>2.15998695</v>
      </c>
      <c r="G50" s="18" t="n">
        <v>30.80803781</v>
      </c>
      <c r="H50" s="20" t="n">
        <v>2.20399129</v>
      </c>
      <c r="I50" s="18" t="s">
        <v>431</v>
      </c>
      <c r="J50" s="20" t="s">
        <v>431</v>
      </c>
      <c r="K50" s="18" t="n">
        <v>0.47186468</v>
      </c>
      <c r="L50" s="20" t="n">
        <v>0.24721501</v>
      </c>
      <c r="M50" s="18" t="n">
        <v>0</v>
      </c>
      <c r="N50" s="20" t="n">
        <v>0</v>
      </c>
      <c r="O50" s="18" t="n">
        <v>0</v>
      </c>
      <c r="P50" s="20" t="n">
        <v>0</v>
      </c>
      <c r="Q50" s="18" t="n">
        <v>1.64115466</v>
      </c>
      <c r="R50" s="20" t="n">
        <v>0.73386921</v>
      </c>
    </row>
    <row r="51" spans="1:18">
      <c r="A51" s="15" t="s">
        <v>475</v>
      </c>
      <c r="B51" s="17" t="n">
        <v>3372</v>
      </c>
      <c r="C51" s="18">
        <f>(3016.0/B51*100)</f>
        <v/>
      </c>
      <c r="D51" s="19" t="n">
        <v>356</v>
      </c>
      <c r="E51" s="18" t="n">
        <v>73.69074251000001</v>
      </c>
      <c r="F51" s="20" t="n">
        <v>2.30473798</v>
      </c>
      <c r="G51" s="18" t="n">
        <v>24.21286196</v>
      </c>
      <c r="H51" s="20" t="n">
        <v>2.31219593</v>
      </c>
      <c r="I51" s="18" t="s">
        <v>431</v>
      </c>
      <c r="J51" s="20" t="s">
        <v>431</v>
      </c>
      <c r="K51" s="18" t="n">
        <v>0.86427315</v>
      </c>
      <c r="L51" s="20" t="n">
        <v>0.5781543099999999</v>
      </c>
      <c r="M51" s="18" t="n">
        <v>0</v>
      </c>
      <c r="N51" s="20" t="n">
        <v>0</v>
      </c>
      <c r="O51" s="18" t="n">
        <v>0</v>
      </c>
      <c r="P51" s="20" t="n">
        <v>0</v>
      </c>
      <c r="Q51" s="18" t="n">
        <v>1.23212238</v>
      </c>
      <c r="R51" s="20" t="n">
        <v>0.57783019</v>
      </c>
    </row>
    <row r="52" spans="1:18">
      <c r="A52" s="15" t="s">
        <v>476</v>
      </c>
      <c r="B52" s="17" t="n">
        <v>2796</v>
      </c>
      <c r="C52" s="18">
        <f>(2449.0/B52*100)</f>
        <v/>
      </c>
      <c r="D52" s="19" t="n">
        <v>347</v>
      </c>
      <c r="E52" s="18" t="n">
        <v>64.45327948000001</v>
      </c>
      <c r="F52" s="20" t="n">
        <v>2.51121299</v>
      </c>
      <c r="G52" s="18" t="n">
        <v>34.76338496</v>
      </c>
      <c r="H52" s="20" t="n">
        <v>2.53207258</v>
      </c>
      <c r="I52" s="18" t="s">
        <v>431</v>
      </c>
      <c r="J52" s="20" t="s">
        <v>431</v>
      </c>
      <c r="K52" s="18" t="n">
        <v>0</v>
      </c>
      <c r="L52" s="20" t="n">
        <v>0</v>
      </c>
      <c r="M52" s="18" t="n">
        <v>0</v>
      </c>
      <c r="N52" s="20" t="n">
        <v>0</v>
      </c>
      <c r="O52" s="18" t="n">
        <v>0</v>
      </c>
      <c r="P52" s="20" t="n">
        <v>0</v>
      </c>
      <c r="Q52" s="18" t="n">
        <v>0.78333556</v>
      </c>
      <c r="R52" s="20" t="n">
        <v>0.44509972</v>
      </c>
    </row>
    <row r="53" spans="1:18">
      <c r="A53" s="15" t="s">
        <v>477</v>
      </c>
      <c r="B53" s="17" t="n">
        <v>2811</v>
      </c>
      <c r="C53" s="18">
        <f>(2468.0/B53*100)</f>
        <v/>
      </c>
      <c r="D53" s="19" t="n">
        <v>343</v>
      </c>
      <c r="E53" s="18" t="n">
        <v>61.94836779</v>
      </c>
      <c r="F53" s="20" t="n">
        <v>2.83093792</v>
      </c>
      <c r="G53" s="18" t="n">
        <v>35.49756514</v>
      </c>
      <c r="H53" s="20" t="n">
        <v>2.59632543</v>
      </c>
      <c r="I53" s="18" t="s">
        <v>431</v>
      </c>
      <c r="J53" s="20" t="s">
        <v>431</v>
      </c>
      <c r="K53" s="18" t="n">
        <v>0</v>
      </c>
      <c r="L53" s="20" t="n">
        <v>0</v>
      </c>
      <c r="M53" s="18" t="n">
        <v>0</v>
      </c>
      <c r="N53" s="20" t="n">
        <v>0</v>
      </c>
      <c r="O53" s="18" t="n">
        <v>0</v>
      </c>
      <c r="P53" s="20" t="n">
        <v>0</v>
      </c>
      <c r="Q53" s="18" t="n">
        <v>2.55406707</v>
      </c>
      <c r="R53" s="20" t="n">
        <v>0.89936416</v>
      </c>
    </row>
    <row r="54" spans="1:18">
      <c r="A54" s="15" t="s">
        <v>478</v>
      </c>
      <c r="B54" s="17" t="n">
        <v>2266</v>
      </c>
      <c r="C54" s="18">
        <f>(1901.0/B54*100)</f>
        <v/>
      </c>
      <c r="D54" s="19" t="n">
        <v>365</v>
      </c>
      <c r="E54" s="18" t="n">
        <v>66.26294921</v>
      </c>
      <c r="F54" s="20" t="n">
        <v>2.94008056</v>
      </c>
      <c r="G54" s="18" t="n">
        <v>24.84846685</v>
      </c>
      <c r="H54" s="20" t="n">
        <v>2.63413356</v>
      </c>
      <c r="I54" s="18" t="s">
        <v>431</v>
      </c>
      <c r="J54" s="20" t="s">
        <v>431</v>
      </c>
      <c r="K54" s="18" t="n">
        <v>4.69628306</v>
      </c>
      <c r="L54" s="20" t="n">
        <v>1.38147752</v>
      </c>
      <c r="M54" s="18" t="n">
        <v>0</v>
      </c>
      <c r="N54" s="20" t="n">
        <v>0</v>
      </c>
      <c r="O54" s="18" t="n">
        <v>0</v>
      </c>
      <c r="P54" s="20" t="n">
        <v>0</v>
      </c>
      <c r="Q54" s="18" t="n">
        <v>4.19230088</v>
      </c>
      <c r="R54" s="20" t="n">
        <v>1.07088432</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(2343.0/B56*100)</f>
        <v/>
      </c>
      <c r="D56" s="19" t="n">
        <v>341</v>
      </c>
      <c r="E56" s="18" t="n">
        <v>51.0189235</v>
      </c>
      <c r="F56" s="20" t="n">
        <v>3.18936549</v>
      </c>
      <c r="G56" s="18" t="n">
        <v>48.21400885</v>
      </c>
      <c r="H56" s="20" t="n">
        <v>3.2884974</v>
      </c>
      <c r="I56" s="18" t="s">
        <v>431</v>
      </c>
      <c r="J56" s="20" t="s">
        <v>431</v>
      </c>
      <c r="K56" s="18" t="n">
        <v>0.24701233</v>
      </c>
      <c r="L56" s="20" t="n">
        <v>0.24652277</v>
      </c>
      <c r="M56" s="18" t="n">
        <v>0</v>
      </c>
      <c r="N56" s="20" t="n">
        <v>0</v>
      </c>
      <c r="O56" s="18" t="n">
        <v>0</v>
      </c>
      <c r="P56" s="20" t="n">
        <v>0</v>
      </c>
      <c r="Q56" s="18" t="n">
        <v>0.52005532</v>
      </c>
      <c r="R56" s="20" t="n">
        <v>0.52190847</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(2944.0/B61*100)</f>
        <v/>
      </c>
      <c r="D61" s="19" t="n">
        <v>380</v>
      </c>
      <c r="E61" s="18" t="n">
        <v>69.23908805000001</v>
      </c>
      <c r="F61" s="20" t="n">
        <v>2.87090465</v>
      </c>
      <c r="G61" s="18" t="n">
        <v>30.18190258</v>
      </c>
      <c r="H61" s="20" t="n">
        <v>2.85572799</v>
      </c>
      <c r="I61" s="18" t="s">
        <v>431</v>
      </c>
      <c r="J61" s="20" t="s">
        <v>431</v>
      </c>
      <c r="K61" s="18" t="n">
        <v>0</v>
      </c>
      <c r="L61" s="20" t="n">
        <v>0</v>
      </c>
      <c r="M61" s="18" t="n">
        <v>0</v>
      </c>
      <c r="N61" s="20" t="n">
        <v>0</v>
      </c>
      <c r="O61" s="18" t="n">
        <v>0</v>
      </c>
      <c r="P61" s="20" t="n">
        <v>0</v>
      </c>
      <c r="Q61" s="18" t="n">
        <v>0.57900937</v>
      </c>
      <c r="R61" s="20" t="n">
        <v>0.47544578</v>
      </c>
    </row>
    <row r="62" spans="1:18">
      <c r="A62" s="15" t="s">
        <v>486</v>
      </c>
      <c r="B62" s="17" t="n">
        <v>2246</v>
      </c>
      <c r="C62" s="18">
        <f>(1951.0/B62*100)</f>
        <v/>
      </c>
      <c r="D62" s="19" t="n">
        <v>295</v>
      </c>
      <c r="E62" s="18" t="n">
        <v>53.4956736</v>
      </c>
      <c r="F62" s="20" t="n">
        <v>2.72157006</v>
      </c>
      <c r="G62" s="18" t="n">
        <v>46.15598826</v>
      </c>
      <c r="H62" s="20" t="n">
        <v>2.69359025</v>
      </c>
      <c r="I62" s="18" t="s">
        <v>431</v>
      </c>
      <c r="J62" s="20" t="s">
        <v>431</v>
      </c>
      <c r="K62" s="18" t="n">
        <v>0.34833814</v>
      </c>
      <c r="L62" s="20" t="n">
        <v>0.34614501</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(2541.0/B66*100)</f>
        <v/>
      </c>
      <c r="D66" s="19" t="n">
        <v>353</v>
      </c>
      <c r="E66" s="18" t="n">
        <v>67.66670094</v>
      </c>
      <c r="F66" s="20" t="n">
        <v>3.01738477</v>
      </c>
      <c r="G66" s="18" t="n">
        <v>27.90432463</v>
      </c>
      <c r="H66" s="20" t="n">
        <v>2.86193362</v>
      </c>
      <c r="I66" s="18" t="s">
        <v>431</v>
      </c>
      <c r="J66" s="20" t="s">
        <v>431</v>
      </c>
      <c r="K66" s="18" t="n">
        <v>1.18657988</v>
      </c>
      <c r="L66" s="20" t="n">
        <v>0.61507029</v>
      </c>
      <c r="M66" s="18" t="n">
        <v>0</v>
      </c>
      <c r="N66" s="20" t="n">
        <v>0</v>
      </c>
      <c r="O66" s="18" t="n">
        <v>0</v>
      </c>
      <c r="P66" s="20" t="n">
        <v>0</v>
      </c>
      <c r="Q66" s="18" t="n">
        <v>3.24239455</v>
      </c>
      <c r="R66" s="20" t="n">
        <v>0.85949297</v>
      </c>
    </row>
    <row r="67" spans="1:18">
      <c r="A67" s="15" t="s">
        <v>491</v>
      </c>
      <c r="B67" s="17" t="n">
        <v>3511</v>
      </c>
      <c r="C67" s="18">
        <f>(3090.0/B67*100)</f>
        <v/>
      </c>
      <c r="D67" s="19" t="n">
        <v>421</v>
      </c>
      <c r="E67" s="18" t="n">
        <v>71.92016575</v>
      </c>
      <c r="F67" s="20" t="n">
        <v>2.4208998</v>
      </c>
      <c r="G67" s="18" t="n">
        <v>27.13386051</v>
      </c>
      <c r="H67" s="20" t="n">
        <v>2.36866683</v>
      </c>
      <c r="I67" s="18" t="s">
        <v>431</v>
      </c>
      <c r="J67" s="20" t="s">
        <v>431</v>
      </c>
      <c r="K67" s="18" t="n">
        <v>0.18051874</v>
      </c>
      <c r="L67" s="20" t="n">
        <v>0.17961801</v>
      </c>
      <c r="M67" s="18" t="n">
        <v>0</v>
      </c>
      <c r="N67" s="20" t="n">
        <v>0</v>
      </c>
      <c r="O67" s="18" t="n">
        <v>0</v>
      </c>
      <c r="P67" s="20" t="n">
        <v>0</v>
      </c>
      <c r="Q67" s="18" t="n">
        <v>0.765455</v>
      </c>
      <c r="R67" s="20" t="n">
        <v>0.44829742</v>
      </c>
    </row>
    <row r="68" spans="1:18">
      <c r="A68" s="15" t="s">
        <v>492</v>
      </c>
      <c r="B68" s="17" t="n">
        <v>6049</v>
      </c>
      <c r="C68" s="18">
        <f>(5036.0/B68*100)</f>
        <v/>
      </c>
      <c r="D68" s="19" t="n">
        <v>1013</v>
      </c>
      <c r="E68" s="18" t="n">
        <v>62.91629482</v>
      </c>
      <c r="F68" s="20" t="n">
        <v>1.55340416</v>
      </c>
      <c r="G68" s="18" t="n">
        <v>30.28107247</v>
      </c>
      <c r="H68" s="20" t="n">
        <v>1.5023007</v>
      </c>
      <c r="I68" s="18" t="s">
        <v>431</v>
      </c>
      <c r="J68" s="20" t="s">
        <v>431</v>
      </c>
      <c r="K68" s="18" t="n">
        <v>2.44860128</v>
      </c>
      <c r="L68" s="20" t="n">
        <v>0.51607954</v>
      </c>
      <c r="M68" s="18" t="n">
        <v>0</v>
      </c>
      <c r="N68" s="20" t="n">
        <v>0</v>
      </c>
      <c r="O68" s="18" t="n">
        <v>0</v>
      </c>
      <c r="P68" s="20" t="n">
        <v>0</v>
      </c>
      <c r="Q68" s="18" t="n">
        <v>4.35403144</v>
      </c>
      <c r="R68" s="20" t="n">
        <v>0.5312088700000001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(2572.0/B70*100)</f>
        <v/>
      </c>
      <c r="D70" s="19" t="n">
        <v>357</v>
      </c>
      <c r="E70" s="18" t="n">
        <v>74.62835219999999</v>
      </c>
      <c r="F70" s="20" t="n">
        <v>2.80453705</v>
      </c>
      <c r="G70" s="18" t="n">
        <v>24.619336</v>
      </c>
      <c r="H70" s="20" t="n">
        <v>2.76185686</v>
      </c>
      <c r="I70" s="18" t="s">
        <v>431</v>
      </c>
      <c r="J70" s="20" t="s">
        <v>431</v>
      </c>
      <c r="K70" s="18" t="n">
        <v>0</v>
      </c>
      <c r="L70" s="20" t="n">
        <v>0</v>
      </c>
      <c r="M70" s="18" t="n">
        <v>0</v>
      </c>
      <c r="N70" s="20" t="n">
        <v>0</v>
      </c>
      <c r="O70" s="18" t="n">
        <v>0</v>
      </c>
      <c r="P70" s="20" t="n">
        <v>0</v>
      </c>
      <c r="Q70" s="18" t="n">
        <v>0.7523118</v>
      </c>
      <c r="R70" s="20" t="n">
        <v>0.69632626</v>
      </c>
    </row>
    <row r="71" spans="1:18">
      <c r="A71" s="15" t="s">
        <v>495</v>
      </c>
      <c r="B71" s="17" t="n">
        <v>3142</v>
      </c>
      <c r="C71" s="18">
        <f>(2749.0/B71*100)</f>
        <v/>
      </c>
      <c r="D71" s="19" t="n">
        <v>393</v>
      </c>
      <c r="E71" s="18" t="n">
        <v>38.04196201</v>
      </c>
      <c r="F71" s="20" t="n">
        <v>2.28523965</v>
      </c>
      <c r="G71" s="18" t="n">
        <v>61.20382371</v>
      </c>
      <c r="H71" s="20" t="n">
        <v>2.33857251</v>
      </c>
      <c r="I71" s="18" t="s">
        <v>431</v>
      </c>
      <c r="J71" s="20" t="s">
        <v>431</v>
      </c>
      <c r="K71" s="18" t="n">
        <v>0.2309713</v>
      </c>
      <c r="L71" s="20" t="n">
        <v>0.23397888</v>
      </c>
      <c r="M71" s="18" t="n">
        <v>0</v>
      </c>
      <c r="N71" s="20" t="n">
        <v>0</v>
      </c>
      <c r="O71" s="18" t="n">
        <v>0</v>
      </c>
      <c r="P71" s="20" t="n">
        <v>0</v>
      </c>
      <c r="Q71" s="18" t="n">
        <v>0.52324297</v>
      </c>
      <c r="R71" s="20" t="n">
        <v>0.37582191</v>
      </c>
    </row>
    <row r="72" spans="1:18">
      <c r="A72" s="15" t="s">
        <v>496</v>
      </c>
      <c r="B72" s="17" t="n">
        <v>3889</v>
      </c>
      <c r="C72" s="18">
        <f>(3407.0/B72*100)</f>
        <v/>
      </c>
      <c r="D72" s="19" t="n">
        <v>482</v>
      </c>
      <c r="E72" s="18" t="n">
        <v>44.05574156</v>
      </c>
      <c r="F72" s="20" t="n">
        <v>2.49548086</v>
      </c>
      <c r="G72" s="18" t="n">
        <v>55.26344806</v>
      </c>
      <c r="H72" s="20" t="n">
        <v>2.47455735</v>
      </c>
      <c r="I72" s="18" t="s">
        <v>431</v>
      </c>
      <c r="J72" s="20" t="s">
        <v>431</v>
      </c>
      <c r="K72" s="18" t="n">
        <v>0</v>
      </c>
      <c r="L72" s="20" t="n">
        <v>0</v>
      </c>
      <c r="M72" s="18" t="n">
        <v>0</v>
      </c>
      <c r="N72" s="20" t="n">
        <v>0</v>
      </c>
      <c r="O72" s="18" t="n">
        <v>0</v>
      </c>
      <c r="P72" s="20" t="n">
        <v>0</v>
      </c>
      <c r="Q72" s="18" t="n">
        <v>0.68081038</v>
      </c>
      <c r="R72" s="20" t="n">
        <v>0.3465886</v>
      </c>
    </row>
    <row r="73" spans="1:18">
      <c r="A73" s="15" t="s">
        <v>497</v>
      </c>
      <c r="B73" s="17" t="n">
        <v>3597</v>
      </c>
      <c r="C73" s="18">
        <f>(3169.0/B73*100)</f>
        <v/>
      </c>
      <c r="D73" s="19" t="n">
        <v>428</v>
      </c>
      <c r="E73" s="18" t="n">
        <v>67.75495556</v>
      </c>
      <c r="F73" s="20" t="n">
        <v>2.35341406</v>
      </c>
      <c r="G73" s="18" t="n">
        <v>31.09263348</v>
      </c>
      <c r="H73" s="20" t="n">
        <v>2.40829125</v>
      </c>
      <c r="I73" s="18" t="s">
        <v>431</v>
      </c>
      <c r="J73" s="20" t="s">
        <v>431</v>
      </c>
      <c r="K73" s="18" t="n">
        <v>0.33992544</v>
      </c>
      <c r="L73" s="20" t="n">
        <v>0.33877741</v>
      </c>
      <c r="M73" s="18" t="n">
        <v>0</v>
      </c>
      <c r="N73" s="20" t="n">
        <v>0</v>
      </c>
      <c r="O73" s="18" t="n">
        <v>0</v>
      </c>
      <c r="P73" s="20" t="n">
        <v>0</v>
      </c>
      <c r="Q73" s="18" t="n">
        <v>0.81248552</v>
      </c>
      <c r="R73" s="20" t="n">
        <v>0.49756649</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(2125.0/B75*100)</f>
        <v/>
      </c>
      <c r="D75" s="19" t="n">
        <v>281</v>
      </c>
      <c r="E75" s="18" t="n">
        <v>60.78734448</v>
      </c>
      <c r="F75" s="20" t="n">
        <v>2.98659182</v>
      </c>
      <c r="G75" s="18" t="n">
        <v>35.46128542</v>
      </c>
      <c r="H75" s="20" t="n">
        <v>2.82737306</v>
      </c>
      <c r="I75" s="18" t="s">
        <v>431</v>
      </c>
      <c r="J75" s="20" t="s">
        <v>431</v>
      </c>
      <c r="K75" s="18" t="n">
        <v>1.40182405</v>
      </c>
      <c r="L75" s="20" t="n">
        <v>0.65002286</v>
      </c>
      <c r="M75" s="18" t="n">
        <v>0</v>
      </c>
      <c r="N75" s="20" t="n">
        <v>0</v>
      </c>
      <c r="O75" s="18" t="n">
        <v>0</v>
      </c>
      <c r="P75" s="20" t="n">
        <v>0</v>
      </c>
      <c r="Q75" s="18" t="n">
        <v>2.34954605</v>
      </c>
      <c r="R75" s="20" t="n">
        <v>0.89069617</v>
      </c>
    </row>
    <row r="76" spans="1:18">
      <c r="A76" s="15" t="s">
        <v>500</v>
      </c>
      <c r="B76" s="17" t="n">
        <v>7052</v>
      </c>
      <c r="C76" s="18">
        <f>(6196.0/B76*100)</f>
        <v/>
      </c>
      <c r="D76" s="19" t="n">
        <v>856</v>
      </c>
      <c r="E76" s="18" t="n">
        <v>58.03505745</v>
      </c>
      <c r="F76" s="20" t="n">
        <v>2.18520579</v>
      </c>
      <c r="G76" s="18" t="n">
        <v>37.6358641</v>
      </c>
      <c r="H76" s="20" t="n">
        <v>2.13557877</v>
      </c>
      <c r="I76" s="18" t="s">
        <v>431</v>
      </c>
      <c r="J76" s="20" t="s">
        <v>431</v>
      </c>
      <c r="K76" s="18" t="n">
        <v>0.73512032</v>
      </c>
      <c r="L76" s="20" t="n">
        <v>0.29288883</v>
      </c>
      <c r="M76" s="18" t="n">
        <v>0</v>
      </c>
      <c r="N76" s="20" t="n">
        <v>0</v>
      </c>
      <c r="O76" s="18" t="n">
        <v>0</v>
      </c>
      <c r="P76" s="20" t="n">
        <v>0</v>
      </c>
      <c r="Q76" s="18" t="n">
        <v>3.59395813</v>
      </c>
      <c r="R76" s="20" t="n">
        <v>0.97784637</v>
      </c>
    </row>
    <row r="77" spans="1:18">
      <c r="A77" s="15" t="s">
        <v>501</v>
      </c>
      <c r="B77" s="17" t="n">
        <v>2908</v>
      </c>
      <c r="C77" s="18">
        <f>(2539.0/B77*100)</f>
        <v/>
      </c>
      <c r="D77" s="19" t="n">
        <v>369</v>
      </c>
      <c r="E77" s="18" t="n">
        <v>64.81949298000001</v>
      </c>
      <c r="F77" s="20" t="n">
        <v>2.24368252</v>
      </c>
      <c r="G77" s="18" t="n">
        <v>32.12520312</v>
      </c>
      <c r="H77" s="20" t="n">
        <v>2.18420157</v>
      </c>
      <c r="I77" s="18" t="s">
        <v>431</v>
      </c>
      <c r="J77" s="20" t="s">
        <v>431</v>
      </c>
      <c r="K77" s="18" t="n">
        <v>1.09405033</v>
      </c>
      <c r="L77" s="20" t="n">
        <v>0.62066674</v>
      </c>
      <c r="M77" s="18" t="n">
        <v>0</v>
      </c>
      <c r="N77" s="20" t="n">
        <v>0</v>
      </c>
      <c r="O77" s="18" t="n">
        <v>0</v>
      </c>
      <c r="P77" s="20" t="n">
        <v>0</v>
      </c>
      <c r="Q77" s="18" t="n">
        <v>1.96125357</v>
      </c>
      <c r="R77" s="20" t="n">
        <v>0.81872419</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(3642.0/B81*100)</f>
        <v/>
      </c>
      <c r="D81" s="19" t="n">
        <v>521</v>
      </c>
      <c r="E81" s="18" t="n">
        <v>76.02993797000001</v>
      </c>
      <c r="F81" s="20" t="n">
        <v>2.30705888</v>
      </c>
      <c r="G81" s="18" t="n">
        <v>23.02249546</v>
      </c>
      <c r="H81" s="20" t="n">
        <v>2.29940217</v>
      </c>
      <c r="I81" s="18" t="s">
        <v>431</v>
      </c>
      <c r="J81" s="20" t="s">
        <v>431</v>
      </c>
      <c r="K81" s="18" t="n">
        <v>0</v>
      </c>
      <c r="L81" s="20" t="n">
        <v>0</v>
      </c>
      <c r="M81" s="18" t="n">
        <v>0</v>
      </c>
      <c r="N81" s="20" t="n">
        <v>0</v>
      </c>
      <c r="O81" s="18" t="n">
        <v>0</v>
      </c>
      <c r="P81" s="20" t="n">
        <v>0</v>
      </c>
      <c r="Q81" s="18" t="n">
        <v>0.94756657</v>
      </c>
      <c r="R81" s="20" t="n">
        <v>0.62195213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(6475.0/B7*100)</f>
        <v/>
      </c>
      <c r="D7" s="19" t="n">
        <v>892</v>
      </c>
      <c r="E7" s="18" t="n">
        <v>64.71382633</v>
      </c>
      <c r="F7" s="20" t="n">
        <v>2.0136396</v>
      </c>
      <c r="G7" s="18" t="n">
        <v>34.73441879</v>
      </c>
      <c r="H7" s="20" t="n">
        <v>2.03534413</v>
      </c>
      <c r="I7" s="18" t="s">
        <v>431</v>
      </c>
      <c r="J7" s="20" t="s">
        <v>431</v>
      </c>
      <c r="K7" s="18" t="n">
        <v>0.01819397</v>
      </c>
      <c r="L7" s="20" t="n">
        <v>0.01825112</v>
      </c>
      <c r="M7" s="18" t="n">
        <v>0</v>
      </c>
      <c r="N7" s="20" t="n">
        <v>0</v>
      </c>
      <c r="O7" s="18" t="n">
        <v>0</v>
      </c>
      <c r="P7" s="20" t="n">
        <v>0</v>
      </c>
      <c r="Q7" s="18" t="n">
        <v>0.53356092</v>
      </c>
      <c r="R7" s="20" t="n">
        <v>0.27328954</v>
      </c>
    </row>
    <row r="8" spans="1:18">
      <c r="A8" s="15" t="s">
        <v>432</v>
      </c>
      <c r="B8" s="17" t="n">
        <v>3564</v>
      </c>
      <c r="C8" s="18">
        <f>(3113.0/B8*100)</f>
        <v/>
      </c>
      <c r="D8" s="19" t="n">
        <v>451</v>
      </c>
      <c r="E8" s="18" t="n">
        <v>56.5749156</v>
      </c>
      <c r="F8" s="20" t="n">
        <v>3.0115157</v>
      </c>
      <c r="G8" s="18" t="n">
        <v>42.34228823</v>
      </c>
      <c r="H8" s="20" t="n">
        <v>3.10978622</v>
      </c>
      <c r="I8" s="18" t="s">
        <v>431</v>
      </c>
      <c r="J8" s="20" t="s">
        <v>431</v>
      </c>
      <c r="K8" s="18" t="n">
        <v>0.48906447</v>
      </c>
      <c r="L8" s="20" t="n">
        <v>0.34865305</v>
      </c>
      <c r="M8" s="18" t="n">
        <v>0</v>
      </c>
      <c r="N8" s="20" t="n">
        <v>0</v>
      </c>
      <c r="O8" s="18" t="n">
        <v>0</v>
      </c>
      <c r="P8" s="20" t="n">
        <v>0</v>
      </c>
      <c r="Q8" s="18" t="n">
        <v>0.5937317</v>
      </c>
      <c r="R8" s="20" t="n">
        <v>0.49461953</v>
      </c>
    </row>
    <row r="9" spans="1:18">
      <c r="A9" s="15" t="s">
        <v>433</v>
      </c>
      <c r="B9" s="17" t="n">
        <v>4899</v>
      </c>
      <c r="C9" s="18">
        <f>(4315.0/B9*100)</f>
        <v/>
      </c>
      <c r="D9" s="19" t="n">
        <v>584</v>
      </c>
      <c r="E9" s="18" t="n">
        <v>62.30963754</v>
      </c>
      <c r="F9" s="20" t="n">
        <v>2.00069432</v>
      </c>
      <c r="G9" s="18" t="n">
        <v>36.4361558</v>
      </c>
      <c r="H9" s="20" t="n">
        <v>2.01330397</v>
      </c>
      <c r="I9" s="18" t="s">
        <v>431</v>
      </c>
      <c r="J9" s="20" t="s">
        <v>431</v>
      </c>
      <c r="K9" s="18" t="n">
        <v>0</v>
      </c>
      <c r="L9" s="20" t="n">
        <v>0</v>
      </c>
      <c r="M9" s="18" t="n">
        <v>0</v>
      </c>
      <c r="N9" s="20" t="n">
        <v>0</v>
      </c>
      <c r="O9" s="18" t="n">
        <v>0</v>
      </c>
      <c r="P9" s="20" t="n">
        <v>0</v>
      </c>
      <c r="Q9" s="18" t="n">
        <v>1.25420666</v>
      </c>
      <c r="R9" s="20" t="n">
        <v>0.50815867</v>
      </c>
    </row>
    <row r="10" spans="1:18">
      <c r="A10" s="15" t="s">
        <v>434</v>
      </c>
      <c r="B10" s="17" t="n">
        <v>10036</v>
      </c>
      <c r="C10" s="18">
        <f>(8748.0/B10*100)</f>
        <v/>
      </c>
      <c r="D10" s="19" t="n">
        <v>1288</v>
      </c>
      <c r="E10" s="18" t="n">
        <v>64.44004896</v>
      </c>
      <c r="F10" s="20" t="n">
        <v>2.07676555</v>
      </c>
      <c r="G10" s="18" t="n">
        <v>35.06821556</v>
      </c>
      <c r="H10" s="20" t="n">
        <v>2.11617099</v>
      </c>
      <c r="I10" s="18" t="s">
        <v>431</v>
      </c>
      <c r="J10" s="20" t="s">
        <v>431</v>
      </c>
      <c r="K10" s="18" t="n">
        <v>0.18583744</v>
      </c>
      <c r="L10" s="20" t="n">
        <v>0.17174849</v>
      </c>
      <c r="M10" s="18" t="n">
        <v>0</v>
      </c>
      <c r="N10" s="20" t="n">
        <v>0</v>
      </c>
      <c r="O10" s="18" t="n">
        <v>0</v>
      </c>
      <c r="P10" s="20" t="n">
        <v>0</v>
      </c>
      <c r="Q10" s="18" t="n">
        <v>0.30589804</v>
      </c>
      <c r="R10" s="20" t="n">
        <v>0.17095558</v>
      </c>
    </row>
    <row r="11" spans="1:18">
      <c r="A11" s="15" t="s">
        <v>435</v>
      </c>
      <c r="B11" s="17" t="n">
        <v>3553</v>
      </c>
      <c r="C11" s="18">
        <f>(3152.0/B11*100)</f>
        <v/>
      </c>
      <c r="D11" s="19" t="n">
        <v>401</v>
      </c>
      <c r="E11" s="18" t="n">
        <v>82.74875455</v>
      </c>
      <c r="F11" s="20" t="n">
        <v>2.24850448</v>
      </c>
      <c r="G11" s="18" t="n">
        <v>15.16510773</v>
      </c>
      <c r="H11" s="20" t="n">
        <v>2.14065538</v>
      </c>
      <c r="I11" s="18" t="s">
        <v>431</v>
      </c>
      <c r="J11" s="20" t="s">
        <v>431</v>
      </c>
      <c r="K11" s="18" t="n">
        <v>1.14067656</v>
      </c>
      <c r="L11" s="20" t="n">
        <v>0.80675964</v>
      </c>
      <c r="M11" s="18" t="n">
        <v>0</v>
      </c>
      <c r="N11" s="20" t="n">
        <v>0</v>
      </c>
      <c r="O11" s="18" t="n">
        <v>0</v>
      </c>
      <c r="P11" s="20" t="n">
        <v>0</v>
      </c>
      <c r="Q11" s="18" t="n">
        <v>0.94546117</v>
      </c>
      <c r="R11" s="20" t="n">
        <v>0.5577125000000001</v>
      </c>
    </row>
    <row r="12" spans="1:18">
      <c r="A12" s="15" t="s">
        <v>436</v>
      </c>
      <c r="B12" s="17" t="n">
        <v>3472</v>
      </c>
      <c r="C12" s="18">
        <f>(3037.0/B12*100)</f>
        <v/>
      </c>
      <c r="D12" s="19" t="n">
        <v>435</v>
      </c>
      <c r="E12" s="18" t="n">
        <v>69.94097610999999</v>
      </c>
      <c r="F12" s="20" t="n">
        <v>2.20615096</v>
      </c>
      <c r="G12" s="18" t="n">
        <v>29.74848492</v>
      </c>
      <c r="H12" s="20" t="n">
        <v>2.24925641</v>
      </c>
      <c r="I12" s="18" t="s">
        <v>431</v>
      </c>
      <c r="J12" s="20" t="s">
        <v>431</v>
      </c>
      <c r="K12" s="18" t="n">
        <v>0.20307973</v>
      </c>
      <c r="L12" s="20" t="n">
        <v>0.20004472</v>
      </c>
      <c r="M12" s="18" t="n">
        <v>0</v>
      </c>
      <c r="N12" s="20" t="n">
        <v>0</v>
      </c>
      <c r="O12" s="18" t="n">
        <v>0</v>
      </c>
      <c r="P12" s="20" t="n">
        <v>0</v>
      </c>
      <c r="Q12" s="18" t="n">
        <v>0.10745924</v>
      </c>
      <c r="R12" s="20" t="n">
        <v>0.11099667</v>
      </c>
    </row>
    <row r="13" spans="1:18">
      <c r="A13" s="15" t="s">
        <v>437</v>
      </c>
      <c r="B13" s="17" t="n">
        <v>3559</v>
      </c>
      <c r="C13" s="18">
        <f>(3124.0/B13*100)</f>
        <v/>
      </c>
      <c r="D13" s="19" t="n">
        <v>435</v>
      </c>
      <c r="E13" s="18" t="n">
        <v>71.32639674000001</v>
      </c>
      <c r="F13" s="20" t="n">
        <v>2.47026861</v>
      </c>
      <c r="G13" s="18" t="n">
        <v>28.22450841</v>
      </c>
      <c r="H13" s="20" t="n">
        <v>2.47051685</v>
      </c>
      <c r="I13" s="18" t="s">
        <v>431</v>
      </c>
      <c r="J13" s="20" t="s">
        <v>431</v>
      </c>
      <c r="K13" s="18" t="n">
        <v>0.29236121</v>
      </c>
      <c r="L13" s="20" t="n">
        <v>0.18486414</v>
      </c>
      <c r="M13" s="18" t="n">
        <v>0</v>
      </c>
      <c r="N13" s="20" t="n">
        <v>0</v>
      </c>
      <c r="O13" s="18" t="n">
        <v>0</v>
      </c>
      <c r="P13" s="20" t="n">
        <v>0</v>
      </c>
      <c r="Q13" s="18" t="n">
        <v>0.15673363</v>
      </c>
      <c r="R13" s="20" t="n">
        <v>0.13022931</v>
      </c>
    </row>
    <row r="14" spans="1:18">
      <c r="A14" s="15" t="s">
        <v>438</v>
      </c>
      <c r="B14" s="17" t="n">
        <v>2799</v>
      </c>
      <c r="C14" s="18">
        <f>(2468.0/B14*100)</f>
        <v/>
      </c>
      <c r="D14" s="19" t="n">
        <v>331</v>
      </c>
      <c r="E14" s="18" t="n">
        <v>53.93046074</v>
      </c>
      <c r="F14" s="20" t="n">
        <v>2.69246408</v>
      </c>
      <c r="G14" s="18" t="n">
        <v>46.06953926</v>
      </c>
      <c r="H14" s="20" t="n">
        <v>2.69246408</v>
      </c>
      <c r="I14" s="18" t="s">
        <v>431</v>
      </c>
      <c r="J14" s="20" t="s">
        <v>431</v>
      </c>
      <c r="K14" s="18" t="n">
        <v>0</v>
      </c>
      <c r="L14" s="20" t="n">
        <v>0</v>
      </c>
      <c r="M14" s="18" t="n">
        <v>0</v>
      </c>
      <c r="N14" s="20" t="n">
        <v>0</v>
      </c>
      <c r="O14" s="18" t="n">
        <v>0</v>
      </c>
      <c r="P14" s="20" t="n">
        <v>0</v>
      </c>
      <c r="Q14" s="18" t="n">
        <v>0</v>
      </c>
      <c r="R14" s="20" t="n">
        <v>0</v>
      </c>
    </row>
    <row r="15" spans="1:18">
      <c r="A15" s="15" t="s">
        <v>439</v>
      </c>
      <c r="B15" s="17" t="n">
        <v>3019</v>
      </c>
      <c r="C15" s="18">
        <f>(2636.0/B15*100)</f>
        <v/>
      </c>
      <c r="D15" s="19" t="n">
        <v>383</v>
      </c>
      <c r="E15" s="18" t="n">
        <v>62.83278978</v>
      </c>
      <c r="F15" s="20" t="n">
        <v>2.31435744</v>
      </c>
      <c r="G15" s="18" t="n">
        <v>36.89789829</v>
      </c>
      <c r="H15" s="20" t="n">
        <v>2.29838202</v>
      </c>
      <c r="I15" s="18" t="s">
        <v>431</v>
      </c>
      <c r="J15" s="20" t="s">
        <v>431</v>
      </c>
      <c r="K15" s="18" t="n">
        <v>0</v>
      </c>
      <c r="L15" s="20" t="n">
        <v>0</v>
      </c>
      <c r="M15" s="18" t="n">
        <v>0</v>
      </c>
      <c r="N15" s="20" t="n">
        <v>0</v>
      </c>
      <c r="O15" s="18" t="n">
        <v>0</v>
      </c>
      <c r="P15" s="20" t="n">
        <v>0</v>
      </c>
      <c r="Q15" s="18" t="n">
        <v>0.26931194</v>
      </c>
      <c r="R15" s="20" t="n">
        <v>0.26953873</v>
      </c>
    </row>
    <row r="16" spans="1:18">
      <c r="A16" s="15" t="s">
        <v>440</v>
      </c>
      <c r="B16" s="17" t="n">
        <v>2997</v>
      </c>
      <c r="C16" s="18">
        <f>(2648.0/B16*100)</f>
        <v/>
      </c>
      <c r="D16" s="19" t="n">
        <v>349</v>
      </c>
      <c r="E16" s="18" t="n">
        <v>63.10605666</v>
      </c>
      <c r="F16" s="20" t="n">
        <v>2.02257779</v>
      </c>
      <c r="G16" s="18" t="n">
        <v>35.43137803</v>
      </c>
      <c r="H16" s="20" t="n">
        <v>2.13611553</v>
      </c>
      <c r="I16" s="18" t="s">
        <v>431</v>
      </c>
      <c r="J16" s="20" t="s">
        <v>431</v>
      </c>
      <c r="K16" s="18" t="n">
        <v>0.8576188</v>
      </c>
      <c r="L16" s="20" t="n">
        <v>0.52966877</v>
      </c>
      <c r="M16" s="18" t="n">
        <v>0</v>
      </c>
      <c r="N16" s="20" t="n">
        <v>0</v>
      </c>
      <c r="O16" s="18" t="n">
        <v>0</v>
      </c>
      <c r="P16" s="20" t="n">
        <v>0</v>
      </c>
      <c r="Q16" s="18" t="n">
        <v>0.60494651</v>
      </c>
      <c r="R16" s="20" t="n">
        <v>0.41764766</v>
      </c>
    </row>
    <row r="17" spans="1:18">
      <c r="A17" s="15" t="s">
        <v>441</v>
      </c>
      <c r="B17" s="17" t="n">
        <v>3307</v>
      </c>
      <c r="C17" s="18">
        <f>(2906.0/B17*100)</f>
        <v/>
      </c>
      <c r="D17" s="19" t="n">
        <v>401</v>
      </c>
      <c r="E17" s="18" t="n">
        <v>48.89210498</v>
      </c>
      <c r="F17" s="20" t="n">
        <v>2.83663411</v>
      </c>
      <c r="G17" s="18" t="n">
        <v>50.54875095</v>
      </c>
      <c r="H17" s="20" t="n">
        <v>2.8291469</v>
      </c>
      <c r="I17" s="18" t="s">
        <v>431</v>
      </c>
      <c r="J17" s="20" t="s">
        <v>431</v>
      </c>
      <c r="K17" s="18" t="n">
        <v>0</v>
      </c>
      <c r="L17" s="20" t="n">
        <v>0</v>
      </c>
      <c r="M17" s="18" t="n">
        <v>0</v>
      </c>
      <c r="N17" s="20" t="n">
        <v>0</v>
      </c>
      <c r="O17" s="18" t="n">
        <v>0</v>
      </c>
      <c r="P17" s="20" t="n">
        <v>0</v>
      </c>
      <c r="Q17" s="18" t="n">
        <v>0.55914407</v>
      </c>
      <c r="R17" s="20" t="n">
        <v>0.44231131</v>
      </c>
    </row>
    <row r="18" spans="1:18">
      <c r="A18" s="15" t="s">
        <v>442</v>
      </c>
      <c r="B18" s="17" t="n">
        <v>2826</v>
      </c>
      <c r="C18" s="18">
        <f>(2467.0/B18*100)</f>
        <v/>
      </c>
      <c r="D18" s="19" t="n">
        <v>359</v>
      </c>
      <c r="E18" s="18" t="n">
        <v>81.26920422000001</v>
      </c>
      <c r="F18" s="20" t="n">
        <v>2.04439397</v>
      </c>
      <c r="G18" s="18" t="n">
        <v>17.43882729</v>
      </c>
      <c r="H18" s="20" t="n">
        <v>1.95995899</v>
      </c>
      <c r="I18" s="18" t="s">
        <v>431</v>
      </c>
      <c r="J18" s="20" t="s">
        <v>431</v>
      </c>
      <c r="K18" s="18" t="n">
        <v>0.49511533</v>
      </c>
      <c r="L18" s="20" t="n">
        <v>0.50108266</v>
      </c>
      <c r="M18" s="18" t="n">
        <v>0</v>
      </c>
      <c r="N18" s="20" t="n">
        <v>0</v>
      </c>
      <c r="O18" s="18" t="n">
        <v>0</v>
      </c>
      <c r="P18" s="20" t="n">
        <v>0</v>
      </c>
      <c r="Q18" s="18" t="n">
        <v>0.79685315</v>
      </c>
      <c r="R18" s="20" t="n">
        <v>0.53027251</v>
      </c>
    </row>
    <row r="19" spans="1:18">
      <c r="A19" s="15" t="s">
        <v>443</v>
      </c>
      <c r="B19" s="17" t="n">
        <v>2808</v>
      </c>
      <c r="C19" s="18">
        <f>(2451.0/B19*100)</f>
        <v/>
      </c>
      <c r="D19" s="19" t="n">
        <v>357</v>
      </c>
      <c r="E19" s="18" t="n">
        <v>61.95435953</v>
      </c>
      <c r="F19" s="20" t="n">
        <v>2.7644962</v>
      </c>
      <c r="G19" s="18" t="n">
        <v>36.58649742</v>
      </c>
      <c r="H19" s="20" t="n">
        <v>2.83898003</v>
      </c>
      <c r="I19" s="18" t="s">
        <v>431</v>
      </c>
      <c r="J19" s="20" t="s">
        <v>431</v>
      </c>
      <c r="K19" s="18" t="n">
        <v>0.57739845</v>
      </c>
      <c r="L19" s="20" t="n">
        <v>0.6268793499999999</v>
      </c>
      <c r="M19" s="18" t="n">
        <v>0</v>
      </c>
      <c r="N19" s="20" t="n">
        <v>0</v>
      </c>
      <c r="O19" s="18" t="n">
        <v>0</v>
      </c>
      <c r="P19" s="20" t="n">
        <v>0</v>
      </c>
      <c r="Q19" s="18" t="n">
        <v>0.8817446</v>
      </c>
      <c r="R19" s="20" t="n">
        <v>0.52706477</v>
      </c>
    </row>
    <row r="20" spans="1:18">
      <c r="A20" s="15" t="s">
        <v>444</v>
      </c>
      <c r="B20" s="17" t="n">
        <v>1630</v>
      </c>
      <c r="C20" s="18">
        <f>(1436.0/B20*100)</f>
        <v/>
      </c>
      <c r="D20" s="19" t="n">
        <v>194</v>
      </c>
      <c r="E20" s="18" t="n">
        <v>72.16012028</v>
      </c>
      <c r="F20" s="20" t="n">
        <v>3.49146075</v>
      </c>
      <c r="G20" s="18" t="n">
        <v>26.83500314</v>
      </c>
      <c r="H20" s="20" t="n">
        <v>3.46527824</v>
      </c>
      <c r="I20" s="18" t="s">
        <v>431</v>
      </c>
      <c r="J20" s="20" t="s">
        <v>431</v>
      </c>
      <c r="K20" s="18" t="n">
        <v>0.49991428</v>
      </c>
      <c r="L20" s="20" t="n">
        <v>0.48296887</v>
      </c>
      <c r="M20" s="18" t="n">
        <v>0</v>
      </c>
      <c r="N20" s="20" t="n">
        <v>0</v>
      </c>
      <c r="O20" s="18" t="n">
        <v>0</v>
      </c>
      <c r="P20" s="20" t="n">
        <v>0</v>
      </c>
      <c r="Q20" s="18" t="n">
        <v>0.5049623</v>
      </c>
      <c r="R20" s="20" t="n">
        <v>0.5068932</v>
      </c>
    </row>
    <row r="21" spans="1:18">
      <c r="A21" s="15" t="s">
        <v>445</v>
      </c>
      <c r="B21" s="17" t="n">
        <v>2908</v>
      </c>
      <c r="C21" s="18">
        <f>(2433.0/B21*100)</f>
        <v/>
      </c>
      <c r="D21" s="19" t="n">
        <v>475</v>
      </c>
      <c r="E21" s="18" t="n">
        <v>67.78567386</v>
      </c>
      <c r="F21" s="20" t="n">
        <v>2.38469032</v>
      </c>
      <c r="G21" s="18" t="n">
        <v>31.53581465</v>
      </c>
      <c r="H21" s="20" t="n">
        <v>2.41841229</v>
      </c>
      <c r="I21" s="18" t="s">
        <v>431</v>
      </c>
      <c r="J21" s="20" t="s">
        <v>431</v>
      </c>
      <c r="K21" s="18" t="n">
        <v>0.21349249</v>
      </c>
      <c r="L21" s="20" t="n">
        <v>0.15077766</v>
      </c>
      <c r="M21" s="18" t="n">
        <v>0</v>
      </c>
      <c r="N21" s="20" t="n">
        <v>0</v>
      </c>
      <c r="O21" s="18" t="n">
        <v>0</v>
      </c>
      <c r="P21" s="20" t="n">
        <v>0</v>
      </c>
      <c r="Q21" s="18" t="n">
        <v>0.465019</v>
      </c>
      <c r="R21" s="20" t="n">
        <v>0.30239605</v>
      </c>
    </row>
    <row r="22" spans="1:18">
      <c r="A22" s="15" t="s">
        <v>446</v>
      </c>
      <c r="B22" s="17" t="n">
        <v>2931</v>
      </c>
      <c r="C22" s="18">
        <f>(2565.0/B22*100)</f>
        <v/>
      </c>
      <c r="D22" s="19" t="n">
        <v>366</v>
      </c>
      <c r="E22" s="18" t="n">
        <v>59.34813386</v>
      </c>
      <c r="F22" s="20" t="n">
        <v>3.34370541</v>
      </c>
      <c r="G22" s="18" t="n">
        <v>36.83996813</v>
      </c>
      <c r="H22" s="20" t="n">
        <v>3.25326881</v>
      </c>
      <c r="I22" s="18" t="s">
        <v>431</v>
      </c>
      <c r="J22" s="20" t="s">
        <v>431</v>
      </c>
      <c r="K22" s="18" t="n">
        <v>1.77757785</v>
      </c>
      <c r="L22" s="20" t="n">
        <v>0.75056603</v>
      </c>
      <c r="M22" s="18" t="n">
        <v>0</v>
      </c>
      <c r="N22" s="20" t="n">
        <v>0</v>
      </c>
      <c r="O22" s="18" t="n">
        <v>0</v>
      </c>
      <c r="P22" s="20" t="n">
        <v>0</v>
      </c>
      <c r="Q22" s="18" t="n">
        <v>2.03432016</v>
      </c>
      <c r="R22" s="20" t="n">
        <v>0.73344731</v>
      </c>
    </row>
    <row r="23" spans="1:18">
      <c r="A23" s="15" t="s">
        <v>447</v>
      </c>
      <c r="B23" s="17" t="n">
        <v>5791</v>
      </c>
      <c r="C23" s="18">
        <f>(5068.0/B23*100)</f>
        <v/>
      </c>
      <c r="D23" s="19" t="n">
        <v>723</v>
      </c>
      <c r="E23" s="18" t="n">
        <v>72.69998446</v>
      </c>
      <c r="F23" s="20" t="n">
        <v>2.17138167</v>
      </c>
      <c r="G23" s="18" t="n">
        <v>27.16322178</v>
      </c>
      <c r="H23" s="20" t="n">
        <v>2.18118424</v>
      </c>
      <c r="I23" s="18" t="s">
        <v>431</v>
      </c>
      <c r="J23" s="20" t="s">
        <v>431</v>
      </c>
      <c r="K23" s="18" t="n">
        <v>0.13336067</v>
      </c>
      <c r="L23" s="20" t="n">
        <v>0.13876472</v>
      </c>
      <c r="M23" s="18" t="n">
        <v>0</v>
      </c>
      <c r="N23" s="20" t="n">
        <v>0</v>
      </c>
      <c r="O23" s="18" t="n">
        <v>0</v>
      </c>
      <c r="P23" s="20" t="n">
        <v>0</v>
      </c>
      <c r="Q23" s="18" t="n">
        <v>0.00343309</v>
      </c>
      <c r="R23" s="20" t="n">
        <v>0.00344773</v>
      </c>
    </row>
    <row r="24" spans="1:18">
      <c r="A24" s="15" t="s">
        <v>448</v>
      </c>
      <c r="B24" s="17" t="n">
        <v>3338</v>
      </c>
      <c r="C24" s="18">
        <f>(2938.0/B24*100)</f>
        <v/>
      </c>
      <c r="D24" s="19" t="n">
        <v>400</v>
      </c>
      <c r="E24" s="18" t="n">
        <v>66.58932462999999</v>
      </c>
      <c r="F24" s="20" t="n">
        <v>2.95374285</v>
      </c>
      <c r="G24" s="18" t="n">
        <v>32.68348469</v>
      </c>
      <c r="H24" s="20" t="n">
        <v>2.89286326</v>
      </c>
      <c r="I24" s="18" t="s">
        <v>431</v>
      </c>
      <c r="J24" s="20" t="s">
        <v>431</v>
      </c>
      <c r="K24" s="18" t="n">
        <v>0</v>
      </c>
      <c r="L24" s="20" t="n">
        <v>0</v>
      </c>
      <c r="M24" s="18" t="n">
        <v>0</v>
      </c>
      <c r="N24" s="20" t="n">
        <v>0</v>
      </c>
      <c r="O24" s="18" t="n">
        <v>0</v>
      </c>
      <c r="P24" s="20" t="n">
        <v>0</v>
      </c>
      <c r="Q24" s="18" t="n">
        <v>0.72719069</v>
      </c>
      <c r="R24" s="20" t="n">
        <v>0.41136487</v>
      </c>
    </row>
    <row r="25" spans="1:18">
      <c r="A25" s="15" t="s">
        <v>449</v>
      </c>
      <c r="B25" s="17" t="n">
        <v>2912</v>
      </c>
      <c r="C25" s="18">
        <f>(2540.0/B25*100)</f>
        <v/>
      </c>
      <c r="D25" s="19" t="n">
        <v>372</v>
      </c>
      <c r="E25" s="18" t="n">
        <v>78.39058373</v>
      </c>
      <c r="F25" s="20" t="n">
        <v>2.18860052</v>
      </c>
      <c r="G25" s="18" t="n">
        <v>21.60941627</v>
      </c>
      <c r="H25" s="20" t="n">
        <v>2.18860052</v>
      </c>
      <c r="I25" s="18" t="s">
        <v>431</v>
      </c>
      <c r="J25" s="20" t="s">
        <v>431</v>
      </c>
      <c r="K25" s="18" t="n">
        <v>0</v>
      </c>
      <c r="L25" s="20" t="n">
        <v>0</v>
      </c>
      <c r="M25" s="18" t="n">
        <v>0</v>
      </c>
      <c r="N25" s="20" t="n">
        <v>0</v>
      </c>
      <c r="O25" s="18" t="n">
        <v>0</v>
      </c>
      <c r="P25" s="20" t="n">
        <v>0</v>
      </c>
      <c r="Q25" s="18" t="n">
        <v>0</v>
      </c>
      <c r="R25" s="20" t="n">
        <v>0</v>
      </c>
    </row>
    <row r="26" spans="1:18">
      <c r="A26" s="15" t="s">
        <v>450</v>
      </c>
      <c r="B26" s="17" t="n">
        <v>2450</v>
      </c>
      <c r="C26" s="18">
        <f>(2136.0/B26*100)</f>
        <v/>
      </c>
      <c r="D26" s="19" t="n">
        <v>314</v>
      </c>
      <c r="E26" s="18" t="n">
        <v>69.62628177000001</v>
      </c>
      <c r="F26" s="20" t="n">
        <v>2.56343245</v>
      </c>
      <c r="G26" s="18" t="n">
        <v>30.1350678</v>
      </c>
      <c r="H26" s="20" t="n">
        <v>2.57438987</v>
      </c>
      <c r="I26" s="18" t="s">
        <v>431</v>
      </c>
      <c r="J26" s="20" t="s">
        <v>431</v>
      </c>
      <c r="K26" s="18" t="n">
        <v>0</v>
      </c>
      <c r="L26" s="20" t="n">
        <v>0</v>
      </c>
      <c r="M26" s="18" t="n">
        <v>0</v>
      </c>
      <c r="N26" s="20" t="n">
        <v>0</v>
      </c>
      <c r="O26" s="18" t="n">
        <v>0</v>
      </c>
      <c r="P26" s="20" t="n">
        <v>0</v>
      </c>
      <c r="Q26" s="18" t="n">
        <v>0.23865044</v>
      </c>
      <c r="R26" s="20" t="n">
        <v>0.23772451</v>
      </c>
    </row>
    <row r="27" spans="1:18">
      <c r="A27" s="15" t="s">
        <v>451</v>
      </c>
      <c r="B27" s="17" t="n">
        <v>2616</v>
      </c>
      <c r="C27" s="18">
        <f>(2289.0/B27*100)</f>
        <v/>
      </c>
      <c r="D27" s="19" t="n">
        <v>327</v>
      </c>
      <c r="E27" s="18" t="n">
        <v>68.21890044</v>
      </c>
      <c r="F27" s="20" t="n">
        <v>2.09465327</v>
      </c>
      <c r="G27" s="18" t="n">
        <v>30.87272596</v>
      </c>
      <c r="H27" s="20" t="n">
        <v>2.0549351</v>
      </c>
      <c r="I27" s="18" t="s">
        <v>431</v>
      </c>
      <c r="J27" s="20" t="s">
        <v>431</v>
      </c>
      <c r="K27" s="18" t="n">
        <v>0.30796698</v>
      </c>
      <c r="L27" s="20" t="n">
        <v>0.30929134</v>
      </c>
      <c r="M27" s="18" t="n">
        <v>0</v>
      </c>
      <c r="N27" s="20" t="n">
        <v>0</v>
      </c>
      <c r="O27" s="18" t="n">
        <v>0</v>
      </c>
      <c r="P27" s="20" t="n">
        <v>0</v>
      </c>
      <c r="Q27" s="18" t="n">
        <v>0.6004066300000001</v>
      </c>
      <c r="R27" s="20" t="n">
        <v>0.42173293</v>
      </c>
    </row>
    <row r="28" spans="1:18">
      <c r="A28" s="15" t="s">
        <v>452</v>
      </c>
      <c r="B28" s="17" t="n">
        <v>3765</v>
      </c>
      <c r="C28" s="18">
        <f>(3307.0/B28*100)</f>
        <v/>
      </c>
      <c r="D28" s="19" t="n">
        <v>458</v>
      </c>
      <c r="E28" s="18" t="n">
        <v>86.79799027999999</v>
      </c>
      <c r="F28" s="20" t="n">
        <v>1.85241941</v>
      </c>
      <c r="G28" s="18" t="n">
        <v>13.02731297</v>
      </c>
      <c r="H28" s="20" t="n">
        <v>1.86626499</v>
      </c>
      <c r="I28" s="18" t="s">
        <v>431</v>
      </c>
      <c r="J28" s="20" t="s">
        <v>431</v>
      </c>
      <c r="K28" s="18" t="n">
        <v>0</v>
      </c>
      <c r="L28" s="20" t="n">
        <v>0</v>
      </c>
      <c r="M28" s="18" t="n">
        <v>0</v>
      </c>
      <c r="N28" s="20" t="n">
        <v>0</v>
      </c>
      <c r="O28" s="18" t="n">
        <v>0</v>
      </c>
      <c r="P28" s="20" t="n">
        <v>0</v>
      </c>
      <c r="Q28" s="18" t="n">
        <v>0.17469675</v>
      </c>
      <c r="R28" s="20" t="n">
        <v>0.17514821</v>
      </c>
    </row>
    <row r="29" spans="1:18">
      <c r="A29" s="15" t="s">
        <v>453</v>
      </c>
      <c r="B29" s="17" t="n">
        <v>2685</v>
      </c>
      <c r="C29" s="18">
        <f>(2369.0/B29*100)</f>
        <v/>
      </c>
      <c r="D29" s="19" t="n">
        <v>316</v>
      </c>
      <c r="E29" s="18" t="n">
        <v>55.9917395</v>
      </c>
      <c r="F29" s="20" t="n">
        <v>2.63910539</v>
      </c>
      <c r="G29" s="18" t="n">
        <v>44.0082605</v>
      </c>
      <c r="H29" s="20" t="n">
        <v>2.63910539</v>
      </c>
      <c r="I29" s="18" t="s">
        <v>431</v>
      </c>
      <c r="J29" s="20" t="s">
        <v>431</v>
      </c>
      <c r="K29" s="18" t="n">
        <v>0</v>
      </c>
      <c r="L29" s="20" t="n">
        <v>0</v>
      </c>
      <c r="M29" s="18" t="n">
        <v>0</v>
      </c>
      <c r="N29" s="20" t="n">
        <v>0</v>
      </c>
      <c r="O29" s="18" t="n">
        <v>0</v>
      </c>
      <c r="P29" s="20" t="n">
        <v>0</v>
      </c>
      <c r="Q29" s="18" t="n">
        <v>0</v>
      </c>
      <c r="R29" s="20" t="n">
        <v>0</v>
      </c>
    </row>
    <row r="30" spans="1:18">
      <c r="A30" s="15" t="s">
        <v>454</v>
      </c>
      <c r="B30" s="17" t="n">
        <v>2263</v>
      </c>
      <c r="C30" s="18">
        <f>(1986.0/B30*100)</f>
        <v/>
      </c>
      <c r="D30" s="19" t="n">
        <v>277</v>
      </c>
      <c r="E30" s="18" t="n">
        <v>68.331092</v>
      </c>
      <c r="F30" s="20" t="n">
        <v>2.94250268</v>
      </c>
      <c r="G30" s="18" t="n">
        <v>30.18925493</v>
      </c>
      <c r="H30" s="20" t="n">
        <v>2.89654852</v>
      </c>
      <c r="I30" s="18" t="s">
        <v>431</v>
      </c>
      <c r="J30" s="20" t="s">
        <v>431</v>
      </c>
      <c r="K30" s="18" t="n">
        <v>0.3218021</v>
      </c>
      <c r="L30" s="20" t="n">
        <v>0.32833676</v>
      </c>
      <c r="M30" s="18" t="n">
        <v>0</v>
      </c>
      <c r="N30" s="20" t="n">
        <v>0</v>
      </c>
      <c r="O30" s="18" t="n">
        <v>0</v>
      </c>
      <c r="P30" s="20" t="n">
        <v>0</v>
      </c>
      <c r="Q30" s="18" t="n">
        <v>1.15785096</v>
      </c>
      <c r="R30" s="20" t="n">
        <v>0.78923565</v>
      </c>
    </row>
    <row r="31" spans="1:18">
      <c r="A31" s="15" t="s">
        <v>455</v>
      </c>
      <c r="B31" s="17" t="n">
        <v>2750</v>
      </c>
      <c r="C31" s="18">
        <f>(2413.0/B31*100)</f>
        <v/>
      </c>
      <c r="D31" s="19" t="n">
        <v>337</v>
      </c>
      <c r="E31" s="18" t="n">
        <v>65.9767793</v>
      </c>
      <c r="F31" s="20" t="n">
        <v>2.21823879</v>
      </c>
      <c r="G31" s="18" t="n">
        <v>31.98277425</v>
      </c>
      <c r="H31" s="20" t="n">
        <v>2.00724118</v>
      </c>
      <c r="I31" s="18" t="s">
        <v>431</v>
      </c>
      <c r="J31" s="20" t="s">
        <v>431</v>
      </c>
      <c r="K31" s="18" t="n">
        <v>0.60039837</v>
      </c>
      <c r="L31" s="20" t="n">
        <v>0.35660264</v>
      </c>
      <c r="M31" s="18" t="n">
        <v>0</v>
      </c>
      <c r="N31" s="20" t="n">
        <v>0</v>
      </c>
      <c r="O31" s="18" t="n">
        <v>0</v>
      </c>
      <c r="P31" s="20" t="n">
        <v>0</v>
      </c>
      <c r="Q31" s="18" t="n">
        <v>1.44004808</v>
      </c>
      <c r="R31" s="20" t="n">
        <v>0.6398909</v>
      </c>
    </row>
    <row r="32" spans="1:18">
      <c r="A32" s="15" t="s">
        <v>456</v>
      </c>
      <c r="B32" s="17" t="n">
        <v>2269</v>
      </c>
      <c r="C32" s="18">
        <f>(1897.0/B32*100)</f>
        <v/>
      </c>
      <c r="D32" s="19" t="n">
        <v>372</v>
      </c>
      <c r="E32" s="18" t="n">
        <v>61.86178814</v>
      </c>
      <c r="F32" s="20" t="n">
        <v>2.90539632</v>
      </c>
      <c r="G32" s="18" t="n">
        <v>38.13821186</v>
      </c>
      <c r="H32" s="20" t="n">
        <v>2.90539632</v>
      </c>
      <c r="I32" s="18" t="s">
        <v>431</v>
      </c>
      <c r="J32" s="20" t="s">
        <v>431</v>
      </c>
      <c r="K32" s="18" t="n">
        <v>0</v>
      </c>
      <c r="L32" s="20" t="n">
        <v>0</v>
      </c>
      <c r="M32" s="18" t="n">
        <v>0</v>
      </c>
      <c r="N32" s="20" t="n">
        <v>0</v>
      </c>
      <c r="O32" s="18" t="n">
        <v>0</v>
      </c>
      <c r="P32" s="20" t="n">
        <v>0</v>
      </c>
      <c r="Q32" s="18" t="n">
        <v>0</v>
      </c>
      <c r="R32" s="20" t="n">
        <v>0</v>
      </c>
    </row>
    <row r="33" spans="1:18">
      <c r="A33" s="15" t="s">
        <v>457</v>
      </c>
      <c r="B33" s="17" t="n">
        <v>3674</v>
      </c>
      <c r="C33" s="18">
        <f>(3223.0/B33*100)</f>
        <v/>
      </c>
      <c r="D33" s="19" t="n">
        <v>451</v>
      </c>
      <c r="E33" s="18" t="n">
        <v>74.50088216</v>
      </c>
      <c r="F33" s="20" t="n">
        <v>2.61315937</v>
      </c>
      <c r="G33" s="18" t="n">
        <v>25.46791486</v>
      </c>
      <c r="H33" s="20" t="n">
        <v>2.61306582</v>
      </c>
      <c r="I33" s="18" t="s">
        <v>431</v>
      </c>
      <c r="J33" s="20" t="s">
        <v>431</v>
      </c>
      <c r="K33" s="18" t="n">
        <v>0.03120298</v>
      </c>
      <c r="L33" s="20" t="n">
        <v>0.03316957</v>
      </c>
      <c r="M33" s="18" t="n">
        <v>0</v>
      </c>
      <c r="N33" s="20" t="n">
        <v>0</v>
      </c>
      <c r="O33" s="18" t="n">
        <v>0</v>
      </c>
      <c r="P33" s="20" t="n">
        <v>0</v>
      </c>
      <c r="Q33" s="18" t="n">
        <v>0</v>
      </c>
      <c r="R33" s="20" t="n">
        <v>0</v>
      </c>
    </row>
    <row r="34" spans="1:18">
      <c r="A34" s="15" t="s">
        <v>458</v>
      </c>
      <c r="B34" s="17" t="n">
        <v>3315</v>
      </c>
      <c r="C34" s="18">
        <f>(2931.0/B34*100)</f>
        <v/>
      </c>
      <c r="D34" s="19" t="n">
        <v>384</v>
      </c>
      <c r="E34" s="18" t="n">
        <v>74.58839356</v>
      </c>
      <c r="F34" s="20" t="n">
        <v>2.41860989</v>
      </c>
      <c r="G34" s="18" t="n">
        <v>24.88862153</v>
      </c>
      <c r="H34" s="20" t="n">
        <v>2.41238469</v>
      </c>
      <c r="I34" s="18" t="s">
        <v>431</v>
      </c>
      <c r="J34" s="20" t="s">
        <v>431</v>
      </c>
      <c r="K34" s="18" t="n">
        <v>0.08476448</v>
      </c>
      <c r="L34" s="20" t="n">
        <v>0.08537516000000001</v>
      </c>
      <c r="M34" s="18" t="n">
        <v>0</v>
      </c>
      <c r="N34" s="20" t="n">
        <v>0</v>
      </c>
      <c r="O34" s="18" t="n">
        <v>0</v>
      </c>
      <c r="P34" s="20" t="n">
        <v>0</v>
      </c>
      <c r="Q34" s="18" t="n">
        <v>0.43822043</v>
      </c>
      <c r="R34" s="20" t="n">
        <v>0.44622485</v>
      </c>
    </row>
    <row r="35" spans="1:18">
      <c r="A35" s="15" t="s">
        <v>459</v>
      </c>
      <c r="B35" s="17" t="n">
        <v>3505</v>
      </c>
      <c r="C35" s="18">
        <f>(3097.0/B35*100)</f>
        <v/>
      </c>
      <c r="D35" s="19" t="n">
        <v>408</v>
      </c>
      <c r="E35" s="18" t="n">
        <v>54.07899099</v>
      </c>
      <c r="F35" s="20" t="n">
        <v>2.79080679</v>
      </c>
      <c r="G35" s="18" t="n">
        <v>45.20241195</v>
      </c>
      <c r="H35" s="20" t="n">
        <v>2.81498741</v>
      </c>
      <c r="I35" s="18" t="s">
        <v>431</v>
      </c>
      <c r="J35" s="20" t="s">
        <v>431</v>
      </c>
      <c r="K35" s="18" t="n">
        <v>0.1642638</v>
      </c>
      <c r="L35" s="20" t="n">
        <v>0.16516344</v>
      </c>
      <c r="M35" s="18" t="n">
        <v>0</v>
      </c>
      <c r="N35" s="20" t="n">
        <v>0</v>
      </c>
      <c r="O35" s="18" t="n">
        <v>0</v>
      </c>
      <c r="P35" s="20" t="n">
        <v>0</v>
      </c>
      <c r="Q35" s="18" t="n">
        <v>0.55433325</v>
      </c>
      <c r="R35" s="20" t="n">
        <v>0.54806775</v>
      </c>
    </row>
    <row r="36" spans="1:18">
      <c r="A36" s="15" t="s">
        <v>460</v>
      </c>
      <c r="B36" s="17" t="n">
        <v>3332</v>
      </c>
      <c r="C36" s="18">
        <f>(2920.0/B36*100)</f>
        <v/>
      </c>
      <c r="D36" s="19" t="n">
        <v>412</v>
      </c>
      <c r="E36" s="18" t="n">
        <v>75.69370888</v>
      </c>
      <c r="F36" s="20" t="n">
        <v>1.88393988</v>
      </c>
      <c r="G36" s="18" t="n">
        <v>22.90894247</v>
      </c>
      <c r="H36" s="20" t="n">
        <v>1.83849017</v>
      </c>
      <c r="I36" s="18" t="s">
        <v>431</v>
      </c>
      <c r="J36" s="20" t="s">
        <v>431</v>
      </c>
      <c r="K36" s="18" t="n">
        <v>0.78874283</v>
      </c>
      <c r="L36" s="20" t="n">
        <v>0.38330298</v>
      </c>
      <c r="M36" s="18" t="n">
        <v>0</v>
      </c>
      <c r="N36" s="20" t="n">
        <v>0</v>
      </c>
      <c r="O36" s="18" t="n">
        <v>0</v>
      </c>
      <c r="P36" s="20" t="n">
        <v>0</v>
      </c>
      <c r="Q36" s="18" t="n">
        <v>0.60860581</v>
      </c>
      <c r="R36" s="20" t="n">
        <v>0.18677508</v>
      </c>
    </row>
    <row r="37" spans="1:18">
      <c r="A37" s="15" t="s">
        <v>461</v>
      </c>
      <c r="B37" s="17" t="n">
        <v>2727</v>
      </c>
      <c r="C37" s="18">
        <f>(2387.0/B37*100)</f>
        <v/>
      </c>
      <c r="D37" s="19" t="n">
        <v>340</v>
      </c>
      <c r="E37" s="18" t="n">
        <v>66.00949500999999</v>
      </c>
      <c r="F37" s="20" t="n">
        <v>2.9589931</v>
      </c>
      <c r="G37" s="18" t="n">
        <v>33.4642211</v>
      </c>
      <c r="H37" s="20" t="n">
        <v>2.97459771</v>
      </c>
      <c r="I37" s="18" t="s">
        <v>431</v>
      </c>
      <c r="J37" s="20" t="s">
        <v>431</v>
      </c>
      <c r="K37" s="18" t="n">
        <v>0.22282904</v>
      </c>
      <c r="L37" s="20" t="n">
        <v>0.22326446</v>
      </c>
      <c r="M37" s="18" t="n">
        <v>0</v>
      </c>
      <c r="N37" s="20" t="n">
        <v>0</v>
      </c>
      <c r="O37" s="18" t="n">
        <v>0</v>
      </c>
      <c r="P37" s="20" t="n">
        <v>0</v>
      </c>
      <c r="Q37" s="18" t="n">
        <v>0.30345485</v>
      </c>
      <c r="R37" s="20" t="n">
        <v>0.29621173</v>
      </c>
    </row>
    <row r="38" spans="1:18">
      <c r="A38" s="15" t="s">
        <v>462</v>
      </c>
      <c r="B38" s="17" t="n">
        <v>3053</v>
      </c>
      <c r="C38" s="18">
        <f>(2535.0/B38*100)</f>
        <v/>
      </c>
      <c r="D38" s="19" t="n">
        <v>518</v>
      </c>
      <c r="E38" s="18" t="n">
        <v>57.10932678</v>
      </c>
      <c r="F38" s="20" t="n">
        <v>2.43762211</v>
      </c>
      <c r="G38" s="18" t="n">
        <v>40.87302507</v>
      </c>
      <c r="H38" s="20" t="n">
        <v>2.36922566</v>
      </c>
      <c r="I38" s="18" t="s">
        <v>431</v>
      </c>
      <c r="J38" s="20" t="s">
        <v>431</v>
      </c>
      <c r="K38" s="18" t="n">
        <v>0.92071337</v>
      </c>
      <c r="L38" s="20" t="n">
        <v>0.57484587</v>
      </c>
      <c r="M38" s="18" t="n">
        <v>0</v>
      </c>
      <c r="N38" s="20" t="n">
        <v>0</v>
      </c>
      <c r="O38" s="18" t="n">
        <v>0</v>
      </c>
      <c r="P38" s="20" t="n">
        <v>0</v>
      </c>
      <c r="Q38" s="18" t="n">
        <v>1.09693479</v>
      </c>
      <c r="R38" s="20" t="n">
        <v>0.5481009999999999</v>
      </c>
    </row>
    <row r="39" spans="1:18">
      <c r="A39" s="15" t="s">
        <v>463</v>
      </c>
      <c r="B39" s="17" t="n">
        <v>2957</v>
      </c>
      <c r="C39" s="18">
        <f>(2594.0/B39*100)</f>
        <v/>
      </c>
      <c r="D39" s="19" t="n">
        <v>363</v>
      </c>
      <c r="E39" s="18" t="n">
        <v>90.32406103</v>
      </c>
      <c r="F39" s="20" t="n">
        <v>1.4171375</v>
      </c>
      <c r="G39" s="18" t="n">
        <v>9.459677790000001</v>
      </c>
      <c r="H39" s="20" t="n">
        <v>1.3867718</v>
      </c>
      <c r="I39" s="18" t="s">
        <v>431</v>
      </c>
      <c r="J39" s="20" t="s">
        <v>431</v>
      </c>
      <c r="K39" s="18" t="n">
        <v>0</v>
      </c>
      <c r="L39" s="20" t="n">
        <v>0</v>
      </c>
      <c r="M39" s="18" t="n">
        <v>0</v>
      </c>
      <c r="N39" s="20" t="n">
        <v>0</v>
      </c>
      <c r="O39" s="18" t="n">
        <v>0</v>
      </c>
      <c r="P39" s="20" t="n">
        <v>0</v>
      </c>
      <c r="Q39" s="18" t="n">
        <v>0.21626118</v>
      </c>
      <c r="R39" s="20" t="n">
        <v>0.21333171</v>
      </c>
    </row>
    <row r="40" spans="1:18">
      <c r="A40" s="15" t="s">
        <v>464</v>
      </c>
      <c r="B40" s="17" t="n">
        <v>7235</v>
      </c>
      <c r="C40" s="18">
        <f>(6376.0/B40*100)</f>
        <v/>
      </c>
      <c r="D40" s="19" t="n">
        <v>859</v>
      </c>
      <c r="E40" s="18" t="n">
        <v>65.79320251999999</v>
      </c>
      <c r="F40" s="20" t="n">
        <v>2.36566564</v>
      </c>
      <c r="G40" s="18" t="n">
        <v>33.06326739</v>
      </c>
      <c r="H40" s="20" t="n">
        <v>2.26655577</v>
      </c>
      <c r="I40" s="18" t="s">
        <v>431</v>
      </c>
      <c r="J40" s="20" t="s">
        <v>431</v>
      </c>
      <c r="K40" s="18" t="n">
        <v>0.71729695</v>
      </c>
      <c r="L40" s="20" t="n">
        <v>0.4935201</v>
      </c>
      <c r="M40" s="18" t="n">
        <v>0</v>
      </c>
      <c r="N40" s="20" t="n">
        <v>0</v>
      </c>
      <c r="O40" s="18" t="n">
        <v>0</v>
      </c>
      <c r="P40" s="20" t="n">
        <v>0</v>
      </c>
      <c r="Q40" s="18" t="n">
        <v>0.42623313</v>
      </c>
      <c r="R40" s="20" t="n">
        <v>0.35259601</v>
      </c>
    </row>
    <row r="41" spans="1:18">
      <c r="A41" s="15" t="s">
        <v>465</v>
      </c>
      <c r="B41" s="17" t="n">
        <v>2858</v>
      </c>
      <c r="C41" s="18">
        <f>(2508.0/B41*100)</f>
        <v/>
      </c>
      <c r="D41" s="19" t="n">
        <v>350</v>
      </c>
      <c r="E41" s="18" t="n">
        <v>76.02495383</v>
      </c>
      <c r="F41" s="20" t="n">
        <v>2.50438984</v>
      </c>
      <c r="G41" s="18" t="n">
        <v>23.97504617</v>
      </c>
      <c r="H41" s="20" t="n">
        <v>2.50438984</v>
      </c>
      <c r="I41" s="18" t="s">
        <v>431</v>
      </c>
      <c r="J41" s="20" t="s">
        <v>431</v>
      </c>
      <c r="K41" s="18" t="n">
        <v>0</v>
      </c>
      <c r="L41" s="20" t="n">
        <v>0</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(9862.0/B46*100)</f>
        <v/>
      </c>
      <c r="D46" s="19" t="n">
        <v>1206</v>
      </c>
      <c r="E46" s="18" t="n">
        <v>88.44988592</v>
      </c>
      <c r="F46" s="20" t="n">
        <v>1.08626301</v>
      </c>
      <c r="G46" s="18" t="n">
        <v>9.84502414</v>
      </c>
      <c r="H46" s="20" t="n">
        <v>0.9801671199999999</v>
      </c>
      <c r="I46" s="18" t="s">
        <v>431</v>
      </c>
      <c r="J46" s="20" t="s">
        <v>431</v>
      </c>
      <c r="K46" s="18" t="n">
        <v>0.4480856</v>
      </c>
      <c r="L46" s="20" t="n">
        <v>0.19375369</v>
      </c>
      <c r="M46" s="18" t="n">
        <v>0</v>
      </c>
      <c r="N46" s="20" t="n">
        <v>0</v>
      </c>
      <c r="O46" s="18" t="n">
        <v>0</v>
      </c>
      <c r="P46" s="20" t="n">
        <v>0</v>
      </c>
      <c r="Q46" s="18" t="n">
        <v>1.25700433</v>
      </c>
      <c r="R46" s="20" t="n">
        <v>0.43515389</v>
      </c>
    </row>
    <row r="47" spans="1:18">
      <c r="A47" s="15" t="s">
        <v>471</v>
      </c>
      <c r="B47" s="17" t="n">
        <v>3105</v>
      </c>
      <c r="C47" s="18">
        <f>(2757.0/B47*100)</f>
        <v/>
      </c>
      <c r="D47" s="19" t="n">
        <v>348</v>
      </c>
      <c r="E47" s="18" t="n">
        <v>80.06977442</v>
      </c>
      <c r="F47" s="20" t="n">
        <v>2.02459973</v>
      </c>
      <c r="G47" s="18" t="n">
        <v>18.56545174</v>
      </c>
      <c r="H47" s="20" t="n">
        <v>1.96408195</v>
      </c>
      <c r="I47" s="18" t="s">
        <v>431</v>
      </c>
      <c r="J47" s="20" t="s">
        <v>431</v>
      </c>
      <c r="K47" s="18" t="n">
        <v>0</v>
      </c>
      <c r="L47" s="20" t="n">
        <v>0</v>
      </c>
      <c r="M47" s="18" t="n">
        <v>0</v>
      </c>
      <c r="N47" s="20" t="n">
        <v>0</v>
      </c>
      <c r="O47" s="18" t="n">
        <v>0</v>
      </c>
      <c r="P47" s="20" t="n">
        <v>0</v>
      </c>
      <c r="Q47" s="18" t="n">
        <v>1.36477383</v>
      </c>
      <c r="R47" s="20" t="n">
        <v>0.5812803600000001</v>
      </c>
    </row>
    <row r="48" spans="1:18">
      <c r="A48" s="15" t="s">
        <v>472</v>
      </c>
      <c r="B48" s="17" t="n">
        <v>5159</v>
      </c>
      <c r="C48" s="18">
        <f>(4522.0/B48*100)</f>
        <v/>
      </c>
      <c r="D48" s="19" t="n">
        <v>637</v>
      </c>
      <c r="E48" s="18" t="n">
        <v>67.93455774</v>
      </c>
      <c r="F48" s="20" t="n">
        <v>2.71028735</v>
      </c>
      <c r="G48" s="18" t="n">
        <v>30.54536531</v>
      </c>
      <c r="H48" s="20" t="n">
        <v>2.47274924</v>
      </c>
      <c r="I48" s="18" t="s">
        <v>431</v>
      </c>
      <c r="J48" s="20" t="s">
        <v>431</v>
      </c>
      <c r="K48" s="18" t="n">
        <v>0.87690601</v>
      </c>
      <c r="L48" s="20" t="n">
        <v>0.76682484</v>
      </c>
      <c r="M48" s="18" t="n">
        <v>0</v>
      </c>
      <c r="N48" s="20" t="n">
        <v>0</v>
      </c>
      <c r="O48" s="18" t="n">
        <v>0</v>
      </c>
      <c r="P48" s="20" t="n">
        <v>0</v>
      </c>
      <c r="Q48" s="18" t="n">
        <v>0.64317094</v>
      </c>
      <c r="R48" s="20" t="n">
        <v>0.39947131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(4970.0/B50*100)</f>
        <v/>
      </c>
      <c r="D50" s="19" t="n">
        <v>667</v>
      </c>
      <c r="E50" s="18" t="n">
        <v>84.67412244</v>
      </c>
      <c r="F50" s="20" t="n">
        <v>2.06114347</v>
      </c>
      <c r="G50" s="18" t="n">
        <v>14.17689709</v>
      </c>
      <c r="H50" s="20" t="n">
        <v>1.99668961</v>
      </c>
      <c r="I50" s="18" t="s">
        <v>431</v>
      </c>
      <c r="J50" s="20" t="s">
        <v>431</v>
      </c>
      <c r="K50" s="18" t="n">
        <v>0.47208249</v>
      </c>
      <c r="L50" s="20" t="n">
        <v>0.24732697</v>
      </c>
      <c r="M50" s="18" t="n">
        <v>0</v>
      </c>
      <c r="N50" s="20" t="n">
        <v>0</v>
      </c>
      <c r="O50" s="18" t="n">
        <v>0</v>
      </c>
      <c r="P50" s="20" t="n">
        <v>0</v>
      </c>
      <c r="Q50" s="18" t="n">
        <v>0.67689798</v>
      </c>
      <c r="R50" s="20" t="n">
        <v>0.62126807</v>
      </c>
    </row>
    <row r="51" spans="1:18">
      <c r="A51" s="15" t="s">
        <v>475</v>
      </c>
      <c r="B51" s="17" t="n">
        <v>3372</v>
      </c>
      <c r="C51" s="18">
        <f>(3016.0/B51*100)</f>
        <v/>
      </c>
      <c r="D51" s="19" t="n">
        <v>356</v>
      </c>
      <c r="E51" s="18" t="n">
        <v>89.28644515000001</v>
      </c>
      <c r="F51" s="20" t="n">
        <v>1.93212361</v>
      </c>
      <c r="G51" s="18" t="n">
        <v>9.539904659999999</v>
      </c>
      <c r="H51" s="20" t="n">
        <v>1.7632155</v>
      </c>
      <c r="I51" s="18" t="s">
        <v>431</v>
      </c>
      <c r="J51" s="20" t="s">
        <v>431</v>
      </c>
      <c r="K51" s="18" t="n">
        <v>0.86427315</v>
      </c>
      <c r="L51" s="20" t="n">
        <v>0.5781543099999999</v>
      </c>
      <c r="M51" s="18" t="n">
        <v>0</v>
      </c>
      <c r="N51" s="20" t="n">
        <v>0</v>
      </c>
      <c r="O51" s="18" t="n">
        <v>0</v>
      </c>
      <c r="P51" s="20" t="n">
        <v>0</v>
      </c>
      <c r="Q51" s="18" t="n">
        <v>0.30937704</v>
      </c>
      <c r="R51" s="20" t="n">
        <v>0.30991975</v>
      </c>
    </row>
    <row r="52" spans="1:18">
      <c r="A52" s="15" t="s">
        <v>476</v>
      </c>
      <c r="B52" s="17" t="n">
        <v>2796</v>
      </c>
      <c r="C52" s="18">
        <f>(2449.0/B52*100)</f>
        <v/>
      </c>
      <c r="D52" s="19" t="n">
        <v>347</v>
      </c>
      <c r="E52" s="18" t="n">
        <v>72.58731770999999</v>
      </c>
      <c r="F52" s="20" t="n">
        <v>2.47795049</v>
      </c>
      <c r="G52" s="18" t="n">
        <v>26.82549456</v>
      </c>
      <c r="H52" s="20" t="n">
        <v>2.48499695</v>
      </c>
      <c r="I52" s="18" t="s">
        <v>431</v>
      </c>
      <c r="J52" s="20" t="s">
        <v>431</v>
      </c>
      <c r="K52" s="18" t="n">
        <v>0</v>
      </c>
      <c r="L52" s="20" t="n">
        <v>0</v>
      </c>
      <c r="M52" s="18" t="n">
        <v>0</v>
      </c>
      <c r="N52" s="20" t="n">
        <v>0</v>
      </c>
      <c r="O52" s="18" t="n">
        <v>0</v>
      </c>
      <c r="P52" s="20" t="n">
        <v>0</v>
      </c>
      <c r="Q52" s="18" t="n">
        <v>0.58718774</v>
      </c>
      <c r="R52" s="20" t="n">
        <v>0.41009265</v>
      </c>
    </row>
    <row r="53" spans="1:18">
      <c r="A53" s="15" t="s">
        <v>477</v>
      </c>
      <c r="B53" s="17" t="n">
        <v>2811</v>
      </c>
      <c r="C53" s="18">
        <f>(2470.0/B53*100)</f>
        <v/>
      </c>
      <c r="D53" s="19" t="n">
        <v>341</v>
      </c>
      <c r="E53" s="18" t="n">
        <v>78.77731865</v>
      </c>
      <c r="F53" s="20" t="n">
        <v>2.27658262</v>
      </c>
      <c r="G53" s="18" t="n">
        <v>18.6992539</v>
      </c>
      <c r="H53" s="20" t="n">
        <v>2.17149246</v>
      </c>
      <c r="I53" s="18" t="s">
        <v>431</v>
      </c>
      <c r="J53" s="20" t="s">
        <v>431</v>
      </c>
      <c r="K53" s="18" t="n">
        <v>0</v>
      </c>
      <c r="L53" s="20" t="n">
        <v>0</v>
      </c>
      <c r="M53" s="18" t="n">
        <v>0</v>
      </c>
      <c r="N53" s="20" t="n">
        <v>0</v>
      </c>
      <c r="O53" s="18" t="n">
        <v>0</v>
      </c>
      <c r="P53" s="20" t="n">
        <v>0</v>
      </c>
      <c r="Q53" s="18" t="n">
        <v>2.52342745</v>
      </c>
      <c r="R53" s="20" t="n">
        <v>0.89538616</v>
      </c>
    </row>
    <row r="54" spans="1:18">
      <c r="A54" s="15" t="s">
        <v>478</v>
      </c>
      <c r="B54" s="17" t="n">
        <v>2266</v>
      </c>
      <c r="C54" s="18">
        <f>(1902.0/B54*100)</f>
        <v/>
      </c>
      <c r="D54" s="19" t="n">
        <v>364</v>
      </c>
      <c r="E54" s="18" t="n">
        <v>86.41353333000001</v>
      </c>
      <c r="F54" s="20" t="n">
        <v>1.99487319</v>
      </c>
      <c r="G54" s="18" t="n">
        <v>5.56385102</v>
      </c>
      <c r="H54" s="20" t="n">
        <v>1.18844616</v>
      </c>
      <c r="I54" s="18" t="s">
        <v>431</v>
      </c>
      <c r="J54" s="20" t="s">
        <v>431</v>
      </c>
      <c r="K54" s="18" t="n">
        <v>5.00916446</v>
      </c>
      <c r="L54" s="20" t="n">
        <v>1.58883928</v>
      </c>
      <c r="M54" s="18" t="n">
        <v>0</v>
      </c>
      <c r="N54" s="20" t="n">
        <v>0</v>
      </c>
      <c r="O54" s="18" t="n">
        <v>0</v>
      </c>
      <c r="P54" s="20" t="n">
        <v>0</v>
      </c>
      <c r="Q54" s="18" t="n">
        <v>3.01345119</v>
      </c>
      <c r="R54" s="20" t="n">
        <v>0.79417675</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(2343.0/B56*100)</f>
        <v/>
      </c>
      <c r="D56" s="19" t="n">
        <v>341</v>
      </c>
      <c r="E56" s="18" t="n">
        <v>59.86089537</v>
      </c>
      <c r="F56" s="20" t="n">
        <v>2.9952791</v>
      </c>
      <c r="G56" s="18" t="n">
        <v>39.11004537</v>
      </c>
      <c r="H56" s="20" t="n">
        <v>3.04613447</v>
      </c>
      <c r="I56" s="18" t="s">
        <v>431</v>
      </c>
      <c r="J56" s="20" t="s">
        <v>431</v>
      </c>
      <c r="K56" s="18" t="n">
        <v>0.50900394</v>
      </c>
      <c r="L56" s="20" t="n">
        <v>0.36158102</v>
      </c>
      <c r="M56" s="18" t="n">
        <v>0</v>
      </c>
      <c r="N56" s="20" t="n">
        <v>0</v>
      </c>
      <c r="O56" s="18" t="n">
        <v>0</v>
      </c>
      <c r="P56" s="20" t="n">
        <v>0</v>
      </c>
      <c r="Q56" s="18" t="n">
        <v>0.52005532</v>
      </c>
      <c r="R56" s="20" t="n">
        <v>0.52190847</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(2944.0/B61*100)</f>
        <v/>
      </c>
      <c r="D61" s="19" t="n">
        <v>380</v>
      </c>
      <c r="E61" s="18" t="n">
        <v>81.28901005</v>
      </c>
      <c r="F61" s="20" t="n">
        <v>2.0912759</v>
      </c>
      <c r="G61" s="18" t="n">
        <v>18.71098995</v>
      </c>
      <c r="H61" s="20" t="n">
        <v>2.0912759</v>
      </c>
      <c r="I61" s="18" t="s">
        <v>431</v>
      </c>
      <c r="J61" s="20" t="s">
        <v>431</v>
      </c>
      <c r="K61" s="18" t="n">
        <v>0</v>
      </c>
      <c r="L61" s="20" t="n">
        <v>0</v>
      </c>
      <c r="M61" s="18" t="n">
        <v>0</v>
      </c>
      <c r="N61" s="20" t="n">
        <v>0</v>
      </c>
      <c r="O61" s="18" t="n">
        <v>0</v>
      </c>
      <c r="P61" s="20" t="n">
        <v>0</v>
      </c>
      <c r="Q61" s="18" t="n">
        <v>0</v>
      </c>
      <c r="R61" s="20" t="n">
        <v>0</v>
      </c>
    </row>
    <row r="62" spans="1:18">
      <c r="A62" s="15" t="s">
        <v>486</v>
      </c>
      <c r="B62" s="17" t="n">
        <v>2246</v>
      </c>
      <c r="C62" s="18">
        <f>(1951.0/B62*100)</f>
        <v/>
      </c>
      <c r="D62" s="19" t="n">
        <v>295</v>
      </c>
      <c r="E62" s="18" t="n">
        <v>75.12344524</v>
      </c>
      <c r="F62" s="20" t="n">
        <v>2.43069696</v>
      </c>
      <c r="G62" s="18" t="n">
        <v>24.52821662</v>
      </c>
      <c r="H62" s="20" t="n">
        <v>2.42961373</v>
      </c>
      <c r="I62" s="18" t="s">
        <v>431</v>
      </c>
      <c r="J62" s="20" t="s">
        <v>431</v>
      </c>
      <c r="K62" s="18" t="n">
        <v>0.34833814</v>
      </c>
      <c r="L62" s="20" t="n">
        <v>0.34614501</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(2542.0/B66*100)</f>
        <v/>
      </c>
      <c r="D66" s="19" t="n">
        <v>352</v>
      </c>
      <c r="E66" s="18" t="n">
        <v>78.12869049</v>
      </c>
      <c r="F66" s="20" t="n">
        <v>2.05701568</v>
      </c>
      <c r="G66" s="18" t="n">
        <v>17.23895392</v>
      </c>
      <c r="H66" s="20" t="n">
        <v>1.99435511</v>
      </c>
      <c r="I66" s="18" t="s">
        <v>431</v>
      </c>
      <c r="J66" s="20" t="s">
        <v>431</v>
      </c>
      <c r="K66" s="18" t="n">
        <v>1.81987566</v>
      </c>
      <c r="L66" s="20" t="n">
        <v>0.77693373</v>
      </c>
      <c r="M66" s="18" t="n">
        <v>0</v>
      </c>
      <c r="N66" s="20" t="n">
        <v>0</v>
      </c>
      <c r="O66" s="18" t="n">
        <v>0</v>
      </c>
      <c r="P66" s="20" t="n">
        <v>0</v>
      </c>
      <c r="Q66" s="18" t="n">
        <v>2.81247993</v>
      </c>
      <c r="R66" s="20" t="n">
        <v>0.8360455</v>
      </c>
    </row>
    <row r="67" spans="1:18">
      <c r="A67" s="15" t="s">
        <v>491</v>
      </c>
      <c r="B67" s="17" t="n">
        <v>3511</v>
      </c>
      <c r="C67" s="18">
        <f>(3091.0/B67*100)</f>
        <v/>
      </c>
      <c r="D67" s="19" t="n">
        <v>420</v>
      </c>
      <c r="E67" s="18" t="n">
        <v>86.64876056999999</v>
      </c>
      <c r="F67" s="20" t="n">
        <v>1.75918736</v>
      </c>
      <c r="G67" s="18" t="n">
        <v>12.68425742</v>
      </c>
      <c r="H67" s="20" t="n">
        <v>1.74367389</v>
      </c>
      <c r="I67" s="18" t="s">
        <v>431</v>
      </c>
      <c r="J67" s="20" t="s">
        <v>431</v>
      </c>
      <c r="K67" s="18" t="n">
        <v>0.18098996</v>
      </c>
      <c r="L67" s="20" t="n">
        <v>0.1800813</v>
      </c>
      <c r="M67" s="18" t="n">
        <v>0</v>
      </c>
      <c r="N67" s="20" t="n">
        <v>0</v>
      </c>
      <c r="O67" s="18" t="n">
        <v>0</v>
      </c>
      <c r="P67" s="20" t="n">
        <v>0</v>
      </c>
      <c r="Q67" s="18" t="n">
        <v>0.48599205</v>
      </c>
      <c r="R67" s="20" t="n">
        <v>0.34174222</v>
      </c>
    </row>
    <row r="68" spans="1:18">
      <c r="A68" s="15" t="s">
        <v>492</v>
      </c>
      <c r="B68" s="17" t="n">
        <v>6049</v>
      </c>
      <c r="C68" s="18">
        <f>(5036.0/B68*100)</f>
        <v/>
      </c>
      <c r="D68" s="19" t="n">
        <v>1013</v>
      </c>
      <c r="E68" s="18" t="n">
        <v>78.22665704000001</v>
      </c>
      <c r="F68" s="20" t="n">
        <v>1.49308766</v>
      </c>
      <c r="G68" s="18" t="n">
        <v>16.1712126</v>
      </c>
      <c r="H68" s="20" t="n">
        <v>1.19164362</v>
      </c>
      <c r="I68" s="18" t="s">
        <v>431</v>
      </c>
      <c r="J68" s="20" t="s">
        <v>431</v>
      </c>
      <c r="K68" s="18" t="n">
        <v>2.64276296</v>
      </c>
      <c r="L68" s="20" t="n">
        <v>0.53424821</v>
      </c>
      <c r="M68" s="18" t="n">
        <v>0</v>
      </c>
      <c r="N68" s="20" t="n">
        <v>0</v>
      </c>
      <c r="O68" s="18" t="n">
        <v>0</v>
      </c>
      <c r="P68" s="20" t="n">
        <v>0</v>
      </c>
      <c r="Q68" s="18" t="n">
        <v>2.9593674</v>
      </c>
      <c r="R68" s="20" t="n">
        <v>0.52883924</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(2572.0/B70*100)</f>
        <v/>
      </c>
      <c r="D70" s="19" t="n">
        <v>357</v>
      </c>
      <c r="E70" s="18" t="n">
        <v>70.10455809</v>
      </c>
      <c r="F70" s="20" t="n">
        <v>2.42163619</v>
      </c>
      <c r="G70" s="18" t="n">
        <v>29.89544191</v>
      </c>
      <c r="H70" s="20" t="n">
        <v>2.42163619</v>
      </c>
      <c r="I70" s="18" t="s">
        <v>431</v>
      </c>
      <c r="J70" s="20" t="s">
        <v>431</v>
      </c>
      <c r="K70" s="18" t="n">
        <v>0</v>
      </c>
      <c r="L70" s="20" t="n">
        <v>0</v>
      </c>
      <c r="M70" s="18" t="n">
        <v>0</v>
      </c>
      <c r="N70" s="20" t="n">
        <v>0</v>
      </c>
      <c r="O70" s="18" t="n">
        <v>0</v>
      </c>
      <c r="P70" s="20" t="n">
        <v>0</v>
      </c>
      <c r="Q70" s="18" t="n">
        <v>0</v>
      </c>
      <c r="R70" s="20" t="n">
        <v>0</v>
      </c>
    </row>
    <row r="71" spans="1:18">
      <c r="A71" s="15" t="s">
        <v>495</v>
      </c>
      <c r="B71" s="17" t="n">
        <v>3142</v>
      </c>
      <c r="C71" s="18">
        <f>(2749.0/B71*100)</f>
        <v/>
      </c>
      <c r="D71" s="19" t="n">
        <v>393</v>
      </c>
      <c r="E71" s="18" t="n">
        <v>54.01958699</v>
      </c>
      <c r="F71" s="20" t="n">
        <v>2.49115431</v>
      </c>
      <c r="G71" s="18" t="n">
        <v>45.17907539</v>
      </c>
      <c r="H71" s="20" t="n">
        <v>2.45132247</v>
      </c>
      <c r="I71" s="18" t="s">
        <v>431</v>
      </c>
      <c r="J71" s="20" t="s">
        <v>431</v>
      </c>
      <c r="K71" s="18" t="n">
        <v>0.2309713</v>
      </c>
      <c r="L71" s="20" t="n">
        <v>0.23397888</v>
      </c>
      <c r="M71" s="18" t="n">
        <v>0</v>
      </c>
      <c r="N71" s="20" t="n">
        <v>0</v>
      </c>
      <c r="O71" s="18" t="n">
        <v>0</v>
      </c>
      <c r="P71" s="20" t="n">
        <v>0</v>
      </c>
      <c r="Q71" s="18" t="n">
        <v>0.57036632</v>
      </c>
      <c r="R71" s="20" t="n">
        <v>0.40753267</v>
      </c>
    </row>
    <row r="72" spans="1:18">
      <c r="A72" s="15" t="s">
        <v>496</v>
      </c>
      <c r="B72" s="17" t="n">
        <v>3889</v>
      </c>
      <c r="C72" s="18">
        <f>(3407.0/B72*100)</f>
        <v/>
      </c>
      <c r="D72" s="19" t="n">
        <v>482</v>
      </c>
      <c r="E72" s="18" t="n">
        <v>75.46708503000001</v>
      </c>
      <c r="F72" s="20" t="n">
        <v>2.21606902</v>
      </c>
      <c r="G72" s="18" t="n">
        <v>24.24507235</v>
      </c>
      <c r="H72" s="20" t="n">
        <v>2.23844694</v>
      </c>
      <c r="I72" s="18" t="s">
        <v>431</v>
      </c>
      <c r="J72" s="20" t="s">
        <v>431</v>
      </c>
      <c r="K72" s="18" t="n">
        <v>0</v>
      </c>
      <c r="L72" s="20" t="n">
        <v>0</v>
      </c>
      <c r="M72" s="18" t="n">
        <v>0</v>
      </c>
      <c r="N72" s="20" t="n">
        <v>0</v>
      </c>
      <c r="O72" s="18" t="n">
        <v>0</v>
      </c>
      <c r="P72" s="20" t="n">
        <v>0</v>
      </c>
      <c r="Q72" s="18" t="n">
        <v>0.28784262</v>
      </c>
      <c r="R72" s="20" t="n">
        <v>0.20281308</v>
      </c>
    </row>
    <row r="73" spans="1:18">
      <c r="A73" s="15" t="s">
        <v>497</v>
      </c>
      <c r="B73" s="17" t="n">
        <v>3597</v>
      </c>
      <c r="C73" s="18">
        <f>(3169.0/B73*100)</f>
        <v/>
      </c>
      <c r="D73" s="19" t="n">
        <v>428</v>
      </c>
      <c r="E73" s="18" t="n">
        <v>0</v>
      </c>
      <c r="F73" s="20" t="n">
        <v>0</v>
      </c>
      <c r="G73" s="18" t="n">
        <v>0</v>
      </c>
      <c r="H73" s="20" t="n">
        <v>0</v>
      </c>
      <c r="I73" s="18" t="s">
        <v>431</v>
      </c>
      <c r="J73" s="20" t="s">
        <v>431</v>
      </c>
      <c r="K73" s="18" t="n">
        <v>0</v>
      </c>
      <c r="L73" s="20" t="n">
        <v>0</v>
      </c>
      <c r="M73" s="18" t="n">
        <v>100</v>
      </c>
      <c r="N73" s="20" t="n">
        <v>0</v>
      </c>
      <c r="O73" s="18" t="n">
        <v>0</v>
      </c>
      <c r="P73" s="20" t="n">
        <v>0</v>
      </c>
      <c r="Q73" s="18" t="n">
        <v>0</v>
      </c>
      <c r="R73" s="20" t="n">
        <v>0</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(2126.0/B75*100)</f>
        <v/>
      </c>
      <c r="D75" s="19" t="n">
        <v>280</v>
      </c>
      <c r="E75" s="18" t="n">
        <v>83.6858584</v>
      </c>
      <c r="F75" s="20" t="n">
        <v>2.30312555</v>
      </c>
      <c r="G75" s="18" t="n">
        <v>13.87483318</v>
      </c>
      <c r="H75" s="20" t="n">
        <v>2.08724851</v>
      </c>
      <c r="I75" s="18" t="s">
        <v>431</v>
      </c>
      <c r="J75" s="20" t="s">
        <v>431</v>
      </c>
      <c r="K75" s="18" t="n">
        <v>1.40727537</v>
      </c>
      <c r="L75" s="20" t="n">
        <v>0.65292208</v>
      </c>
      <c r="M75" s="18" t="n">
        <v>0</v>
      </c>
      <c r="N75" s="20" t="n">
        <v>0</v>
      </c>
      <c r="O75" s="18" t="n">
        <v>0</v>
      </c>
      <c r="P75" s="20" t="n">
        <v>0</v>
      </c>
      <c r="Q75" s="18" t="n">
        <v>1.03203306</v>
      </c>
      <c r="R75" s="20" t="n">
        <v>0.52663154</v>
      </c>
    </row>
    <row r="76" spans="1:18">
      <c r="A76" s="15" t="s">
        <v>500</v>
      </c>
      <c r="B76" s="17" t="n">
        <v>7052</v>
      </c>
      <c r="C76" s="18">
        <f>(6195.0/B76*100)</f>
        <v/>
      </c>
      <c r="D76" s="19" t="n">
        <v>857</v>
      </c>
      <c r="E76" s="18" t="n">
        <v>77.42875003</v>
      </c>
      <c r="F76" s="20" t="n">
        <v>1.71642761</v>
      </c>
      <c r="G76" s="18" t="n">
        <v>19.76522972</v>
      </c>
      <c r="H76" s="20" t="n">
        <v>1.62062692</v>
      </c>
      <c r="I76" s="18" t="s">
        <v>431</v>
      </c>
      <c r="J76" s="20" t="s">
        <v>431</v>
      </c>
      <c r="K76" s="18" t="n">
        <v>0.73382067</v>
      </c>
      <c r="L76" s="20" t="n">
        <v>0.29230525</v>
      </c>
      <c r="M76" s="18" t="n">
        <v>0</v>
      </c>
      <c r="N76" s="20" t="n">
        <v>0</v>
      </c>
      <c r="O76" s="18" t="n">
        <v>0</v>
      </c>
      <c r="P76" s="20" t="n">
        <v>0</v>
      </c>
      <c r="Q76" s="18" t="n">
        <v>2.07219958</v>
      </c>
      <c r="R76" s="20" t="n">
        <v>0.78739183</v>
      </c>
    </row>
    <row r="77" spans="1:18">
      <c r="A77" s="15" t="s">
        <v>501</v>
      </c>
      <c r="B77" s="17" t="n">
        <v>2908</v>
      </c>
      <c r="C77" s="18">
        <f>(2540.0/B77*100)</f>
        <v/>
      </c>
      <c r="D77" s="19" t="n">
        <v>368</v>
      </c>
      <c r="E77" s="18" t="n">
        <v>81.08006659</v>
      </c>
      <c r="F77" s="20" t="n">
        <v>1.97390053</v>
      </c>
      <c r="G77" s="18" t="n">
        <v>16.11249509</v>
      </c>
      <c r="H77" s="20" t="n">
        <v>2.17873775</v>
      </c>
      <c r="I77" s="18" t="s">
        <v>431</v>
      </c>
      <c r="J77" s="20" t="s">
        <v>431</v>
      </c>
      <c r="K77" s="18" t="n">
        <v>1.09772022</v>
      </c>
      <c r="L77" s="20" t="n">
        <v>0.62264783</v>
      </c>
      <c r="M77" s="18" t="n">
        <v>0</v>
      </c>
      <c r="N77" s="20" t="n">
        <v>0</v>
      </c>
      <c r="O77" s="18" t="n">
        <v>0</v>
      </c>
      <c r="P77" s="20" t="n">
        <v>0</v>
      </c>
      <c r="Q77" s="18" t="n">
        <v>1.70971809</v>
      </c>
      <c r="R77" s="20" t="n">
        <v>0.7753028</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(3642.0/B81*100)</f>
        <v/>
      </c>
      <c r="D81" s="19" t="n">
        <v>521</v>
      </c>
      <c r="E81" s="18" t="n">
        <v>82.28119943</v>
      </c>
      <c r="F81" s="20" t="n">
        <v>1.94444291</v>
      </c>
      <c r="G81" s="18" t="n">
        <v>17.71880057</v>
      </c>
      <c r="H81" s="20" t="n">
        <v>1.94444291</v>
      </c>
      <c r="I81" s="18" t="s">
        <v>431</v>
      </c>
      <c r="J81" s="20" t="s">
        <v>431</v>
      </c>
      <c r="K81" s="18" t="n">
        <v>0</v>
      </c>
      <c r="L81" s="20" t="n">
        <v>0</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(6478.0/B7*100)</f>
        <v/>
      </c>
      <c r="D7" s="19" t="n">
        <v>889</v>
      </c>
      <c r="E7" s="18" t="n">
        <v>38.80337635</v>
      </c>
      <c r="F7" s="20" t="n">
        <v>2.04393855</v>
      </c>
      <c r="G7" s="18" t="n">
        <v>48.96667278</v>
      </c>
      <c r="H7" s="20" t="n">
        <v>2.16825772</v>
      </c>
      <c r="I7" s="18" t="s">
        <v>431</v>
      </c>
      <c r="J7" s="20" t="s">
        <v>431</v>
      </c>
      <c r="K7" s="18" t="n">
        <v>0.25433014</v>
      </c>
      <c r="L7" s="20" t="n">
        <v>0.21754701</v>
      </c>
      <c r="M7" s="18" t="n">
        <v>0</v>
      </c>
      <c r="N7" s="20" t="n">
        <v>0</v>
      </c>
      <c r="O7" s="18" t="n">
        <v>0</v>
      </c>
      <c r="P7" s="20" t="n">
        <v>0</v>
      </c>
      <c r="Q7" s="18" t="n">
        <v>11.97562073</v>
      </c>
      <c r="R7" s="20" t="n">
        <v>1.28177612</v>
      </c>
    </row>
    <row r="8" spans="1:18">
      <c r="A8" s="15" t="s">
        <v>432</v>
      </c>
      <c r="B8" s="17" t="n">
        <v>3564</v>
      </c>
      <c r="C8" s="18">
        <f>(3113.0/B8*100)</f>
        <v/>
      </c>
      <c r="D8" s="19" t="n">
        <v>451</v>
      </c>
      <c r="E8" s="18" t="n">
        <v>39.45740375</v>
      </c>
      <c r="F8" s="20" t="n">
        <v>3.09303425</v>
      </c>
      <c r="G8" s="18" t="n">
        <v>45.2510878</v>
      </c>
      <c r="H8" s="20" t="n">
        <v>3.01734383</v>
      </c>
      <c r="I8" s="18" t="s">
        <v>431</v>
      </c>
      <c r="J8" s="20" t="s">
        <v>431</v>
      </c>
      <c r="K8" s="18" t="n">
        <v>0.48906447</v>
      </c>
      <c r="L8" s="20" t="n">
        <v>0.34865305</v>
      </c>
      <c r="M8" s="18" t="n">
        <v>0</v>
      </c>
      <c r="N8" s="20" t="n">
        <v>0</v>
      </c>
      <c r="O8" s="18" t="n">
        <v>0</v>
      </c>
      <c r="P8" s="20" t="n">
        <v>0</v>
      </c>
      <c r="Q8" s="18" t="n">
        <v>14.80244398</v>
      </c>
      <c r="R8" s="20" t="n">
        <v>2.09093813</v>
      </c>
    </row>
    <row r="9" spans="1:18">
      <c r="A9" s="15" t="s">
        <v>433</v>
      </c>
      <c r="B9" s="17" t="n">
        <v>4899</v>
      </c>
      <c r="C9" s="18">
        <f>(4315.0/B9*100)</f>
        <v/>
      </c>
      <c r="D9" s="19" t="n">
        <v>584</v>
      </c>
      <c r="E9" s="18" t="n">
        <v>34.29835613</v>
      </c>
      <c r="F9" s="20" t="n">
        <v>2.23009014</v>
      </c>
      <c r="G9" s="18" t="n">
        <v>53.56037817</v>
      </c>
      <c r="H9" s="20" t="n">
        <v>2.13597424</v>
      </c>
      <c r="I9" s="18" t="s">
        <v>431</v>
      </c>
      <c r="J9" s="20" t="s">
        <v>431</v>
      </c>
      <c r="K9" s="18" t="n">
        <v>0.79599365</v>
      </c>
      <c r="L9" s="20" t="n">
        <v>0.38962378</v>
      </c>
      <c r="M9" s="18" t="n">
        <v>0</v>
      </c>
      <c r="N9" s="20" t="n">
        <v>0</v>
      </c>
      <c r="O9" s="18" t="n">
        <v>0</v>
      </c>
      <c r="P9" s="20" t="n">
        <v>0</v>
      </c>
      <c r="Q9" s="18" t="n">
        <v>11.34527204</v>
      </c>
      <c r="R9" s="20" t="n">
        <v>1.32008532</v>
      </c>
    </row>
    <row r="10" spans="1:18">
      <c r="A10" s="15" t="s">
        <v>434</v>
      </c>
      <c r="B10" s="17" t="n">
        <v>10036</v>
      </c>
      <c r="C10" s="18">
        <f>(8748.0/B10*100)</f>
        <v/>
      </c>
      <c r="D10" s="19" t="n">
        <v>1288</v>
      </c>
      <c r="E10" s="18" t="n">
        <v>33.83267683</v>
      </c>
      <c r="F10" s="20" t="n">
        <v>1.71981179</v>
      </c>
      <c r="G10" s="18" t="n">
        <v>57.93800324</v>
      </c>
      <c r="H10" s="20" t="n">
        <v>1.73936798</v>
      </c>
      <c r="I10" s="18" t="s">
        <v>431</v>
      </c>
      <c r="J10" s="20" t="s">
        <v>431</v>
      </c>
      <c r="K10" s="18" t="n">
        <v>0.20027661</v>
      </c>
      <c r="L10" s="20" t="n">
        <v>0.17272661</v>
      </c>
      <c r="M10" s="18" t="n">
        <v>0</v>
      </c>
      <c r="N10" s="20" t="n">
        <v>0</v>
      </c>
      <c r="O10" s="18" t="n">
        <v>0</v>
      </c>
      <c r="P10" s="20" t="n">
        <v>0</v>
      </c>
      <c r="Q10" s="18" t="n">
        <v>8.02904332</v>
      </c>
      <c r="R10" s="20" t="n">
        <v>1.03914588</v>
      </c>
    </row>
    <row r="11" spans="1:18">
      <c r="A11" s="15" t="s">
        <v>435</v>
      </c>
      <c r="B11" s="17" t="n">
        <v>3553</v>
      </c>
      <c r="C11" s="18">
        <f>(3154.0/B11*100)</f>
        <v/>
      </c>
      <c r="D11" s="19" t="n">
        <v>399</v>
      </c>
      <c r="E11" s="18" t="n">
        <v>47.37924549</v>
      </c>
      <c r="F11" s="20" t="n">
        <v>2.95006281</v>
      </c>
      <c r="G11" s="18" t="n">
        <v>31.75245785</v>
      </c>
      <c r="H11" s="20" t="n">
        <v>2.81807578</v>
      </c>
      <c r="I11" s="18" t="s">
        <v>431</v>
      </c>
      <c r="J11" s="20" t="s">
        <v>431</v>
      </c>
      <c r="K11" s="18" t="n">
        <v>1.14794567</v>
      </c>
      <c r="L11" s="20" t="n">
        <v>0.81117925</v>
      </c>
      <c r="M11" s="18" t="n">
        <v>0</v>
      </c>
      <c r="N11" s="20" t="n">
        <v>0</v>
      </c>
      <c r="O11" s="18" t="n">
        <v>0</v>
      </c>
      <c r="P11" s="20" t="n">
        <v>0</v>
      </c>
      <c r="Q11" s="18" t="n">
        <v>19.72035099</v>
      </c>
      <c r="R11" s="20" t="n">
        <v>2.21895815</v>
      </c>
    </row>
    <row r="12" spans="1:18">
      <c r="A12" s="15" t="s">
        <v>436</v>
      </c>
      <c r="B12" s="17" t="n">
        <v>3472</v>
      </c>
      <c r="C12" s="18">
        <f>(3038.0/B12*100)</f>
        <v/>
      </c>
      <c r="D12" s="19" t="n">
        <v>434</v>
      </c>
      <c r="E12" s="18" t="n">
        <v>34.44359467</v>
      </c>
      <c r="F12" s="20" t="n">
        <v>2.28845592</v>
      </c>
      <c r="G12" s="18" t="n">
        <v>48.13388836</v>
      </c>
      <c r="H12" s="20" t="n">
        <v>2.5531301</v>
      </c>
      <c r="I12" s="18" t="s">
        <v>431</v>
      </c>
      <c r="J12" s="20" t="s">
        <v>431</v>
      </c>
      <c r="K12" s="18" t="n">
        <v>0.2034236</v>
      </c>
      <c r="L12" s="20" t="n">
        <v>0.20039024</v>
      </c>
      <c r="M12" s="18" t="n">
        <v>0</v>
      </c>
      <c r="N12" s="20" t="n">
        <v>0</v>
      </c>
      <c r="O12" s="18" t="n">
        <v>0</v>
      </c>
      <c r="P12" s="20" t="n">
        <v>0</v>
      </c>
      <c r="Q12" s="18" t="n">
        <v>17.21909337</v>
      </c>
      <c r="R12" s="20" t="n">
        <v>1.98743099</v>
      </c>
    </row>
    <row r="13" spans="1:18">
      <c r="A13" s="15" t="s">
        <v>437</v>
      </c>
      <c r="B13" s="17" t="n">
        <v>3559</v>
      </c>
      <c r="C13" s="18">
        <f>(3125.0/B13*100)</f>
        <v/>
      </c>
      <c r="D13" s="19" t="n">
        <v>434</v>
      </c>
      <c r="E13" s="18" t="n">
        <v>41.17814924</v>
      </c>
      <c r="F13" s="20" t="n">
        <v>2.99280142</v>
      </c>
      <c r="G13" s="18" t="n">
        <v>48.00995036</v>
      </c>
      <c r="H13" s="20" t="n">
        <v>2.821089</v>
      </c>
      <c r="I13" s="18" t="s">
        <v>431</v>
      </c>
      <c r="J13" s="20" t="s">
        <v>431</v>
      </c>
      <c r="K13" s="18" t="n">
        <v>0.33067127</v>
      </c>
      <c r="L13" s="20" t="n">
        <v>0.18899276</v>
      </c>
      <c r="M13" s="18" t="n">
        <v>0.02738699</v>
      </c>
      <c r="N13" s="20" t="n">
        <v>0.01938897</v>
      </c>
      <c r="O13" s="18" t="n">
        <v>0</v>
      </c>
      <c r="P13" s="20" t="n">
        <v>0</v>
      </c>
      <c r="Q13" s="18" t="n">
        <v>10.45384213</v>
      </c>
      <c r="R13" s="20" t="n">
        <v>1.62382674</v>
      </c>
    </row>
    <row r="14" spans="1:18">
      <c r="A14" s="15" t="s">
        <v>438</v>
      </c>
      <c r="B14" s="17" t="n">
        <v>2799</v>
      </c>
      <c r="C14" s="18">
        <f>(2469.0/B14*100)</f>
        <v/>
      </c>
      <c r="D14" s="19" t="n">
        <v>330</v>
      </c>
      <c r="E14" s="18" t="n">
        <v>41.23421211</v>
      </c>
      <c r="F14" s="20" t="n">
        <v>3.19706468</v>
      </c>
      <c r="G14" s="18" t="n">
        <v>50.38314735</v>
      </c>
      <c r="H14" s="20" t="n">
        <v>3.17812708</v>
      </c>
      <c r="I14" s="18" t="s">
        <v>431</v>
      </c>
      <c r="J14" s="20" t="s">
        <v>431</v>
      </c>
      <c r="K14" s="18" t="n">
        <v>0</v>
      </c>
      <c r="L14" s="20" t="n">
        <v>0</v>
      </c>
      <c r="M14" s="18" t="n">
        <v>0</v>
      </c>
      <c r="N14" s="20" t="n">
        <v>0</v>
      </c>
      <c r="O14" s="18" t="n">
        <v>0</v>
      </c>
      <c r="P14" s="20" t="n">
        <v>0</v>
      </c>
      <c r="Q14" s="18" t="n">
        <v>8.382640540000001</v>
      </c>
      <c r="R14" s="20" t="n">
        <v>1.81151678</v>
      </c>
    </row>
    <row r="15" spans="1:18">
      <c r="A15" s="15" t="s">
        <v>439</v>
      </c>
      <c r="B15" s="17" t="n">
        <v>3019</v>
      </c>
      <c r="C15" s="18">
        <f>(2636.0/B15*100)</f>
        <v/>
      </c>
      <c r="D15" s="19" t="n">
        <v>383</v>
      </c>
      <c r="E15" s="18" t="n">
        <v>38.82300078</v>
      </c>
      <c r="F15" s="20" t="n">
        <v>2.51350785</v>
      </c>
      <c r="G15" s="18" t="n">
        <v>52.57816247</v>
      </c>
      <c r="H15" s="20" t="n">
        <v>2.58641358</v>
      </c>
      <c r="I15" s="18" t="s">
        <v>431</v>
      </c>
      <c r="J15" s="20" t="s">
        <v>431</v>
      </c>
      <c r="K15" s="18" t="n">
        <v>0.21010417</v>
      </c>
      <c r="L15" s="20" t="n">
        <v>0.21016255</v>
      </c>
      <c r="M15" s="18" t="n">
        <v>0</v>
      </c>
      <c r="N15" s="20" t="n">
        <v>0</v>
      </c>
      <c r="O15" s="18" t="n">
        <v>0</v>
      </c>
      <c r="P15" s="20" t="n">
        <v>0</v>
      </c>
      <c r="Q15" s="18" t="n">
        <v>8.388732579999999</v>
      </c>
      <c r="R15" s="20" t="n">
        <v>1.50387262</v>
      </c>
    </row>
    <row r="16" spans="1:18">
      <c r="A16" s="15" t="s">
        <v>440</v>
      </c>
      <c r="B16" s="17" t="n">
        <v>2997</v>
      </c>
      <c r="C16" s="18">
        <f>(2649.0/B16*100)</f>
        <v/>
      </c>
      <c r="D16" s="19" t="n">
        <v>348</v>
      </c>
      <c r="E16" s="18" t="n">
        <v>28.59594263</v>
      </c>
      <c r="F16" s="20" t="n">
        <v>2.30647869</v>
      </c>
      <c r="G16" s="18" t="n">
        <v>53.00951821</v>
      </c>
      <c r="H16" s="20" t="n">
        <v>2.68303606</v>
      </c>
      <c r="I16" s="18" t="s">
        <v>431</v>
      </c>
      <c r="J16" s="20" t="s">
        <v>431</v>
      </c>
      <c r="K16" s="18" t="n">
        <v>1.53464047</v>
      </c>
      <c r="L16" s="20" t="n">
        <v>0.47567611</v>
      </c>
      <c r="M16" s="18" t="n">
        <v>0</v>
      </c>
      <c r="N16" s="20" t="n">
        <v>0</v>
      </c>
      <c r="O16" s="18" t="n">
        <v>0</v>
      </c>
      <c r="P16" s="20" t="n">
        <v>0</v>
      </c>
      <c r="Q16" s="18" t="n">
        <v>16.85989869</v>
      </c>
      <c r="R16" s="20" t="n">
        <v>2.63638005</v>
      </c>
    </row>
    <row r="17" spans="1:18">
      <c r="A17" s="15" t="s">
        <v>441</v>
      </c>
      <c r="B17" s="17" t="n">
        <v>3307</v>
      </c>
      <c r="C17" s="18">
        <f>(2907.0/B17*100)</f>
        <v/>
      </c>
      <c r="D17" s="19" t="n">
        <v>400</v>
      </c>
      <c r="E17" s="18" t="n">
        <v>33.73200143</v>
      </c>
      <c r="F17" s="20" t="n">
        <v>2.05471845</v>
      </c>
      <c r="G17" s="18" t="n">
        <v>50.75134682</v>
      </c>
      <c r="H17" s="20" t="n">
        <v>2.57240977</v>
      </c>
      <c r="I17" s="18" t="s">
        <v>431</v>
      </c>
      <c r="J17" s="20" t="s">
        <v>431</v>
      </c>
      <c r="K17" s="18" t="n">
        <v>0</v>
      </c>
      <c r="L17" s="20" t="n">
        <v>0</v>
      </c>
      <c r="M17" s="18" t="n">
        <v>0</v>
      </c>
      <c r="N17" s="20" t="n">
        <v>0</v>
      </c>
      <c r="O17" s="18" t="n">
        <v>0</v>
      </c>
      <c r="P17" s="20" t="n">
        <v>0</v>
      </c>
      <c r="Q17" s="18" t="n">
        <v>15.51665175</v>
      </c>
      <c r="R17" s="20" t="n">
        <v>2.03541356</v>
      </c>
    </row>
    <row r="18" spans="1:18">
      <c r="A18" s="15" t="s">
        <v>442</v>
      </c>
      <c r="B18" s="17" t="n">
        <v>2826</v>
      </c>
      <c r="C18" s="18">
        <f>(2467.0/B18*100)</f>
        <v/>
      </c>
      <c r="D18" s="19" t="n">
        <v>359</v>
      </c>
      <c r="E18" s="18" t="n">
        <v>31.96025287</v>
      </c>
      <c r="F18" s="20" t="n">
        <v>3.32413679</v>
      </c>
      <c r="G18" s="18" t="n">
        <v>46.55708324</v>
      </c>
      <c r="H18" s="20" t="n">
        <v>3.4755874</v>
      </c>
      <c r="I18" s="18" t="s">
        <v>431</v>
      </c>
      <c r="J18" s="20" t="s">
        <v>431</v>
      </c>
      <c r="K18" s="18" t="n">
        <v>0.85075</v>
      </c>
      <c r="L18" s="20" t="n">
        <v>0.62767911</v>
      </c>
      <c r="M18" s="18" t="n">
        <v>0</v>
      </c>
      <c r="N18" s="20" t="n">
        <v>0</v>
      </c>
      <c r="O18" s="18" t="n">
        <v>0</v>
      </c>
      <c r="P18" s="20" t="n">
        <v>0</v>
      </c>
      <c r="Q18" s="18" t="n">
        <v>20.63191389</v>
      </c>
      <c r="R18" s="20" t="n">
        <v>3.15769603</v>
      </c>
    </row>
    <row r="19" spans="1:18">
      <c r="A19" s="15" t="s">
        <v>443</v>
      </c>
      <c r="B19" s="17" t="n">
        <v>2808</v>
      </c>
      <c r="C19" s="18">
        <f>(2452.0/B19*100)</f>
        <v/>
      </c>
      <c r="D19" s="19" t="n">
        <v>356</v>
      </c>
      <c r="E19" s="18" t="n">
        <v>45.99213957</v>
      </c>
      <c r="F19" s="20" t="n">
        <v>2.81137843</v>
      </c>
      <c r="G19" s="18" t="n">
        <v>34.08035815</v>
      </c>
      <c r="H19" s="20" t="n">
        <v>2.87336253</v>
      </c>
      <c r="I19" s="18" t="s">
        <v>431</v>
      </c>
      <c r="J19" s="20" t="s">
        <v>431</v>
      </c>
      <c r="K19" s="18" t="n">
        <v>0.57933405</v>
      </c>
      <c r="L19" s="20" t="n">
        <v>0.62898205</v>
      </c>
      <c r="M19" s="18" t="n">
        <v>0</v>
      </c>
      <c r="N19" s="20" t="n">
        <v>0</v>
      </c>
      <c r="O19" s="18" t="n">
        <v>0</v>
      </c>
      <c r="P19" s="20" t="n">
        <v>0</v>
      </c>
      <c r="Q19" s="18" t="n">
        <v>19.34816822</v>
      </c>
      <c r="R19" s="20" t="n">
        <v>2.04920666</v>
      </c>
    </row>
    <row r="20" spans="1:18">
      <c r="A20" s="15" t="s">
        <v>444</v>
      </c>
      <c r="B20" s="17" t="n">
        <v>1630</v>
      </c>
      <c r="C20" s="18">
        <f>(1438.0/B20*100)</f>
        <v/>
      </c>
      <c r="D20" s="19" t="n">
        <v>192</v>
      </c>
      <c r="E20" s="18" t="n">
        <v>45.51545444</v>
      </c>
      <c r="F20" s="20" t="n">
        <v>3.25964192</v>
      </c>
      <c r="G20" s="18" t="n">
        <v>38.9567082</v>
      </c>
      <c r="H20" s="20" t="n">
        <v>3.58246539</v>
      </c>
      <c r="I20" s="18" t="s">
        <v>431</v>
      </c>
      <c r="J20" s="20" t="s">
        <v>431</v>
      </c>
      <c r="K20" s="18" t="n">
        <v>0.50503105</v>
      </c>
      <c r="L20" s="20" t="n">
        <v>0.48794976</v>
      </c>
      <c r="M20" s="18" t="n">
        <v>0</v>
      </c>
      <c r="N20" s="20" t="n">
        <v>0</v>
      </c>
      <c r="O20" s="18" t="n">
        <v>0</v>
      </c>
      <c r="P20" s="20" t="n">
        <v>0</v>
      </c>
      <c r="Q20" s="18" t="n">
        <v>15.0228063</v>
      </c>
      <c r="R20" s="20" t="n">
        <v>2.5255923</v>
      </c>
    </row>
    <row r="21" spans="1:18">
      <c r="A21" s="15" t="s">
        <v>445</v>
      </c>
      <c r="B21" s="17" t="n">
        <v>2908</v>
      </c>
      <c r="C21" s="18">
        <f>(2434.0/B21*100)</f>
        <v/>
      </c>
      <c r="D21" s="19" t="n">
        <v>474</v>
      </c>
      <c r="E21" s="18" t="n">
        <v>35.56909531</v>
      </c>
      <c r="F21" s="20" t="n">
        <v>1.85873304</v>
      </c>
      <c r="G21" s="18" t="n">
        <v>54.82114357</v>
      </c>
      <c r="H21" s="20" t="n">
        <v>2.03554491</v>
      </c>
      <c r="I21" s="18" t="s">
        <v>431</v>
      </c>
      <c r="J21" s="20" t="s">
        <v>431</v>
      </c>
      <c r="K21" s="18" t="n">
        <v>0.50886543</v>
      </c>
      <c r="L21" s="20" t="n">
        <v>0.28575998</v>
      </c>
      <c r="M21" s="18" t="n">
        <v>0</v>
      </c>
      <c r="N21" s="20" t="n">
        <v>0</v>
      </c>
      <c r="O21" s="18" t="n">
        <v>0</v>
      </c>
      <c r="P21" s="20" t="n">
        <v>0</v>
      </c>
      <c r="Q21" s="18" t="n">
        <v>9.10089569</v>
      </c>
      <c r="R21" s="20" t="n">
        <v>1.27152214</v>
      </c>
    </row>
    <row r="22" spans="1:18">
      <c r="A22" s="15" t="s">
        <v>446</v>
      </c>
      <c r="B22" s="17" t="n">
        <v>2931</v>
      </c>
      <c r="C22" s="18">
        <f>(2565.0/B22*100)</f>
        <v/>
      </c>
      <c r="D22" s="19" t="n">
        <v>366</v>
      </c>
      <c r="E22" s="18" t="n">
        <v>38.79236186</v>
      </c>
      <c r="F22" s="20" t="n">
        <v>3.48422283</v>
      </c>
      <c r="G22" s="18" t="n">
        <v>42.58967766</v>
      </c>
      <c r="H22" s="20" t="n">
        <v>3.42489583</v>
      </c>
      <c r="I22" s="18" t="s">
        <v>431</v>
      </c>
      <c r="J22" s="20" t="s">
        <v>431</v>
      </c>
      <c r="K22" s="18" t="n">
        <v>2.02083641</v>
      </c>
      <c r="L22" s="20" t="n">
        <v>0.71083741</v>
      </c>
      <c r="M22" s="18" t="n">
        <v>0</v>
      </c>
      <c r="N22" s="20" t="n">
        <v>0</v>
      </c>
      <c r="O22" s="18" t="n">
        <v>0</v>
      </c>
      <c r="P22" s="20" t="n">
        <v>0</v>
      </c>
      <c r="Q22" s="18" t="n">
        <v>16.59712408</v>
      </c>
      <c r="R22" s="20" t="n">
        <v>2.38277266</v>
      </c>
    </row>
    <row r="23" spans="1:18">
      <c r="A23" s="15" t="s">
        <v>447</v>
      </c>
      <c r="B23" s="17" t="n">
        <v>5791</v>
      </c>
      <c r="C23" s="18">
        <f>(5072.0/B23*100)</f>
        <v/>
      </c>
      <c r="D23" s="19" t="n">
        <v>719</v>
      </c>
      <c r="E23" s="18" t="n">
        <v>31.57994231</v>
      </c>
      <c r="F23" s="20" t="n">
        <v>2.42093291</v>
      </c>
      <c r="G23" s="18" t="n">
        <v>51.40997545</v>
      </c>
      <c r="H23" s="20" t="n">
        <v>2.61086379</v>
      </c>
      <c r="I23" s="18" t="s">
        <v>431</v>
      </c>
      <c r="J23" s="20" t="s">
        <v>431</v>
      </c>
      <c r="K23" s="18" t="n">
        <v>0.24915904</v>
      </c>
      <c r="L23" s="20" t="n">
        <v>0.18049184</v>
      </c>
      <c r="M23" s="18" t="n">
        <v>0</v>
      </c>
      <c r="N23" s="20" t="n">
        <v>0</v>
      </c>
      <c r="O23" s="18" t="n">
        <v>0</v>
      </c>
      <c r="P23" s="20" t="n">
        <v>0</v>
      </c>
      <c r="Q23" s="18" t="n">
        <v>16.7609232</v>
      </c>
      <c r="R23" s="20" t="n">
        <v>2.18853259</v>
      </c>
    </row>
    <row r="24" spans="1:18">
      <c r="A24" s="15" t="s">
        <v>448</v>
      </c>
      <c r="B24" s="17" t="n">
        <v>3338</v>
      </c>
      <c r="C24" s="18">
        <f>(2939.0/B24*100)</f>
        <v/>
      </c>
      <c r="D24" s="19" t="n">
        <v>399</v>
      </c>
      <c r="E24" s="18" t="n">
        <v>26.26718045</v>
      </c>
      <c r="F24" s="20" t="n">
        <v>2.29896428</v>
      </c>
      <c r="G24" s="18" t="n">
        <v>48.97263814</v>
      </c>
      <c r="H24" s="20" t="n">
        <v>2.8483046</v>
      </c>
      <c r="I24" s="18" t="s">
        <v>431</v>
      </c>
      <c r="J24" s="20" t="s">
        <v>431</v>
      </c>
      <c r="K24" s="18" t="n">
        <v>0.28383925</v>
      </c>
      <c r="L24" s="20" t="n">
        <v>0.28327171</v>
      </c>
      <c r="M24" s="18" t="n">
        <v>0</v>
      </c>
      <c r="N24" s="20" t="n">
        <v>0</v>
      </c>
      <c r="O24" s="18" t="n">
        <v>0</v>
      </c>
      <c r="P24" s="20" t="n">
        <v>0</v>
      </c>
      <c r="Q24" s="18" t="n">
        <v>24.47634217</v>
      </c>
      <c r="R24" s="20" t="n">
        <v>2.76048381</v>
      </c>
    </row>
    <row r="25" spans="1:18">
      <c r="A25" s="15" t="s">
        <v>449</v>
      </c>
      <c r="B25" s="17" t="n">
        <v>2912</v>
      </c>
      <c r="C25" s="18">
        <f>(2540.0/B25*100)</f>
        <v/>
      </c>
      <c r="D25" s="19" t="n">
        <v>372</v>
      </c>
      <c r="E25" s="18" t="n">
        <v>31.76346147</v>
      </c>
      <c r="F25" s="20" t="n">
        <v>2.76746824</v>
      </c>
      <c r="G25" s="18" t="n">
        <v>48.14255944</v>
      </c>
      <c r="H25" s="20" t="n">
        <v>2.78456275</v>
      </c>
      <c r="I25" s="18" t="s">
        <v>431</v>
      </c>
      <c r="J25" s="20" t="s">
        <v>431</v>
      </c>
      <c r="K25" s="18" t="n">
        <v>0.50223064</v>
      </c>
      <c r="L25" s="20" t="n">
        <v>0.35563473</v>
      </c>
      <c r="M25" s="18" t="n">
        <v>0</v>
      </c>
      <c r="N25" s="20" t="n">
        <v>0</v>
      </c>
      <c r="O25" s="18" t="n">
        <v>0</v>
      </c>
      <c r="P25" s="20" t="n">
        <v>0</v>
      </c>
      <c r="Q25" s="18" t="n">
        <v>19.59174846</v>
      </c>
      <c r="R25" s="20" t="n">
        <v>2.4283597</v>
      </c>
    </row>
    <row r="26" spans="1:18">
      <c r="A26" s="15" t="s">
        <v>450</v>
      </c>
      <c r="B26" s="17" t="n">
        <v>2450</v>
      </c>
      <c r="C26" s="18">
        <f>(2138.0/B26*100)</f>
        <v/>
      </c>
      <c r="D26" s="19" t="n">
        <v>312</v>
      </c>
      <c r="E26" s="18" t="n">
        <v>49.91122053</v>
      </c>
      <c r="F26" s="20" t="n">
        <v>2.97780814</v>
      </c>
      <c r="G26" s="18" t="n">
        <v>39.13776435</v>
      </c>
      <c r="H26" s="20" t="n">
        <v>2.65707401</v>
      </c>
      <c r="I26" s="18" t="s">
        <v>431</v>
      </c>
      <c r="J26" s="20" t="s">
        <v>431</v>
      </c>
      <c r="K26" s="18" t="n">
        <v>0</v>
      </c>
      <c r="L26" s="20" t="n">
        <v>0</v>
      </c>
      <c r="M26" s="18" t="n">
        <v>0</v>
      </c>
      <c r="N26" s="20" t="n">
        <v>0</v>
      </c>
      <c r="O26" s="18" t="n">
        <v>0</v>
      </c>
      <c r="P26" s="20" t="n">
        <v>0</v>
      </c>
      <c r="Q26" s="18" t="n">
        <v>10.95101511</v>
      </c>
      <c r="R26" s="20" t="n">
        <v>2.24205925</v>
      </c>
    </row>
    <row r="27" spans="1:18">
      <c r="A27" s="15" t="s">
        <v>451</v>
      </c>
      <c r="B27" s="17" t="n">
        <v>2616</v>
      </c>
      <c r="C27" s="18">
        <f>(2289.0/B27*100)</f>
        <v/>
      </c>
      <c r="D27" s="19" t="n">
        <v>327</v>
      </c>
      <c r="E27" s="18" t="n">
        <v>41.42865433</v>
      </c>
      <c r="F27" s="20" t="n">
        <v>2.43588868</v>
      </c>
      <c r="G27" s="18" t="n">
        <v>41.91814357</v>
      </c>
      <c r="H27" s="20" t="n">
        <v>2.75269064</v>
      </c>
      <c r="I27" s="18" t="s">
        <v>431</v>
      </c>
      <c r="J27" s="20" t="s">
        <v>431</v>
      </c>
      <c r="K27" s="18" t="n">
        <v>0.30796698</v>
      </c>
      <c r="L27" s="20" t="n">
        <v>0.30929134</v>
      </c>
      <c r="M27" s="18" t="n">
        <v>0</v>
      </c>
      <c r="N27" s="20" t="n">
        <v>0</v>
      </c>
      <c r="O27" s="18" t="n">
        <v>0</v>
      </c>
      <c r="P27" s="20" t="n">
        <v>0</v>
      </c>
      <c r="Q27" s="18" t="n">
        <v>16.34523513</v>
      </c>
      <c r="R27" s="20" t="n">
        <v>1.83748133</v>
      </c>
    </row>
    <row r="28" spans="1:18">
      <c r="A28" s="15" t="s">
        <v>452</v>
      </c>
      <c r="B28" s="17" t="n">
        <v>3765</v>
      </c>
      <c r="C28" s="18">
        <f>(3310.0/B28*100)</f>
        <v/>
      </c>
      <c r="D28" s="19" t="n">
        <v>455</v>
      </c>
      <c r="E28" s="18" t="n">
        <v>68.54282546</v>
      </c>
      <c r="F28" s="20" t="n">
        <v>2.43850911</v>
      </c>
      <c r="G28" s="18" t="n">
        <v>20.81837079</v>
      </c>
      <c r="H28" s="20" t="n">
        <v>1.90255693</v>
      </c>
      <c r="I28" s="18" t="s">
        <v>431</v>
      </c>
      <c r="J28" s="20" t="s">
        <v>431</v>
      </c>
      <c r="K28" s="18" t="n">
        <v>0</v>
      </c>
      <c r="L28" s="20" t="n">
        <v>0</v>
      </c>
      <c r="M28" s="18" t="n">
        <v>0</v>
      </c>
      <c r="N28" s="20" t="n">
        <v>0</v>
      </c>
      <c r="O28" s="18" t="n">
        <v>0</v>
      </c>
      <c r="P28" s="20" t="n">
        <v>0</v>
      </c>
      <c r="Q28" s="18" t="n">
        <v>10.63880374</v>
      </c>
      <c r="R28" s="20" t="n">
        <v>1.78625139</v>
      </c>
    </row>
    <row r="29" spans="1:18">
      <c r="A29" s="15" t="s">
        <v>453</v>
      </c>
      <c r="B29" s="17" t="n">
        <v>2685</v>
      </c>
      <c r="C29" s="18">
        <f>(2369.0/B29*100)</f>
        <v/>
      </c>
      <c r="D29" s="19" t="n">
        <v>316</v>
      </c>
      <c r="E29" s="18" t="n">
        <v>56.48676025</v>
      </c>
      <c r="F29" s="20" t="n">
        <v>2.90839471</v>
      </c>
      <c r="G29" s="18" t="n">
        <v>40.93645396</v>
      </c>
      <c r="H29" s="20" t="n">
        <v>2.97585981</v>
      </c>
      <c r="I29" s="18" t="s">
        <v>431</v>
      </c>
      <c r="J29" s="20" t="s">
        <v>431</v>
      </c>
      <c r="K29" s="18" t="n">
        <v>0</v>
      </c>
      <c r="L29" s="20" t="n">
        <v>0</v>
      </c>
      <c r="M29" s="18" t="n">
        <v>0</v>
      </c>
      <c r="N29" s="20" t="n">
        <v>0</v>
      </c>
      <c r="O29" s="18" t="n">
        <v>0</v>
      </c>
      <c r="P29" s="20" t="n">
        <v>0</v>
      </c>
      <c r="Q29" s="18" t="n">
        <v>2.57678579</v>
      </c>
      <c r="R29" s="20" t="n">
        <v>0.92628956</v>
      </c>
    </row>
    <row r="30" spans="1:18">
      <c r="A30" s="15" t="s">
        <v>454</v>
      </c>
      <c r="B30" s="17" t="n">
        <v>2263</v>
      </c>
      <c r="C30" s="18">
        <f>(1987.0/B30*100)</f>
        <v/>
      </c>
      <c r="D30" s="19" t="n">
        <v>276</v>
      </c>
      <c r="E30" s="18" t="n">
        <v>31.63327619</v>
      </c>
      <c r="F30" s="20" t="n">
        <v>2.96027045</v>
      </c>
      <c r="G30" s="18" t="n">
        <v>47.71142128</v>
      </c>
      <c r="H30" s="20" t="n">
        <v>3.50604382</v>
      </c>
      <c r="I30" s="18" t="s">
        <v>431</v>
      </c>
      <c r="J30" s="20" t="s">
        <v>431</v>
      </c>
      <c r="K30" s="18" t="n">
        <v>1.33670453</v>
      </c>
      <c r="L30" s="20" t="n">
        <v>0.65898072</v>
      </c>
      <c r="M30" s="18" t="n">
        <v>0</v>
      </c>
      <c r="N30" s="20" t="n">
        <v>0</v>
      </c>
      <c r="O30" s="18" t="n">
        <v>0</v>
      </c>
      <c r="P30" s="20" t="n">
        <v>0</v>
      </c>
      <c r="Q30" s="18" t="n">
        <v>19.318598</v>
      </c>
      <c r="R30" s="20" t="n">
        <v>2.6389825</v>
      </c>
    </row>
    <row r="31" spans="1:18">
      <c r="A31" s="15" t="s">
        <v>455</v>
      </c>
      <c r="B31" s="17" t="n">
        <v>2750</v>
      </c>
      <c r="C31" s="18">
        <f>(2414.0/B31*100)</f>
        <v/>
      </c>
      <c r="D31" s="19" t="n">
        <v>336</v>
      </c>
      <c r="E31" s="18" t="n">
        <v>32.58305776</v>
      </c>
      <c r="F31" s="20" t="n">
        <v>2.87336948</v>
      </c>
      <c r="G31" s="18" t="n">
        <v>52.10116231</v>
      </c>
      <c r="H31" s="20" t="n">
        <v>2.57742637</v>
      </c>
      <c r="I31" s="18" t="s">
        <v>431</v>
      </c>
      <c r="J31" s="20" t="s">
        <v>431</v>
      </c>
      <c r="K31" s="18" t="n">
        <v>0.87880517</v>
      </c>
      <c r="L31" s="20" t="n">
        <v>0.45338625</v>
      </c>
      <c r="M31" s="18" t="n">
        <v>0</v>
      </c>
      <c r="N31" s="20" t="n">
        <v>0</v>
      </c>
      <c r="O31" s="18" t="n">
        <v>0</v>
      </c>
      <c r="P31" s="20" t="n">
        <v>0</v>
      </c>
      <c r="Q31" s="18" t="n">
        <v>14.43697476</v>
      </c>
      <c r="R31" s="20" t="n">
        <v>2.08154692</v>
      </c>
    </row>
    <row r="32" spans="1:18">
      <c r="A32" s="15" t="s">
        <v>456</v>
      </c>
      <c r="B32" s="17" t="n">
        <v>2269</v>
      </c>
      <c r="C32" s="18">
        <f>(1898.0/B32*100)</f>
        <v/>
      </c>
      <c r="D32" s="19" t="n">
        <v>371</v>
      </c>
      <c r="E32" s="18" t="n">
        <v>37.40694134</v>
      </c>
      <c r="F32" s="20" t="n">
        <v>2.39230351</v>
      </c>
      <c r="G32" s="18" t="n">
        <v>48.04081996</v>
      </c>
      <c r="H32" s="20" t="n">
        <v>2.58820638</v>
      </c>
      <c r="I32" s="18" t="s">
        <v>431</v>
      </c>
      <c r="J32" s="20" t="s">
        <v>431</v>
      </c>
      <c r="K32" s="18" t="n">
        <v>0.49327152</v>
      </c>
      <c r="L32" s="20" t="n">
        <v>0.02880497</v>
      </c>
      <c r="M32" s="18" t="n">
        <v>0</v>
      </c>
      <c r="N32" s="20" t="n">
        <v>0</v>
      </c>
      <c r="O32" s="18" t="n">
        <v>0</v>
      </c>
      <c r="P32" s="20" t="n">
        <v>0</v>
      </c>
      <c r="Q32" s="18" t="n">
        <v>14.05896718</v>
      </c>
      <c r="R32" s="20" t="n">
        <v>2.09762539</v>
      </c>
    </row>
    <row r="33" spans="1:18">
      <c r="A33" s="15" t="s">
        <v>457</v>
      </c>
      <c r="B33" s="17" t="n">
        <v>3674</v>
      </c>
      <c r="C33" s="18">
        <f>(3224.0/B33*100)</f>
        <v/>
      </c>
      <c r="D33" s="19" t="n">
        <v>450</v>
      </c>
      <c r="E33" s="18" t="n">
        <v>44.6793919</v>
      </c>
      <c r="F33" s="20" t="n">
        <v>2.57456179</v>
      </c>
      <c r="G33" s="18" t="n">
        <v>44.01226562</v>
      </c>
      <c r="H33" s="20" t="n">
        <v>2.7741803</v>
      </c>
      <c r="I33" s="18" t="s">
        <v>431</v>
      </c>
      <c r="J33" s="20" t="s">
        <v>431</v>
      </c>
      <c r="K33" s="18" t="n">
        <v>0.03129119</v>
      </c>
      <c r="L33" s="20" t="n">
        <v>0.03325962</v>
      </c>
      <c r="M33" s="18" t="n">
        <v>0</v>
      </c>
      <c r="N33" s="20" t="n">
        <v>0</v>
      </c>
      <c r="O33" s="18" t="n">
        <v>0</v>
      </c>
      <c r="P33" s="20" t="n">
        <v>0</v>
      </c>
      <c r="Q33" s="18" t="n">
        <v>11.27705128</v>
      </c>
      <c r="R33" s="20" t="n">
        <v>1.72699592</v>
      </c>
    </row>
    <row r="34" spans="1:18">
      <c r="A34" s="15" t="s">
        <v>458</v>
      </c>
      <c r="B34" s="17" t="n">
        <v>3315</v>
      </c>
      <c r="C34" s="18">
        <f>(2932.0/B34*100)</f>
        <v/>
      </c>
      <c r="D34" s="19" t="n">
        <v>383</v>
      </c>
      <c r="E34" s="18" t="n">
        <v>55.24932659</v>
      </c>
      <c r="F34" s="20" t="n">
        <v>2.66921242</v>
      </c>
      <c r="G34" s="18" t="n">
        <v>26.67579626</v>
      </c>
      <c r="H34" s="20" t="n">
        <v>2.4210221</v>
      </c>
      <c r="I34" s="18" t="s">
        <v>431</v>
      </c>
      <c r="J34" s="20" t="s">
        <v>431</v>
      </c>
      <c r="K34" s="18" t="n">
        <v>0.08491173</v>
      </c>
      <c r="L34" s="20" t="n">
        <v>0.08552475</v>
      </c>
      <c r="M34" s="18" t="n">
        <v>0</v>
      </c>
      <c r="N34" s="20" t="n">
        <v>0</v>
      </c>
      <c r="O34" s="18" t="n">
        <v>0</v>
      </c>
      <c r="P34" s="20" t="n">
        <v>0</v>
      </c>
      <c r="Q34" s="18" t="n">
        <v>17.98996542</v>
      </c>
      <c r="R34" s="20" t="n">
        <v>2.015942</v>
      </c>
    </row>
    <row r="35" spans="1:18">
      <c r="A35" s="15" t="s">
        <v>459</v>
      </c>
      <c r="B35" s="17" t="n">
        <v>3505</v>
      </c>
      <c r="C35" s="18">
        <f>(3098.0/B35*100)</f>
        <v/>
      </c>
      <c r="D35" s="19" t="n">
        <v>407</v>
      </c>
      <c r="E35" s="18" t="n">
        <v>41.63004085</v>
      </c>
      <c r="F35" s="20" t="n">
        <v>2.99215558</v>
      </c>
      <c r="G35" s="18" t="n">
        <v>45.60702561</v>
      </c>
      <c r="H35" s="20" t="n">
        <v>3.62141842</v>
      </c>
      <c r="I35" s="18" t="s">
        <v>431</v>
      </c>
      <c r="J35" s="20" t="s">
        <v>431</v>
      </c>
      <c r="K35" s="18" t="n">
        <v>0.69353463</v>
      </c>
      <c r="L35" s="20" t="n">
        <v>0.37114114</v>
      </c>
      <c r="M35" s="18" t="n">
        <v>0</v>
      </c>
      <c r="N35" s="20" t="n">
        <v>0</v>
      </c>
      <c r="O35" s="18" t="n">
        <v>0</v>
      </c>
      <c r="P35" s="20" t="n">
        <v>0</v>
      </c>
      <c r="Q35" s="18" t="n">
        <v>12.06939891</v>
      </c>
      <c r="R35" s="20" t="n">
        <v>1.95335601</v>
      </c>
    </row>
    <row r="36" spans="1:18">
      <c r="A36" s="15" t="s">
        <v>460</v>
      </c>
      <c r="B36" s="17" t="n">
        <v>3332</v>
      </c>
      <c r="C36" s="18">
        <f>(2921.0/B36*100)</f>
        <v/>
      </c>
      <c r="D36" s="19" t="n">
        <v>411</v>
      </c>
      <c r="E36" s="18" t="n">
        <v>43.62425641</v>
      </c>
      <c r="F36" s="20" t="n">
        <v>3.03296834</v>
      </c>
      <c r="G36" s="18" t="n">
        <v>37.50871189</v>
      </c>
      <c r="H36" s="20" t="n">
        <v>2.78878737</v>
      </c>
      <c r="I36" s="18" t="s">
        <v>431</v>
      </c>
      <c r="J36" s="20" t="s">
        <v>431</v>
      </c>
      <c r="K36" s="18" t="n">
        <v>0.93609487</v>
      </c>
      <c r="L36" s="20" t="n">
        <v>0.39801985</v>
      </c>
      <c r="M36" s="18" t="n">
        <v>0</v>
      </c>
      <c r="N36" s="20" t="n">
        <v>0</v>
      </c>
      <c r="O36" s="18" t="n">
        <v>0</v>
      </c>
      <c r="P36" s="20" t="n">
        <v>0</v>
      </c>
      <c r="Q36" s="18" t="n">
        <v>17.93093683</v>
      </c>
      <c r="R36" s="20" t="n">
        <v>1.97560702</v>
      </c>
    </row>
    <row r="37" spans="1:18">
      <c r="A37" s="15" t="s">
        <v>461</v>
      </c>
      <c r="B37" s="17" t="n">
        <v>2727</v>
      </c>
      <c r="C37" s="18">
        <f>(2389.0/B37*100)</f>
        <v/>
      </c>
      <c r="D37" s="19" t="n">
        <v>338</v>
      </c>
      <c r="E37" s="18" t="n">
        <v>41.00820671</v>
      </c>
      <c r="F37" s="20" t="n">
        <v>2.36027284</v>
      </c>
      <c r="G37" s="18" t="n">
        <v>42.69734314</v>
      </c>
      <c r="H37" s="20" t="n">
        <v>2.76631027</v>
      </c>
      <c r="I37" s="18" t="s">
        <v>431</v>
      </c>
      <c r="J37" s="20" t="s">
        <v>431</v>
      </c>
      <c r="K37" s="18" t="n">
        <v>0.8029433</v>
      </c>
      <c r="L37" s="20" t="n">
        <v>0.50124671</v>
      </c>
      <c r="M37" s="18" t="n">
        <v>0</v>
      </c>
      <c r="N37" s="20" t="n">
        <v>0</v>
      </c>
      <c r="O37" s="18" t="n">
        <v>0</v>
      </c>
      <c r="P37" s="20" t="n">
        <v>0</v>
      </c>
      <c r="Q37" s="18" t="n">
        <v>15.49150685</v>
      </c>
      <c r="R37" s="20" t="n">
        <v>2.16933311</v>
      </c>
    </row>
    <row r="38" spans="1:18">
      <c r="A38" s="15" t="s">
        <v>462</v>
      </c>
      <c r="B38" s="17" t="n">
        <v>3053</v>
      </c>
      <c r="C38" s="18">
        <f>(2535.0/B38*100)</f>
        <v/>
      </c>
      <c r="D38" s="19" t="n">
        <v>518</v>
      </c>
      <c r="E38" s="18" t="n">
        <v>36.89721194</v>
      </c>
      <c r="F38" s="20" t="n">
        <v>2.41839044</v>
      </c>
      <c r="G38" s="18" t="n">
        <v>47.92340973</v>
      </c>
      <c r="H38" s="20" t="n">
        <v>2.42161055</v>
      </c>
      <c r="I38" s="18" t="s">
        <v>431</v>
      </c>
      <c r="J38" s="20" t="s">
        <v>431</v>
      </c>
      <c r="K38" s="18" t="n">
        <v>1.58540021</v>
      </c>
      <c r="L38" s="20" t="n">
        <v>0.68211318</v>
      </c>
      <c r="M38" s="18" t="n">
        <v>0</v>
      </c>
      <c r="N38" s="20" t="n">
        <v>0</v>
      </c>
      <c r="O38" s="18" t="n">
        <v>0</v>
      </c>
      <c r="P38" s="20" t="n">
        <v>0</v>
      </c>
      <c r="Q38" s="18" t="n">
        <v>13.59397813</v>
      </c>
      <c r="R38" s="20" t="n">
        <v>1.53034996</v>
      </c>
    </row>
    <row r="39" spans="1:18">
      <c r="A39" s="15" t="s">
        <v>463</v>
      </c>
      <c r="B39" s="17" t="n">
        <v>2957</v>
      </c>
      <c r="C39" s="18">
        <f>(2595.0/B39*100)</f>
        <v/>
      </c>
      <c r="D39" s="19" t="n">
        <v>362</v>
      </c>
      <c r="E39" s="18" t="n">
        <v>57.71513218</v>
      </c>
      <c r="F39" s="20" t="n">
        <v>2.70117401</v>
      </c>
      <c r="G39" s="18" t="n">
        <v>29.33409281</v>
      </c>
      <c r="H39" s="20" t="n">
        <v>2.84014854</v>
      </c>
      <c r="I39" s="18" t="s">
        <v>431</v>
      </c>
      <c r="J39" s="20" t="s">
        <v>431</v>
      </c>
      <c r="K39" s="18" t="n">
        <v>0.19523449</v>
      </c>
      <c r="L39" s="20" t="n">
        <v>0.19767657</v>
      </c>
      <c r="M39" s="18" t="n">
        <v>0</v>
      </c>
      <c r="N39" s="20" t="n">
        <v>0</v>
      </c>
      <c r="O39" s="18" t="n">
        <v>0</v>
      </c>
      <c r="P39" s="20" t="n">
        <v>0</v>
      </c>
      <c r="Q39" s="18" t="n">
        <v>12.75554052</v>
      </c>
      <c r="R39" s="20" t="n">
        <v>1.81734052</v>
      </c>
    </row>
    <row r="40" spans="1:18">
      <c r="A40" s="15" t="s">
        <v>464</v>
      </c>
      <c r="B40" s="17" t="n">
        <v>7235</v>
      </c>
      <c r="C40" s="18">
        <f>(6379.0/B40*100)</f>
        <v/>
      </c>
      <c r="D40" s="19" t="n">
        <v>856</v>
      </c>
      <c r="E40" s="18" t="n">
        <v>30.83407357</v>
      </c>
      <c r="F40" s="20" t="n">
        <v>2.71314107</v>
      </c>
      <c r="G40" s="18" t="n">
        <v>49.80390174</v>
      </c>
      <c r="H40" s="20" t="n">
        <v>2.81686463</v>
      </c>
      <c r="I40" s="18" t="s">
        <v>431</v>
      </c>
      <c r="J40" s="20" t="s">
        <v>431</v>
      </c>
      <c r="K40" s="18" t="n">
        <v>0.8202456299999999</v>
      </c>
      <c r="L40" s="20" t="n">
        <v>0.50315688</v>
      </c>
      <c r="M40" s="18" t="n">
        <v>0</v>
      </c>
      <c r="N40" s="20" t="n">
        <v>0</v>
      </c>
      <c r="O40" s="18" t="n">
        <v>0</v>
      </c>
      <c r="P40" s="20" t="n">
        <v>0</v>
      </c>
      <c r="Q40" s="18" t="n">
        <v>18.54177906</v>
      </c>
      <c r="R40" s="20" t="n">
        <v>2.01647588</v>
      </c>
    </row>
    <row r="41" spans="1:18">
      <c r="A41" s="15" t="s">
        <v>465</v>
      </c>
      <c r="B41" s="17" t="n">
        <v>2858</v>
      </c>
      <c r="C41" s="18">
        <f>(2509.0/B41*100)</f>
        <v/>
      </c>
      <c r="D41" s="19" t="n">
        <v>349</v>
      </c>
      <c r="E41" s="18" t="n">
        <v>53.71719931</v>
      </c>
      <c r="F41" s="20" t="n">
        <v>2.773979</v>
      </c>
      <c r="G41" s="18" t="n">
        <v>41.13420675</v>
      </c>
      <c r="H41" s="20" t="n">
        <v>2.97376789</v>
      </c>
      <c r="I41" s="18" t="s">
        <v>431</v>
      </c>
      <c r="J41" s="20" t="s">
        <v>431</v>
      </c>
      <c r="K41" s="18" t="n">
        <v>0</v>
      </c>
      <c r="L41" s="20" t="n">
        <v>0</v>
      </c>
      <c r="M41" s="18" t="n">
        <v>0</v>
      </c>
      <c r="N41" s="20" t="n">
        <v>0</v>
      </c>
      <c r="O41" s="18" t="n">
        <v>0</v>
      </c>
      <c r="P41" s="20" t="n">
        <v>0</v>
      </c>
      <c r="Q41" s="18" t="n">
        <v>5.14859394</v>
      </c>
      <c r="R41" s="20" t="n">
        <v>1.14757157</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(9897.0/B46*100)</f>
        <v/>
      </c>
      <c r="D46" s="19" t="n">
        <v>1171</v>
      </c>
      <c r="E46" s="18" t="n">
        <v>45.33926058</v>
      </c>
      <c r="F46" s="20" t="n">
        <v>1.77507588</v>
      </c>
      <c r="G46" s="18" t="n">
        <v>30.17235404</v>
      </c>
      <c r="H46" s="20" t="n">
        <v>1.81276383</v>
      </c>
      <c r="I46" s="18" t="s">
        <v>431</v>
      </c>
      <c r="J46" s="20" t="s">
        <v>431</v>
      </c>
      <c r="K46" s="18" t="n">
        <v>1.16926613</v>
      </c>
      <c r="L46" s="20" t="n">
        <v>0.48060279</v>
      </c>
      <c r="M46" s="18" t="n">
        <v>0</v>
      </c>
      <c r="N46" s="20" t="n">
        <v>0</v>
      </c>
      <c r="O46" s="18" t="n">
        <v>0</v>
      </c>
      <c r="P46" s="20" t="n">
        <v>0</v>
      </c>
      <c r="Q46" s="18" t="n">
        <v>23.31911925</v>
      </c>
      <c r="R46" s="20" t="n">
        <v>1.91220684</v>
      </c>
    </row>
    <row r="47" spans="1:18">
      <c r="A47" s="15" t="s">
        <v>471</v>
      </c>
      <c r="B47" s="17" t="n">
        <v>3105</v>
      </c>
      <c r="C47" s="18">
        <f>(2757.0/B47*100)</f>
        <v/>
      </c>
      <c r="D47" s="19" t="n">
        <v>348</v>
      </c>
      <c r="E47" s="18" t="n">
        <v>58.76179295</v>
      </c>
      <c r="F47" s="20" t="n">
        <v>2.67026677</v>
      </c>
      <c r="G47" s="18" t="n">
        <v>19.17852475</v>
      </c>
      <c r="H47" s="20" t="n">
        <v>2.25348659</v>
      </c>
      <c r="I47" s="18" t="s">
        <v>431</v>
      </c>
      <c r="J47" s="20" t="s">
        <v>431</v>
      </c>
      <c r="K47" s="18" t="n">
        <v>0</v>
      </c>
      <c r="L47" s="20" t="n">
        <v>0</v>
      </c>
      <c r="M47" s="18" t="n">
        <v>0</v>
      </c>
      <c r="N47" s="20" t="n">
        <v>0</v>
      </c>
      <c r="O47" s="18" t="n">
        <v>0</v>
      </c>
      <c r="P47" s="20" t="n">
        <v>0</v>
      </c>
      <c r="Q47" s="18" t="n">
        <v>22.05968231</v>
      </c>
      <c r="R47" s="20" t="n">
        <v>2.37795823</v>
      </c>
    </row>
    <row r="48" spans="1:18">
      <c r="A48" s="15" t="s">
        <v>472</v>
      </c>
      <c r="B48" s="17" t="n">
        <v>5159</v>
      </c>
      <c r="C48" s="18">
        <f>(4522.0/B48*100)</f>
        <v/>
      </c>
      <c r="D48" s="19" t="n">
        <v>637</v>
      </c>
      <c r="E48" s="18" t="n">
        <v>59.69075232</v>
      </c>
      <c r="F48" s="20" t="n">
        <v>2.33230816</v>
      </c>
      <c r="G48" s="18" t="n">
        <v>28.56374388</v>
      </c>
      <c r="H48" s="20" t="n">
        <v>2.24814575</v>
      </c>
      <c r="I48" s="18" t="s">
        <v>431</v>
      </c>
      <c r="J48" s="20" t="s">
        <v>431</v>
      </c>
      <c r="K48" s="18" t="n">
        <v>1.35491377</v>
      </c>
      <c r="L48" s="20" t="n">
        <v>0.82546971</v>
      </c>
      <c r="M48" s="18" t="n">
        <v>0</v>
      </c>
      <c r="N48" s="20" t="n">
        <v>0</v>
      </c>
      <c r="O48" s="18" t="n">
        <v>0</v>
      </c>
      <c r="P48" s="20" t="n">
        <v>0</v>
      </c>
      <c r="Q48" s="18" t="n">
        <v>10.39059004</v>
      </c>
      <c r="R48" s="20" t="n">
        <v>1.67104147</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(4974.0/B50*100)</f>
        <v/>
      </c>
      <c r="D50" s="19" t="n">
        <v>663</v>
      </c>
      <c r="E50" s="18" t="n">
        <v>55.52933833</v>
      </c>
      <c r="F50" s="20" t="n">
        <v>2.82386716</v>
      </c>
      <c r="G50" s="18" t="n">
        <v>30.25462627</v>
      </c>
      <c r="H50" s="20" t="n">
        <v>2.49852079</v>
      </c>
      <c r="I50" s="18" t="s">
        <v>431</v>
      </c>
      <c r="J50" s="20" t="s">
        <v>431</v>
      </c>
      <c r="K50" s="18" t="n">
        <v>0.79530573</v>
      </c>
      <c r="L50" s="20" t="n">
        <v>0.40711778</v>
      </c>
      <c r="M50" s="18" t="n">
        <v>0</v>
      </c>
      <c r="N50" s="20" t="n">
        <v>0</v>
      </c>
      <c r="O50" s="18" t="n">
        <v>0</v>
      </c>
      <c r="P50" s="20" t="n">
        <v>0</v>
      </c>
      <c r="Q50" s="18" t="n">
        <v>13.42072967</v>
      </c>
      <c r="R50" s="20" t="n">
        <v>1.7022809</v>
      </c>
    </row>
    <row r="51" spans="1:18">
      <c r="A51" s="15" t="s">
        <v>475</v>
      </c>
      <c r="B51" s="17" t="n">
        <v>3372</v>
      </c>
      <c r="C51" s="18">
        <f>(3022.0/B51*100)</f>
        <v/>
      </c>
      <c r="D51" s="19" t="n">
        <v>350</v>
      </c>
      <c r="E51" s="18" t="n">
        <v>58.77744111</v>
      </c>
      <c r="F51" s="20" t="n">
        <v>2.93144003</v>
      </c>
      <c r="G51" s="18" t="n">
        <v>22.81260312</v>
      </c>
      <c r="H51" s="20" t="n">
        <v>2.40878724</v>
      </c>
      <c r="I51" s="18" t="s">
        <v>431</v>
      </c>
      <c r="J51" s="20" t="s">
        <v>431</v>
      </c>
      <c r="K51" s="18" t="n">
        <v>0.8746935</v>
      </c>
      <c r="L51" s="20" t="n">
        <v>0.58469121</v>
      </c>
      <c r="M51" s="18" t="n">
        <v>0</v>
      </c>
      <c r="N51" s="20" t="n">
        <v>0</v>
      </c>
      <c r="O51" s="18" t="n">
        <v>0</v>
      </c>
      <c r="P51" s="20" t="n">
        <v>0</v>
      </c>
      <c r="Q51" s="18" t="n">
        <v>17.53526227</v>
      </c>
      <c r="R51" s="20" t="n">
        <v>2.06414253</v>
      </c>
    </row>
    <row r="52" spans="1:18">
      <c r="A52" s="15" t="s">
        <v>476</v>
      </c>
      <c r="B52" s="17" t="n">
        <v>2796</v>
      </c>
      <c r="C52" s="18">
        <f>(2449.0/B52*100)</f>
        <v/>
      </c>
      <c r="D52" s="19" t="n">
        <v>347</v>
      </c>
      <c r="E52" s="18" t="n">
        <v>44.40766499</v>
      </c>
      <c r="F52" s="20" t="n">
        <v>2.61626819</v>
      </c>
      <c r="G52" s="18" t="n">
        <v>37.33607669</v>
      </c>
      <c r="H52" s="20" t="n">
        <v>2.89280672</v>
      </c>
      <c r="I52" s="18" t="s">
        <v>431</v>
      </c>
      <c r="J52" s="20" t="s">
        <v>431</v>
      </c>
      <c r="K52" s="18" t="n">
        <v>0.26412632</v>
      </c>
      <c r="L52" s="20" t="n">
        <v>0.26356042</v>
      </c>
      <c r="M52" s="18" t="n">
        <v>0</v>
      </c>
      <c r="N52" s="20" t="n">
        <v>0</v>
      </c>
      <c r="O52" s="18" t="n">
        <v>0</v>
      </c>
      <c r="P52" s="20" t="n">
        <v>0</v>
      </c>
      <c r="Q52" s="18" t="n">
        <v>17.992132</v>
      </c>
      <c r="R52" s="20" t="n">
        <v>1.91789425</v>
      </c>
    </row>
    <row r="53" spans="1:18">
      <c r="A53" s="15" t="s">
        <v>477</v>
      </c>
      <c r="B53" s="17" t="n">
        <v>2811</v>
      </c>
      <c r="C53" s="18">
        <f>(2471.0/B53*100)</f>
        <v/>
      </c>
      <c r="D53" s="19" t="n">
        <v>340</v>
      </c>
      <c r="E53" s="18" t="n">
        <v>43.03599431</v>
      </c>
      <c r="F53" s="20" t="n">
        <v>2.84002203</v>
      </c>
      <c r="G53" s="18" t="n">
        <v>32.50620375</v>
      </c>
      <c r="H53" s="20" t="n">
        <v>2.40550735</v>
      </c>
      <c r="I53" s="18" t="s">
        <v>431</v>
      </c>
      <c r="J53" s="20" t="s">
        <v>431</v>
      </c>
      <c r="K53" s="18" t="n">
        <v>0.43056435</v>
      </c>
      <c r="L53" s="20" t="n">
        <v>0.43753629</v>
      </c>
      <c r="M53" s="18" t="n">
        <v>0</v>
      </c>
      <c r="N53" s="20" t="n">
        <v>0</v>
      </c>
      <c r="O53" s="18" t="n">
        <v>0</v>
      </c>
      <c r="P53" s="20" t="n">
        <v>0</v>
      </c>
      <c r="Q53" s="18" t="n">
        <v>24.02723759</v>
      </c>
      <c r="R53" s="20" t="n">
        <v>2.35667983</v>
      </c>
    </row>
    <row r="54" spans="1:18">
      <c r="A54" s="15" t="s">
        <v>478</v>
      </c>
      <c r="B54" s="17" t="n">
        <v>2266</v>
      </c>
      <c r="C54" s="18">
        <f>(1904.0/B54*100)</f>
        <v/>
      </c>
      <c r="D54" s="19" t="n">
        <v>362</v>
      </c>
      <c r="E54" s="18" t="n">
        <v>48.54610993</v>
      </c>
      <c r="F54" s="20" t="n">
        <v>2.73890464</v>
      </c>
      <c r="G54" s="18" t="n">
        <v>13.13899847</v>
      </c>
      <c r="H54" s="20" t="n">
        <v>1.71087009</v>
      </c>
      <c r="I54" s="18" t="s">
        <v>431</v>
      </c>
      <c r="J54" s="20" t="s">
        <v>431</v>
      </c>
      <c r="K54" s="18" t="n">
        <v>8.648068840000001</v>
      </c>
      <c r="L54" s="20" t="n">
        <v>1.95980179</v>
      </c>
      <c r="M54" s="18" t="n">
        <v>0</v>
      </c>
      <c r="N54" s="20" t="n">
        <v>0</v>
      </c>
      <c r="O54" s="18" t="n">
        <v>0</v>
      </c>
      <c r="P54" s="20" t="n">
        <v>0</v>
      </c>
      <c r="Q54" s="18" t="n">
        <v>29.66682276</v>
      </c>
      <c r="R54" s="20" t="n">
        <v>2.29807599</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(2343.0/B56*100)</f>
        <v/>
      </c>
      <c r="D56" s="19" t="n">
        <v>341</v>
      </c>
      <c r="E56" s="18" t="n">
        <v>49.09815502</v>
      </c>
      <c r="F56" s="20" t="n">
        <v>2.53629169</v>
      </c>
      <c r="G56" s="18" t="n">
        <v>41.09664211</v>
      </c>
      <c r="H56" s="20" t="n">
        <v>2.91820759</v>
      </c>
      <c r="I56" s="18" t="s">
        <v>431</v>
      </c>
      <c r="J56" s="20" t="s">
        <v>431</v>
      </c>
      <c r="K56" s="18" t="n">
        <v>0.50900394</v>
      </c>
      <c r="L56" s="20" t="n">
        <v>0.36158102</v>
      </c>
      <c r="M56" s="18" t="n">
        <v>0</v>
      </c>
      <c r="N56" s="20" t="n">
        <v>0</v>
      </c>
      <c r="O56" s="18" t="n">
        <v>0</v>
      </c>
      <c r="P56" s="20" t="n">
        <v>0</v>
      </c>
      <c r="Q56" s="18" t="n">
        <v>9.296198929999999</v>
      </c>
      <c r="R56" s="20" t="n">
        <v>1.59831375</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(2943.0/B61*100)</f>
        <v/>
      </c>
      <c r="D61" s="19" t="n">
        <v>381</v>
      </c>
      <c r="E61" s="18" t="n">
        <v>50.19710487</v>
      </c>
      <c r="F61" s="20" t="n">
        <v>2.58022965</v>
      </c>
      <c r="G61" s="18" t="n">
        <v>33.08423433</v>
      </c>
      <c r="H61" s="20" t="n">
        <v>2.16236404</v>
      </c>
      <c r="I61" s="18" t="s">
        <v>431</v>
      </c>
      <c r="J61" s="20" t="s">
        <v>431</v>
      </c>
      <c r="K61" s="18" t="n">
        <v>0.39031258</v>
      </c>
      <c r="L61" s="20" t="n">
        <v>0.34579791</v>
      </c>
      <c r="M61" s="18" t="n">
        <v>0</v>
      </c>
      <c r="N61" s="20" t="n">
        <v>0</v>
      </c>
      <c r="O61" s="18" t="n">
        <v>0</v>
      </c>
      <c r="P61" s="20" t="n">
        <v>0</v>
      </c>
      <c r="Q61" s="18" t="n">
        <v>16.32834822</v>
      </c>
      <c r="R61" s="20" t="n">
        <v>2.06380264</v>
      </c>
    </row>
    <row r="62" spans="1:18">
      <c r="A62" s="15" t="s">
        <v>486</v>
      </c>
      <c r="B62" s="17" t="n">
        <v>2246</v>
      </c>
      <c r="C62" s="18">
        <f>(1951.0/B62*100)</f>
        <v/>
      </c>
      <c r="D62" s="19" t="n">
        <v>295</v>
      </c>
      <c r="E62" s="18" t="n">
        <v>62.34776832</v>
      </c>
      <c r="F62" s="20" t="n">
        <v>2.94875882</v>
      </c>
      <c r="G62" s="18" t="n">
        <v>31.87638751</v>
      </c>
      <c r="H62" s="20" t="n">
        <v>2.8489693</v>
      </c>
      <c r="I62" s="18" t="s">
        <v>431</v>
      </c>
      <c r="J62" s="20" t="s">
        <v>431</v>
      </c>
      <c r="K62" s="18" t="n">
        <v>0.34833814</v>
      </c>
      <c r="L62" s="20" t="n">
        <v>0.34614501</v>
      </c>
      <c r="M62" s="18" t="n">
        <v>0</v>
      </c>
      <c r="N62" s="20" t="n">
        <v>0</v>
      </c>
      <c r="O62" s="18" t="n">
        <v>0</v>
      </c>
      <c r="P62" s="20" t="n">
        <v>0</v>
      </c>
      <c r="Q62" s="18" t="n">
        <v>5.42750603</v>
      </c>
      <c r="R62" s="20" t="n">
        <v>1.28470725</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(2545.0/B66*100)</f>
        <v/>
      </c>
      <c r="D66" s="19" t="n">
        <v>349</v>
      </c>
      <c r="E66" s="18" t="n">
        <v>35.63444003</v>
      </c>
      <c r="F66" s="20" t="n">
        <v>2.90072303</v>
      </c>
      <c r="G66" s="18" t="n">
        <v>16.59003591</v>
      </c>
      <c r="H66" s="20" t="n">
        <v>2.20672555</v>
      </c>
      <c r="I66" s="18" t="s">
        <v>431</v>
      </c>
      <c r="J66" s="20" t="s">
        <v>431</v>
      </c>
      <c r="K66" s="18" t="n">
        <v>2.22875677</v>
      </c>
      <c r="L66" s="20" t="n">
        <v>0.8955386400000001</v>
      </c>
      <c r="M66" s="18" t="n">
        <v>0</v>
      </c>
      <c r="N66" s="20" t="n">
        <v>0</v>
      </c>
      <c r="O66" s="18" t="n">
        <v>0</v>
      </c>
      <c r="P66" s="20" t="n">
        <v>0</v>
      </c>
      <c r="Q66" s="18" t="n">
        <v>45.54676729</v>
      </c>
      <c r="R66" s="20" t="n">
        <v>2.98974506</v>
      </c>
    </row>
    <row r="67" spans="1:18">
      <c r="A67" s="15" t="s">
        <v>491</v>
      </c>
      <c r="B67" s="17" t="n">
        <v>3511</v>
      </c>
      <c r="C67" s="18">
        <f>(3100.0/B67*100)</f>
        <v/>
      </c>
      <c r="D67" s="19" t="n">
        <v>411</v>
      </c>
      <c r="E67" s="18" t="n">
        <v>65.29734637</v>
      </c>
      <c r="F67" s="20" t="n">
        <v>2.52701636</v>
      </c>
      <c r="G67" s="18" t="n">
        <v>16.70185832</v>
      </c>
      <c r="H67" s="20" t="n">
        <v>1.91057764</v>
      </c>
      <c r="I67" s="18" t="s">
        <v>431</v>
      </c>
      <c r="J67" s="20" t="s">
        <v>431</v>
      </c>
      <c r="K67" s="18" t="n">
        <v>0.18447797</v>
      </c>
      <c r="L67" s="20" t="n">
        <v>0.18352449</v>
      </c>
      <c r="M67" s="18" t="n">
        <v>0</v>
      </c>
      <c r="N67" s="20" t="n">
        <v>0</v>
      </c>
      <c r="O67" s="18" t="n">
        <v>0</v>
      </c>
      <c r="P67" s="20" t="n">
        <v>0</v>
      </c>
      <c r="Q67" s="18" t="n">
        <v>17.81631734</v>
      </c>
      <c r="R67" s="20" t="n">
        <v>2.21616533</v>
      </c>
    </row>
    <row r="68" spans="1:18">
      <c r="A68" s="15" t="s">
        <v>492</v>
      </c>
      <c r="B68" s="17" t="n">
        <v>6049</v>
      </c>
      <c r="C68" s="18">
        <f>(5037.0/B68*100)</f>
        <v/>
      </c>
      <c r="D68" s="19" t="n">
        <v>1012</v>
      </c>
      <c r="E68" s="18" t="n">
        <v>56.47461852</v>
      </c>
      <c r="F68" s="20" t="n">
        <v>1.47625452</v>
      </c>
      <c r="G68" s="18" t="n">
        <v>18.99967955</v>
      </c>
      <c r="H68" s="20" t="n">
        <v>1.33216297</v>
      </c>
      <c r="I68" s="18" t="s">
        <v>431</v>
      </c>
      <c r="J68" s="20" t="s">
        <v>431</v>
      </c>
      <c r="K68" s="18" t="n">
        <v>3.42635318</v>
      </c>
      <c r="L68" s="20" t="n">
        <v>0.60576198</v>
      </c>
      <c r="M68" s="18" t="n">
        <v>0</v>
      </c>
      <c r="N68" s="20" t="n">
        <v>0</v>
      </c>
      <c r="O68" s="18" t="n">
        <v>0</v>
      </c>
      <c r="P68" s="20" t="n">
        <v>0</v>
      </c>
      <c r="Q68" s="18" t="n">
        <v>21.09934875</v>
      </c>
      <c r="R68" s="20" t="n">
        <v>1.1923997</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(2573.0/B70*100)</f>
        <v/>
      </c>
      <c r="D70" s="19" t="n">
        <v>356</v>
      </c>
      <c r="E70" s="18" t="n">
        <v>44.77486924</v>
      </c>
      <c r="F70" s="20" t="n">
        <v>3.76924629</v>
      </c>
      <c r="G70" s="18" t="n">
        <v>40.29975393</v>
      </c>
      <c r="H70" s="20" t="n">
        <v>3.31457567</v>
      </c>
      <c r="I70" s="18" t="s">
        <v>431</v>
      </c>
      <c r="J70" s="20" t="s">
        <v>431</v>
      </c>
      <c r="K70" s="18" t="n">
        <v>0</v>
      </c>
      <c r="L70" s="20" t="n">
        <v>0</v>
      </c>
      <c r="M70" s="18" t="n">
        <v>0</v>
      </c>
      <c r="N70" s="20" t="n">
        <v>0</v>
      </c>
      <c r="O70" s="18" t="n">
        <v>0</v>
      </c>
      <c r="P70" s="20" t="n">
        <v>0</v>
      </c>
      <c r="Q70" s="18" t="n">
        <v>14.92537684</v>
      </c>
      <c r="R70" s="20" t="n">
        <v>1.6648137</v>
      </c>
    </row>
    <row r="71" spans="1:18">
      <c r="A71" s="15" t="s">
        <v>495</v>
      </c>
      <c r="B71" s="17" t="n">
        <v>3142</v>
      </c>
      <c r="C71" s="18">
        <f>(2750.0/B71*100)</f>
        <v/>
      </c>
      <c r="D71" s="19" t="n">
        <v>392</v>
      </c>
      <c r="E71" s="18" t="n">
        <v>38.69093251</v>
      </c>
      <c r="F71" s="20" t="n">
        <v>2.45912206</v>
      </c>
      <c r="G71" s="18" t="n">
        <v>55.6436186</v>
      </c>
      <c r="H71" s="20" t="n">
        <v>2.49266603</v>
      </c>
      <c r="I71" s="18" t="s">
        <v>431</v>
      </c>
      <c r="J71" s="20" t="s">
        <v>431</v>
      </c>
      <c r="K71" s="18" t="n">
        <v>0.23156256</v>
      </c>
      <c r="L71" s="20" t="n">
        <v>0.23458441</v>
      </c>
      <c r="M71" s="18" t="n">
        <v>0</v>
      </c>
      <c r="N71" s="20" t="n">
        <v>0</v>
      </c>
      <c r="O71" s="18" t="n">
        <v>0</v>
      </c>
      <c r="P71" s="20" t="n">
        <v>0</v>
      </c>
      <c r="Q71" s="18" t="n">
        <v>5.43388632</v>
      </c>
      <c r="R71" s="20" t="n">
        <v>1.2163365</v>
      </c>
    </row>
    <row r="72" spans="1:18">
      <c r="A72" s="15" t="s">
        <v>496</v>
      </c>
      <c r="B72" s="17" t="n">
        <v>3889</v>
      </c>
      <c r="C72" s="18">
        <f>(3407.0/B72*100)</f>
        <v/>
      </c>
      <c r="D72" s="19" t="n">
        <v>482</v>
      </c>
      <c r="E72" s="18" t="n">
        <v>44.47493186</v>
      </c>
      <c r="F72" s="20" t="n">
        <v>2.25037085</v>
      </c>
      <c r="G72" s="18" t="n">
        <v>43.55390052</v>
      </c>
      <c r="H72" s="20" t="n">
        <v>2.58399332</v>
      </c>
      <c r="I72" s="18" t="s">
        <v>431</v>
      </c>
      <c r="J72" s="20" t="s">
        <v>431</v>
      </c>
      <c r="K72" s="18" t="n">
        <v>0</v>
      </c>
      <c r="L72" s="20" t="n">
        <v>0</v>
      </c>
      <c r="M72" s="18" t="n">
        <v>0</v>
      </c>
      <c r="N72" s="20" t="n">
        <v>0</v>
      </c>
      <c r="O72" s="18" t="n">
        <v>0</v>
      </c>
      <c r="P72" s="20" t="n">
        <v>0</v>
      </c>
      <c r="Q72" s="18" t="n">
        <v>11.97116762</v>
      </c>
      <c r="R72" s="20" t="n">
        <v>1.66762663</v>
      </c>
    </row>
    <row r="73" spans="1:18">
      <c r="A73" s="15" t="s">
        <v>497</v>
      </c>
      <c r="B73" s="17" t="n">
        <v>3597</v>
      </c>
      <c r="C73" s="18">
        <f>(3171.0/B73*100)</f>
        <v/>
      </c>
      <c r="D73" s="19" t="n">
        <v>426</v>
      </c>
      <c r="E73" s="18" t="n">
        <v>80.16682197</v>
      </c>
      <c r="F73" s="20" t="n">
        <v>2.60175773</v>
      </c>
      <c r="G73" s="18" t="n">
        <v>13.40290577</v>
      </c>
      <c r="H73" s="20" t="n">
        <v>2.10453327</v>
      </c>
      <c r="I73" s="18" t="s">
        <v>431</v>
      </c>
      <c r="J73" s="20" t="s">
        <v>431</v>
      </c>
      <c r="K73" s="18" t="n">
        <v>0.33995674</v>
      </c>
      <c r="L73" s="20" t="n">
        <v>0.33878985</v>
      </c>
      <c r="M73" s="18" t="n">
        <v>0</v>
      </c>
      <c r="N73" s="20" t="n">
        <v>0</v>
      </c>
      <c r="O73" s="18" t="n">
        <v>0</v>
      </c>
      <c r="P73" s="20" t="n">
        <v>0</v>
      </c>
      <c r="Q73" s="18" t="n">
        <v>6.09031552</v>
      </c>
      <c r="R73" s="20" t="n">
        <v>1.44159346</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(2129.0/B75*100)</f>
        <v/>
      </c>
      <c r="D75" s="19" t="n">
        <v>277</v>
      </c>
      <c r="E75" s="18" t="n">
        <v>61.31950658</v>
      </c>
      <c r="F75" s="20" t="n">
        <v>3.04286729</v>
      </c>
      <c r="G75" s="18" t="n">
        <v>9.641198259999999</v>
      </c>
      <c r="H75" s="20" t="n">
        <v>1.82831205</v>
      </c>
      <c r="I75" s="18" t="s">
        <v>431</v>
      </c>
      <c r="J75" s="20" t="s">
        <v>431</v>
      </c>
      <c r="K75" s="18" t="n">
        <v>2.56862166</v>
      </c>
      <c r="L75" s="20" t="n">
        <v>1.06021518</v>
      </c>
      <c r="M75" s="18" t="n">
        <v>0</v>
      </c>
      <c r="N75" s="20" t="n">
        <v>0</v>
      </c>
      <c r="O75" s="18" t="n">
        <v>0</v>
      </c>
      <c r="P75" s="20" t="n">
        <v>0</v>
      </c>
      <c r="Q75" s="18" t="n">
        <v>26.4706735</v>
      </c>
      <c r="R75" s="20" t="n">
        <v>2.7345526</v>
      </c>
    </row>
    <row r="76" spans="1:18">
      <c r="A76" s="15" t="s">
        <v>500</v>
      </c>
      <c r="B76" s="17" t="n">
        <v>7052</v>
      </c>
      <c r="C76" s="18">
        <f>(6196.0/B76*100)</f>
        <v/>
      </c>
      <c r="D76" s="19" t="n">
        <v>856</v>
      </c>
      <c r="E76" s="18" t="n">
        <v>55.47880248</v>
      </c>
      <c r="F76" s="20" t="n">
        <v>2.42062874</v>
      </c>
      <c r="G76" s="18" t="n">
        <v>28.14201472</v>
      </c>
      <c r="H76" s="20" t="n">
        <v>1.94450502</v>
      </c>
      <c r="I76" s="18" t="s">
        <v>431</v>
      </c>
      <c r="J76" s="20" t="s">
        <v>431</v>
      </c>
      <c r="K76" s="18" t="n">
        <v>0.7342697</v>
      </c>
      <c r="L76" s="20" t="n">
        <v>0.29248554</v>
      </c>
      <c r="M76" s="18" t="n">
        <v>0</v>
      </c>
      <c r="N76" s="20" t="n">
        <v>0</v>
      </c>
      <c r="O76" s="18" t="n">
        <v>0</v>
      </c>
      <c r="P76" s="20" t="n">
        <v>0</v>
      </c>
      <c r="Q76" s="18" t="n">
        <v>15.64491311</v>
      </c>
      <c r="R76" s="20" t="n">
        <v>1.64806296</v>
      </c>
    </row>
    <row r="77" spans="1:18">
      <c r="A77" s="15" t="s">
        <v>501</v>
      </c>
      <c r="B77" s="17" t="n">
        <v>2908</v>
      </c>
      <c r="C77" s="18">
        <f>(2542.0/B77*100)</f>
        <v/>
      </c>
      <c r="D77" s="19" t="n">
        <v>366</v>
      </c>
      <c r="E77" s="18" t="n">
        <v>40.60063251</v>
      </c>
      <c r="F77" s="20" t="n">
        <v>2.60880841</v>
      </c>
      <c r="G77" s="18" t="n">
        <v>28.26262037</v>
      </c>
      <c r="H77" s="20" t="n">
        <v>2.33190806</v>
      </c>
      <c r="I77" s="18" t="s">
        <v>431</v>
      </c>
      <c r="J77" s="20" t="s">
        <v>431</v>
      </c>
      <c r="K77" s="18" t="n">
        <v>2.55984388</v>
      </c>
      <c r="L77" s="20" t="n">
        <v>0.8912255</v>
      </c>
      <c r="M77" s="18" t="n">
        <v>0</v>
      </c>
      <c r="N77" s="20" t="n">
        <v>0</v>
      </c>
      <c r="O77" s="18" t="n">
        <v>0</v>
      </c>
      <c r="P77" s="20" t="n">
        <v>0</v>
      </c>
      <c r="Q77" s="18" t="n">
        <v>28.57690324</v>
      </c>
      <c r="R77" s="20" t="n">
        <v>2.75669178</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(3642.0/B81*100)</f>
        <v/>
      </c>
      <c r="D81" s="19" t="n">
        <v>521</v>
      </c>
      <c r="E81" s="18" t="n">
        <v>73.28547801000001</v>
      </c>
      <c r="F81" s="20" t="n">
        <v>2.31954334</v>
      </c>
      <c r="G81" s="18" t="n">
        <v>19.9687933</v>
      </c>
      <c r="H81" s="20" t="n">
        <v>1.93474894</v>
      </c>
      <c r="I81" s="18" t="s">
        <v>431</v>
      </c>
      <c r="J81" s="20" t="s">
        <v>431</v>
      </c>
      <c r="K81" s="18" t="n">
        <v>0</v>
      </c>
      <c r="L81" s="20" t="n">
        <v>0</v>
      </c>
      <c r="M81" s="18" t="n">
        <v>0</v>
      </c>
      <c r="N81" s="20" t="n">
        <v>0</v>
      </c>
      <c r="O81" s="18" t="n">
        <v>0</v>
      </c>
      <c r="P81" s="20" t="n">
        <v>0</v>
      </c>
      <c r="Q81" s="18" t="n">
        <v>6.74572869</v>
      </c>
      <c r="R81" s="20" t="n">
        <v>1.3383994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(6478.0/B7*100)</f>
        <v/>
      </c>
      <c r="D7" s="19" t="n">
        <v>889</v>
      </c>
      <c r="E7" s="18" t="n">
        <v>51.81670178</v>
      </c>
      <c r="F7" s="20" t="n">
        <v>1.83916114</v>
      </c>
      <c r="G7" s="18" t="n">
        <v>35.44734566</v>
      </c>
      <c r="H7" s="20" t="n">
        <v>1.97884773</v>
      </c>
      <c r="I7" s="18" t="s">
        <v>431</v>
      </c>
      <c r="J7" s="20" t="s">
        <v>431</v>
      </c>
      <c r="K7" s="18" t="n">
        <v>0.25433014</v>
      </c>
      <c r="L7" s="20" t="n">
        <v>0.21754701</v>
      </c>
      <c r="M7" s="18" t="n">
        <v>0</v>
      </c>
      <c r="N7" s="20" t="n">
        <v>0</v>
      </c>
      <c r="O7" s="18" t="n">
        <v>0</v>
      </c>
      <c r="P7" s="20" t="n">
        <v>0</v>
      </c>
      <c r="Q7" s="18" t="n">
        <v>12.48162243</v>
      </c>
      <c r="R7" s="20" t="n">
        <v>1.40639097</v>
      </c>
    </row>
    <row r="8" spans="1:18">
      <c r="A8" s="15" t="s">
        <v>432</v>
      </c>
      <c r="B8" s="17" t="n">
        <v>3564</v>
      </c>
      <c r="C8" s="18">
        <f>(3113.0/B8*100)</f>
        <v/>
      </c>
      <c r="D8" s="19" t="n">
        <v>451</v>
      </c>
      <c r="E8" s="18" t="n">
        <v>45.84869284</v>
      </c>
      <c r="F8" s="20" t="n">
        <v>3.05583534</v>
      </c>
      <c r="G8" s="18" t="n">
        <v>35.43171404</v>
      </c>
      <c r="H8" s="20" t="n">
        <v>3.29536539</v>
      </c>
      <c r="I8" s="18" t="s">
        <v>431</v>
      </c>
      <c r="J8" s="20" t="s">
        <v>431</v>
      </c>
      <c r="K8" s="18" t="n">
        <v>0.48906447</v>
      </c>
      <c r="L8" s="20" t="n">
        <v>0.34865305</v>
      </c>
      <c r="M8" s="18" t="n">
        <v>0</v>
      </c>
      <c r="N8" s="20" t="n">
        <v>0</v>
      </c>
      <c r="O8" s="18" t="n">
        <v>0</v>
      </c>
      <c r="P8" s="20" t="n">
        <v>0</v>
      </c>
      <c r="Q8" s="18" t="n">
        <v>18.23052865</v>
      </c>
      <c r="R8" s="20" t="n">
        <v>2.11906402</v>
      </c>
    </row>
    <row r="9" spans="1:18">
      <c r="A9" s="15" t="s">
        <v>433</v>
      </c>
      <c r="B9" s="17" t="n">
        <v>4899</v>
      </c>
      <c r="C9" s="18">
        <f>(4315.0/B9*100)</f>
        <v/>
      </c>
      <c r="D9" s="19" t="n">
        <v>584</v>
      </c>
      <c r="E9" s="18" t="n">
        <v>45.83289115</v>
      </c>
      <c r="F9" s="20" t="n">
        <v>2.4682845</v>
      </c>
      <c r="G9" s="18" t="n">
        <v>39.54266493</v>
      </c>
      <c r="H9" s="20" t="n">
        <v>2.1510476</v>
      </c>
      <c r="I9" s="18" t="s">
        <v>431</v>
      </c>
      <c r="J9" s="20" t="s">
        <v>431</v>
      </c>
      <c r="K9" s="18" t="n">
        <v>0.79599365</v>
      </c>
      <c r="L9" s="20" t="n">
        <v>0.38962378</v>
      </c>
      <c r="M9" s="18" t="n">
        <v>0</v>
      </c>
      <c r="N9" s="20" t="n">
        <v>0</v>
      </c>
      <c r="O9" s="18" t="n">
        <v>0</v>
      </c>
      <c r="P9" s="20" t="n">
        <v>0</v>
      </c>
      <c r="Q9" s="18" t="n">
        <v>13.82845026</v>
      </c>
      <c r="R9" s="20" t="n">
        <v>1.48430503</v>
      </c>
    </row>
    <row r="10" spans="1:18">
      <c r="A10" s="15" t="s">
        <v>434</v>
      </c>
      <c r="B10" s="17" t="n">
        <v>10036</v>
      </c>
      <c r="C10" s="18">
        <f>(8748.0/B10*100)</f>
        <v/>
      </c>
      <c r="D10" s="19" t="n">
        <v>1288</v>
      </c>
      <c r="E10" s="18" t="n">
        <v>38.81450182</v>
      </c>
      <c r="F10" s="20" t="n">
        <v>1.70428309</v>
      </c>
      <c r="G10" s="18" t="n">
        <v>51.24649356</v>
      </c>
      <c r="H10" s="20" t="n">
        <v>1.79252644</v>
      </c>
      <c r="I10" s="18" t="s">
        <v>431</v>
      </c>
      <c r="J10" s="20" t="s">
        <v>431</v>
      </c>
      <c r="K10" s="18" t="n">
        <v>0.20027661</v>
      </c>
      <c r="L10" s="20" t="n">
        <v>0.17272661</v>
      </c>
      <c r="M10" s="18" t="n">
        <v>0</v>
      </c>
      <c r="N10" s="20" t="n">
        <v>0</v>
      </c>
      <c r="O10" s="18" t="n">
        <v>0</v>
      </c>
      <c r="P10" s="20" t="n">
        <v>0</v>
      </c>
      <c r="Q10" s="18" t="n">
        <v>9.738728010000001</v>
      </c>
      <c r="R10" s="20" t="n">
        <v>1.16808887</v>
      </c>
    </row>
    <row r="11" spans="1:18">
      <c r="A11" s="15" t="s">
        <v>435</v>
      </c>
      <c r="B11" s="17" t="n">
        <v>3553</v>
      </c>
      <c r="C11" s="18">
        <f>(3154.0/B11*100)</f>
        <v/>
      </c>
      <c r="D11" s="19" t="n">
        <v>399</v>
      </c>
      <c r="E11" s="18" t="n">
        <v>47.40127743</v>
      </c>
      <c r="F11" s="20" t="n">
        <v>2.7278602</v>
      </c>
      <c r="G11" s="18" t="n">
        <v>28.57993629</v>
      </c>
      <c r="H11" s="20" t="n">
        <v>2.56005976</v>
      </c>
      <c r="I11" s="18" t="s">
        <v>431</v>
      </c>
      <c r="J11" s="20" t="s">
        <v>431</v>
      </c>
      <c r="K11" s="18" t="n">
        <v>1.14794567</v>
      </c>
      <c r="L11" s="20" t="n">
        <v>0.81117925</v>
      </c>
      <c r="M11" s="18" t="n">
        <v>0</v>
      </c>
      <c r="N11" s="20" t="n">
        <v>0</v>
      </c>
      <c r="O11" s="18" t="n">
        <v>0</v>
      </c>
      <c r="P11" s="20" t="n">
        <v>0</v>
      </c>
      <c r="Q11" s="18" t="n">
        <v>22.87084061</v>
      </c>
      <c r="R11" s="20" t="n">
        <v>2.36617335</v>
      </c>
    </row>
    <row r="12" spans="1:18">
      <c r="A12" s="15" t="s">
        <v>436</v>
      </c>
      <c r="B12" s="17" t="n">
        <v>3472</v>
      </c>
      <c r="C12" s="18">
        <f>(3038.0/B12*100)</f>
        <v/>
      </c>
      <c r="D12" s="19" t="n">
        <v>434</v>
      </c>
      <c r="E12" s="18" t="n">
        <v>44.56344321</v>
      </c>
      <c r="F12" s="20" t="n">
        <v>2.69711739</v>
      </c>
      <c r="G12" s="18" t="n">
        <v>35.48328679</v>
      </c>
      <c r="H12" s="20" t="n">
        <v>2.872213</v>
      </c>
      <c r="I12" s="18" t="s">
        <v>431</v>
      </c>
      <c r="J12" s="20" t="s">
        <v>431</v>
      </c>
      <c r="K12" s="18" t="n">
        <v>0.2034236</v>
      </c>
      <c r="L12" s="20" t="n">
        <v>0.20039024</v>
      </c>
      <c r="M12" s="18" t="n">
        <v>0</v>
      </c>
      <c r="N12" s="20" t="n">
        <v>0</v>
      </c>
      <c r="O12" s="18" t="n">
        <v>0</v>
      </c>
      <c r="P12" s="20" t="n">
        <v>0</v>
      </c>
      <c r="Q12" s="18" t="n">
        <v>19.7498464</v>
      </c>
      <c r="R12" s="20" t="n">
        <v>2.25922638</v>
      </c>
    </row>
    <row r="13" spans="1:18">
      <c r="A13" s="15" t="s">
        <v>437</v>
      </c>
      <c r="B13" s="17" t="n">
        <v>3559</v>
      </c>
      <c r="C13" s="18">
        <f>(3125.0/B13*100)</f>
        <v/>
      </c>
      <c r="D13" s="19" t="n">
        <v>434</v>
      </c>
      <c r="E13" s="18" t="n">
        <v>60.11000275</v>
      </c>
      <c r="F13" s="20" t="n">
        <v>2.95720872</v>
      </c>
      <c r="G13" s="18" t="n">
        <v>28.11896919</v>
      </c>
      <c r="H13" s="20" t="n">
        <v>2.65331774</v>
      </c>
      <c r="I13" s="18" t="s">
        <v>431</v>
      </c>
      <c r="J13" s="20" t="s">
        <v>431</v>
      </c>
      <c r="K13" s="18" t="n">
        <v>0.6467664400000001</v>
      </c>
      <c r="L13" s="20" t="n">
        <v>0.39031438</v>
      </c>
      <c r="M13" s="18" t="n">
        <v>0.02738699</v>
      </c>
      <c r="N13" s="20" t="n">
        <v>0.01938897</v>
      </c>
      <c r="O13" s="18" t="n">
        <v>0</v>
      </c>
      <c r="P13" s="20" t="n">
        <v>0</v>
      </c>
      <c r="Q13" s="18" t="n">
        <v>11.09687463</v>
      </c>
      <c r="R13" s="20" t="n">
        <v>1.75402891</v>
      </c>
    </row>
    <row r="14" spans="1:18">
      <c r="A14" s="15" t="s">
        <v>438</v>
      </c>
      <c r="B14" s="17" t="n">
        <v>2799</v>
      </c>
      <c r="C14" s="18">
        <f>(2469.0/B14*100)</f>
        <v/>
      </c>
      <c r="D14" s="19" t="n">
        <v>330</v>
      </c>
      <c r="E14" s="18" t="n">
        <v>41.62289441</v>
      </c>
      <c r="F14" s="20" t="n">
        <v>3.25596529</v>
      </c>
      <c r="G14" s="18" t="n">
        <v>47.9592257</v>
      </c>
      <c r="H14" s="20" t="n">
        <v>3.32005248</v>
      </c>
      <c r="I14" s="18" t="s">
        <v>431</v>
      </c>
      <c r="J14" s="20" t="s">
        <v>431</v>
      </c>
      <c r="K14" s="18" t="n">
        <v>0</v>
      </c>
      <c r="L14" s="20" t="n">
        <v>0</v>
      </c>
      <c r="M14" s="18" t="n">
        <v>0</v>
      </c>
      <c r="N14" s="20" t="n">
        <v>0</v>
      </c>
      <c r="O14" s="18" t="n">
        <v>0</v>
      </c>
      <c r="P14" s="20" t="n">
        <v>0</v>
      </c>
      <c r="Q14" s="18" t="n">
        <v>10.41787988</v>
      </c>
      <c r="R14" s="20" t="n">
        <v>1.96448563</v>
      </c>
    </row>
    <row r="15" spans="1:18">
      <c r="A15" s="15" t="s">
        <v>439</v>
      </c>
      <c r="B15" s="17" t="n">
        <v>3019</v>
      </c>
      <c r="C15" s="18">
        <f>(2636.0/B15*100)</f>
        <v/>
      </c>
      <c r="D15" s="19" t="n">
        <v>383</v>
      </c>
      <c r="E15" s="18" t="n">
        <v>51.53323004</v>
      </c>
      <c r="F15" s="20" t="n">
        <v>2.79730499</v>
      </c>
      <c r="G15" s="18" t="n">
        <v>37.89864316</v>
      </c>
      <c r="H15" s="20" t="n">
        <v>2.50781274</v>
      </c>
      <c r="I15" s="18" t="s">
        <v>431</v>
      </c>
      <c r="J15" s="20" t="s">
        <v>431</v>
      </c>
      <c r="K15" s="18" t="n">
        <v>0.21010417</v>
      </c>
      <c r="L15" s="20" t="n">
        <v>0.21016255</v>
      </c>
      <c r="M15" s="18" t="n">
        <v>0</v>
      </c>
      <c r="N15" s="20" t="n">
        <v>0</v>
      </c>
      <c r="O15" s="18" t="n">
        <v>0</v>
      </c>
      <c r="P15" s="20" t="n">
        <v>0</v>
      </c>
      <c r="Q15" s="18" t="n">
        <v>10.35802262</v>
      </c>
      <c r="R15" s="20" t="n">
        <v>1.59623588</v>
      </c>
    </row>
    <row r="16" spans="1:18">
      <c r="A16" s="15" t="s">
        <v>440</v>
      </c>
      <c r="B16" s="17" t="n">
        <v>2997</v>
      </c>
      <c r="C16" s="18">
        <f>(2649.0/B16*100)</f>
        <v/>
      </c>
      <c r="D16" s="19" t="n">
        <v>348</v>
      </c>
      <c r="E16" s="18" t="n">
        <v>34.19795005</v>
      </c>
      <c r="F16" s="20" t="n">
        <v>2.74275634</v>
      </c>
      <c r="G16" s="18" t="n">
        <v>43.60267203</v>
      </c>
      <c r="H16" s="20" t="n">
        <v>2.65889304</v>
      </c>
      <c r="I16" s="18" t="s">
        <v>431</v>
      </c>
      <c r="J16" s="20" t="s">
        <v>431</v>
      </c>
      <c r="K16" s="18" t="n">
        <v>1.84086253</v>
      </c>
      <c r="L16" s="20" t="n">
        <v>0.5537035300000001</v>
      </c>
      <c r="M16" s="18" t="n">
        <v>0</v>
      </c>
      <c r="N16" s="20" t="n">
        <v>0</v>
      </c>
      <c r="O16" s="18" t="n">
        <v>0</v>
      </c>
      <c r="P16" s="20" t="n">
        <v>0</v>
      </c>
      <c r="Q16" s="18" t="n">
        <v>20.35851539</v>
      </c>
      <c r="R16" s="20" t="n">
        <v>2.64294162</v>
      </c>
    </row>
    <row r="17" spans="1:18">
      <c r="A17" s="15" t="s">
        <v>441</v>
      </c>
      <c r="B17" s="17" t="n">
        <v>3307</v>
      </c>
      <c r="C17" s="18">
        <f>(2907.0/B17*100)</f>
        <v/>
      </c>
      <c r="D17" s="19" t="n">
        <v>400</v>
      </c>
      <c r="E17" s="18" t="n">
        <v>35.36767149</v>
      </c>
      <c r="F17" s="20" t="n">
        <v>2.33362677</v>
      </c>
      <c r="G17" s="18" t="n">
        <v>45.50579524</v>
      </c>
      <c r="H17" s="20" t="n">
        <v>2.6634293</v>
      </c>
      <c r="I17" s="18" t="s">
        <v>431</v>
      </c>
      <c r="J17" s="20" t="s">
        <v>431</v>
      </c>
      <c r="K17" s="18" t="n">
        <v>0</v>
      </c>
      <c r="L17" s="20" t="n">
        <v>0</v>
      </c>
      <c r="M17" s="18" t="n">
        <v>0</v>
      </c>
      <c r="N17" s="20" t="n">
        <v>0</v>
      </c>
      <c r="O17" s="18" t="n">
        <v>0</v>
      </c>
      <c r="P17" s="20" t="n">
        <v>0</v>
      </c>
      <c r="Q17" s="18" t="n">
        <v>19.12653327</v>
      </c>
      <c r="R17" s="20" t="n">
        <v>2.08583754</v>
      </c>
    </row>
    <row r="18" spans="1:18">
      <c r="A18" s="15" t="s">
        <v>442</v>
      </c>
      <c r="B18" s="17" t="n">
        <v>2826</v>
      </c>
      <c r="C18" s="18">
        <f>(2467.0/B18*100)</f>
        <v/>
      </c>
      <c r="D18" s="19" t="n">
        <v>359</v>
      </c>
      <c r="E18" s="18" t="n">
        <v>39.08696276</v>
      </c>
      <c r="F18" s="20" t="n">
        <v>3.60431649</v>
      </c>
      <c r="G18" s="18" t="n">
        <v>38.3450216</v>
      </c>
      <c r="H18" s="20" t="n">
        <v>3.35829183</v>
      </c>
      <c r="I18" s="18" t="s">
        <v>431</v>
      </c>
      <c r="J18" s="20" t="s">
        <v>431</v>
      </c>
      <c r="K18" s="18" t="n">
        <v>0.85075</v>
      </c>
      <c r="L18" s="20" t="n">
        <v>0.62767911</v>
      </c>
      <c r="M18" s="18" t="n">
        <v>0</v>
      </c>
      <c r="N18" s="20" t="n">
        <v>0</v>
      </c>
      <c r="O18" s="18" t="n">
        <v>0</v>
      </c>
      <c r="P18" s="20" t="n">
        <v>0</v>
      </c>
      <c r="Q18" s="18" t="n">
        <v>21.71726565</v>
      </c>
      <c r="R18" s="20" t="n">
        <v>3.17482024</v>
      </c>
    </row>
    <row r="19" spans="1:18">
      <c r="A19" s="15" t="s">
        <v>443</v>
      </c>
      <c r="B19" s="17" t="n">
        <v>2808</v>
      </c>
      <c r="C19" s="18">
        <f>(2452.0/B19*100)</f>
        <v/>
      </c>
      <c r="D19" s="19" t="n">
        <v>356</v>
      </c>
      <c r="E19" s="18" t="n">
        <v>46.728937</v>
      </c>
      <c r="F19" s="20" t="n">
        <v>2.66805741</v>
      </c>
      <c r="G19" s="18" t="n">
        <v>30.93459504</v>
      </c>
      <c r="H19" s="20" t="n">
        <v>2.31924476</v>
      </c>
      <c r="I19" s="18" t="s">
        <v>431</v>
      </c>
      <c r="J19" s="20" t="s">
        <v>431</v>
      </c>
      <c r="K19" s="18" t="n">
        <v>0.57933405</v>
      </c>
      <c r="L19" s="20" t="n">
        <v>0.62898205</v>
      </c>
      <c r="M19" s="18" t="n">
        <v>0</v>
      </c>
      <c r="N19" s="20" t="n">
        <v>0</v>
      </c>
      <c r="O19" s="18" t="n">
        <v>0</v>
      </c>
      <c r="P19" s="20" t="n">
        <v>0</v>
      </c>
      <c r="Q19" s="18" t="n">
        <v>21.75713391</v>
      </c>
      <c r="R19" s="20" t="n">
        <v>2.05274338</v>
      </c>
    </row>
    <row r="20" spans="1:18">
      <c r="A20" s="15" t="s">
        <v>444</v>
      </c>
      <c r="B20" s="17" t="n">
        <v>1630</v>
      </c>
      <c r="C20" s="18">
        <f>(1438.0/B20*100)</f>
        <v/>
      </c>
      <c r="D20" s="19" t="n">
        <v>192</v>
      </c>
      <c r="E20" s="18" t="n">
        <v>60.07020246</v>
      </c>
      <c r="F20" s="20" t="n">
        <v>3.19473004</v>
      </c>
      <c r="G20" s="18" t="n">
        <v>23.3362459</v>
      </c>
      <c r="H20" s="20" t="n">
        <v>2.61857083</v>
      </c>
      <c r="I20" s="18" t="s">
        <v>431</v>
      </c>
      <c r="J20" s="20" t="s">
        <v>431</v>
      </c>
      <c r="K20" s="18" t="n">
        <v>0.50503105</v>
      </c>
      <c r="L20" s="20" t="n">
        <v>0.48794976</v>
      </c>
      <c r="M20" s="18" t="n">
        <v>0</v>
      </c>
      <c r="N20" s="20" t="n">
        <v>0</v>
      </c>
      <c r="O20" s="18" t="n">
        <v>0</v>
      </c>
      <c r="P20" s="20" t="n">
        <v>0</v>
      </c>
      <c r="Q20" s="18" t="n">
        <v>16.08852059</v>
      </c>
      <c r="R20" s="20" t="n">
        <v>2.59853435</v>
      </c>
    </row>
    <row r="21" spans="1:18">
      <c r="A21" s="15" t="s">
        <v>445</v>
      </c>
      <c r="B21" s="17" t="n">
        <v>2908</v>
      </c>
      <c r="C21" s="18">
        <f>(2434.0/B21*100)</f>
        <v/>
      </c>
      <c r="D21" s="19" t="n">
        <v>474</v>
      </c>
      <c r="E21" s="18" t="n">
        <v>44.26212231</v>
      </c>
      <c r="F21" s="20" t="n">
        <v>1.93415415</v>
      </c>
      <c r="G21" s="18" t="n">
        <v>44.39751422</v>
      </c>
      <c r="H21" s="20" t="n">
        <v>2.21499749</v>
      </c>
      <c r="I21" s="18" t="s">
        <v>431</v>
      </c>
      <c r="J21" s="20" t="s">
        <v>431</v>
      </c>
      <c r="K21" s="18" t="n">
        <v>0.50886543</v>
      </c>
      <c r="L21" s="20" t="n">
        <v>0.28575998</v>
      </c>
      <c r="M21" s="18" t="n">
        <v>0</v>
      </c>
      <c r="N21" s="20" t="n">
        <v>0</v>
      </c>
      <c r="O21" s="18" t="n">
        <v>0</v>
      </c>
      <c r="P21" s="20" t="n">
        <v>0</v>
      </c>
      <c r="Q21" s="18" t="n">
        <v>10.83149804</v>
      </c>
      <c r="R21" s="20" t="n">
        <v>1.28071108</v>
      </c>
    </row>
    <row r="22" spans="1:18">
      <c r="A22" s="15" t="s">
        <v>446</v>
      </c>
      <c r="B22" s="17" t="n">
        <v>2931</v>
      </c>
      <c r="C22" s="18">
        <f>(2565.0/B22*100)</f>
        <v/>
      </c>
      <c r="D22" s="19" t="n">
        <v>366</v>
      </c>
      <c r="E22" s="18" t="n">
        <v>36.61571934</v>
      </c>
      <c r="F22" s="20" t="n">
        <v>3.35791588</v>
      </c>
      <c r="G22" s="18" t="n">
        <v>40.09405481</v>
      </c>
      <c r="H22" s="20" t="n">
        <v>3.48141296</v>
      </c>
      <c r="I22" s="18" t="s">
        <v>431</v>
      </c>
      <c r="J22" s="20" t="s">
        <v>431</v>
      </c>
      <c r="K22" s="18" t="n">
        <v>2.02083641</v>
      </c>
      <c r="L22" s="20" t="n">
        <v>0.71083741</v>
      </c>
      <c r="M22" s="18" t="n">
        <v>0</v>
      </c>
      <c r="N22" s="20" t="n">
        <v>0</v>
      </c>
      <c r="O22" s="18" t="n">
        <v>0</v>
      </c>
      <c r="P22" s="20" t="n">
        <v>0</v>
      </c>
      <c r="Q22" s="18" t="n">
        <v>21.26938944</v>
      </c>
      <c r="R22" s="20" t="n">
        <v>2.61428306</v>
      </c>
    </row>
    <row r="23" spans="1:18">
      <c r="A23" s="15" t="s">
        <v>447</v>
      </c>
      <c r="B23" s="17" t="n">
        <v>5791</v>
      </c>
      <c r="C23" s="18">
        <f>(5133.0/B23*100)</f>
        <v/>
      </c>
      <c r="D23" s="19" t="n">
        <v>658</v>
      </c>
      <c r="E23" s="18" t="n">
        <v>40.61012782</v>
      </c>
      <c r="F23" s="20" t="n">
        <v>2.45470129</v>
      </c>
      <c r="G23" s="18" t="n">
        <v>40.80531391</v>
      </c>
      <c r="H23" s="20" t="n">
        <v>2.56512939</v>
      </c>
      <c r="I23" s="18" t="s">
        <v>431</v>
      </c>
      <c r="J23" s="20" t="s">
        <v>431</v>
      </c>
      <c r="K23" s="18" t="n">
        <v>0.2502813</v>
      </c>
      <c r="L23" s="20" t="n">
        <v>0.18135774</v>
      </c>
      <c r="M23" s="18" t="n">
        <v>0</v>
      </c>
      <c r="N23" s="20" t="n">
        <v>0</v>
      </c>
      <c r="O23" s="18" t="n">
        <v>0</v>
      </c>
      <c r="P23" s="20" t="n">
        <v>0</v>
      </c>
      <c r="Q23" s="18" t="n">
        <v>18.33427697</v>
      </c>
      <c r="R23" s="20" t="n">
        <v>2.34220725</v>
      </c>
    </row>
    <row r="24" spans="1:18">
      <c r="A24" s="15" t="s">
        <v>448</v>
      </c>
      <c r="B24" s="17" t="n">
        <v>3338</v>
      </c>
      <c r="C24" s="18">
        <f>(2939.0/B24*100)</f>
        <v/>
      </c>
      <c r="D24" s="19" t="n">
        <v>399</v>
      </c>
      <c r="E24" s="18" t="n">
        <v>26.21145247</v>
      </c>
      <c r="F24" s="20" t="n">
        <v>2.45481701</v>
      </c>
      <c r="G24" s="18" t="n">
        <v>47.5098571</v>
      </c>
      <c r="H24" s="20" t="n">
        <v>2.77793238</v>
      </c>
      <c r="I24" s="18" t="s">
        <v>431</v>
      </c>
      <c r="J24" s="20" t="s">
        <v>431</v>
      </c>
      <c r="K24" s="18" t="n">
        <v>0.28383925</v>
      </c>
      <c r="L24" s="20" t="n">
        <v>0.28327171</v>
      </c>
      <c r="M24" s="18" t="n">
        <v>0</v>
      </c>
      <c r="N24" s="20" t="n">
        <v>0</v>
      </c>
      <c r="O24" s="18" t="n">
        <v>0</v>
      </c>
      <c r="P24" s="20" t="n">
        <v>0</v>
      </c>
      <c r="Q24" s="18" t="n">
        <v>25.99485118</v>
      </c>
      <c r="R24" s="20" t="n">
        <v>2.7190034</v>
      </c>
    </row>
    <row r="25" spans="1:18">
      <c r="A25" s="15" t="s">
        <v>449</v>
      </c>
      <c r="B25" s="17" t="n">
        <v>2912</v>
      </c>
      <c r="C25" s="18">
        <f>(2540.0/B25*100)</f>
        <v/>
      </c>
      <c r="D25" s="19" t="n">
        <v>372</v>
      </c>
      <c r="E25" s="18" t="n">
        <v>43.16777821</v>
      </c>
      <c r="F25" s="20" t="n">
        <v>3.09834914</v>
      </c>
      <c r="G25" s="18" t="n">
        <v>35.17796341</v>
      </c>
      <c r="H25" s="20" t="n">
        <v>3.10691345</v>
      </c>
      <c r="I25" s="18" t="s">
        <v>431</v>
      </c>
      <c r="J25" s="20" t="s">
        <v>431</v>
      </c>
      <c r="K25" s="18" t="n">
        <v>0.50223064</v>
      </c>
      <c r="L25" s="20" t="n">
        <v>0.35563473</v>
      </c>
      <c r="M25" s="18" t="n">
        <v>0</v>
      </c>
      <c r="N25" s="20" t="n">
        <v>0</v>
      </c>
      <c r="O25" s="18" t="n">
        <v>0</v>
      </c>
      <c r="P25" s="20" t="n">
        <v>0</v>
      </c>
      <c r="Q25" s="18" t="n">
        <v>21.15202774</v>
      </c>
      <c r="R25" s="20" t="n">
        <v>2.60369588</v>
      </c>
    </row>
    <row r="26" spans="1:18">
      <c r="A26" s="15" t="s">
        <v>450</v>
      </c>
      <c r="B26" s="17" t="n">
        <v>2450</v>
      </c>
      <c r="C26" s="18">
        <f>(2138.0/B26*100)</f>
        <v/>
      </c>
      <c r="D26" s="19" t="n">
        <v>312</v>
      </c>
      <c r="E26" s="18" t="n">
        <v>49.73010999</v>
      </c>
      <c r="F26" s="20" t="n">
        <v>2.82842219</v>
      </c>
      <c r="G26" s="18" t="n">
        <v>38.77836924</v>
      </c>
      <c r="H26" s="20" t="n">
        <v>2.57578788</v>
      </c>
      <c r="I26" s="18" t="s">
        <v>431</v>
      </c>
      <c r="J26" s="20" t="s">
        <v>431</v>
      </c>
      <c r="K26" s="18" t="n">
        <v>0</v>
      </c>
      <c r="L26" s="20" t="n">
        <v>0</v>
      </c>
      <c r="M26" s="18" t="n">
        <v>0</v>
      </c>
      <c r="N26" s="20" t="n">
        <v>0</v>
      </c>
      <c r="O26" s="18" t="n">
        <v>0</v>
      </c>
      <c r="P26" s="20" t="n">
        <v>0</v>
      </c>
      <c r="Q26" s="18" t="n">
        <v>11.49152077</v>
      </c>
      <c r="R26" s="20" t="n">
        <v>2.10991687</v>
      </c>
    </row>
    <row r="27" spans="1:18">
      <c r="A27" s="15" t="s">
        <v>451</v>
      </c>
      <c r="B27" s="17" t="n">
        <v>2616</v>
      </c>
      <c r="C27" s="18">
        <f>(2289.0/B27*100)</f>
        <v/>
      </c>
      <c r="D27" s="19" t="n">
        <v>327</v>
      </c>
      <c r="E27" s="18" t="n">
        <v>44.12179296</v>
      </c>
      <c r="F27" s="20" t="n">
        <v>2.3469681</v>
      </c>
      <c r="G27" s="18" t="n">
        <v>36.77542254</v>
      </c>
      <c r="H27" s="20" t="n">
        <v>2.2035296</v>
      </c>
      <c r="I27" s="18" t="s">
        <v>431</v>
      </c>
      <c r="J27" s="20" t="s">
        <v>431</v>
      </c>
      <c r="K27" s="18" t="n">
        <v>0.30796698</v>
      </c>
      <c r="L27" s="20" t="n">
        <v>0.30929134</v>
      </c>
      <c r="M27" s="18" t="n">
        <v>0</v>
      </c>
      <c r="N27" s="20" t="n">
        <v>0</v>
      </c>
      <c r="O27" s="18" t="n">
        <v>0</v>
      </c>
      <c r="P27" s="20" t="n">
        <v>0</v>
      </c>
      <c r="Q27" s="18" t="n">
        <v>18.79481753</v>
      </c>
      <c r="R27" s="20" t="n">
        <v>2.12191764</v>
      </c>
    </row>
    <row r="28" spans="1:18">
      <c r="A28" s="15" t="s">
        <v>452</v>
      </c>
      <c r="B28" s="17" t="n">
        <v>3765</v>
      </c>
      <c r="C28" s="18">
        <f>(3310.0/B28*100)</f>
        <v/>
      </c>
      <c r="D28" s="19" t="n">
        <v>455</v>
      </c>
      <c r="E28" s="18" t="n">
        <v>67.82132416</v>
      </c>
      <c r="F28" s="20" t="n">
        <v>2.81884226</v>
      </c>
      <c r="G28" s="18" t="n">
        <v>19.88768295</v>
      </c>
      <c r="H28" s="20" t="n">
        <v>2.33692144</v>
      </c>
      <c r="I28" s="18" t="s">
        <v>431</v>
      </c>
      <c r="J28" s="20" t="s">
        <v>431</v>
      </c>
      <c r="K28" s="18" t="n">
        <v>0</v>
      </c>
      <c r="L28" s="20" t="n">
        <v>0</v>
      </c>
      <c r="M28" s="18" t="n">
        <v>0</v>
      </c>
      <c r="N28" s="20" t="n">
        <v>0</v>
      </c>
      <c r="O28" s="18" t="n">
        <v>0</v>
      </c>
      <c r="P28" s="20" t="n">
        <v>0</v>
      </c>
      <c r="Q28" s="18" t="n">
        <v>12.29099289</v>
      </c>
      <c r="R28" s="20" t="n">
        <v>1.91686951</v>
      </c>
    </row>
    <row r="29" spans="1:18">
      <c r="A29" s="15" t="s">
        <v>453</v>
      </c>
      <c r="B29" s="17" t="n">
        <v>2685</v>
      </c>
      <c r="C29" s="18">
        <f>(2369.0/B29*100)</f>
        <v/>
      </c>
      <c r="D29" s="19" t="n">
        <v>316</v>
      </c>
      <c r="E29" s="18" t="n">
        <v>49.12918575</v>
      </c>
      <c r="F29" s="20" t="n">
        <v>2.39938407</v>
      </c>
      <c r="G29" s="18" t="n">
        <v>46.58473876</v>
      </c>
      <c r="H29" s="20" t="n">
        <v>2.47550199</v>
      </c>
      <c r="I29" s="18" t="s">
        <v>431</v>
      </c>
      <c r="J29" s="20" t="s">
        <v>431</v>
      </c>
      <c r="K29" s="18" t="n">
        <v>0</v>
      </c>
      <c r="L29" s="20" t="n">
        <v>0</v>
      </c>
      <c r="M29" s="18" t="n">
        <v>0</v>
      </c>
      <c r="N29" s="20" t="n">
        <v>0</v>
      </c>
      <c r="O29" s="18" t="n">
        <v>0</v>
      </c>
      <c r="P29" s="20" t="n">
        <v>0</v>
      </c>
      <c r="Q29" s="18" t="n">
        <v>4.28607549</v>
      </c>
      <c r="R29" s="20" t="n">
        <v>0.9234946000000001</v>
      </c>
    </row>
    <row r="30" spans="1:18">
      <c r="A30" s="15" t="s">
        <v>454</v>
      </c>
      <c r="B30" s="17" t="n">
        <v>2263</v>
      </c>
      <c r="C30" s="18">
        <f>(1987.0/B30*100)</f>
        <v/>
      </c>
      <c r="D30" s="19" t="n">
        <v>276</v>
      </c>
      <c r="E30" s="18" t="n">
        <v>40.4915916</v>
      </c>
      <c r="F30" s="20" t="n">
        <v>3.0357681</v>
      </c>
      <c r="G30" s="18" t="n">
        <v>38.43320418</v>
      </c>
      <c r="H30" s="20" t="n">
        <v>3.05840249</v>
      </c>
      <c r="I30" s="18" t="s">
        <v>431</v>
      </c>
      <c r="J30" s="20" t="s">
        <v>431</v>
      </c>
      <c r="K30" s="18" t="n">
        <v>1.33670453</v>
      </c>
      <c r="L30" s="20" t="n">
        <v>0.65898072</v>
      </c>
      <c r="M30" s="18" t="n">
        <v>0</v>
      </c>
      <c r="N30" s="20" t="n">
        <v>0</v>
      </c>
      <c r="O30" s="18" t="n">
        <v>0</v>
      </c>
      <c r="P30" s="20" t="n">
        <v>0</v>
      </c>
      <c r="Q30" s="18" t="n">
        <v>19.73849969</v>
      </c>
      <c r="R30" s="20" t="n">
        <v>2.44046838</v>
      </c>
    </row>
    <row r="31" spans="1:18">
      <c r="A31" s="15" t="s">
        <v>455</v>
      </c>
      <c r="B31" s="17" t="n">
        <v>2750</v>
      </c>
      <c r="C31" s="18">
        <f>(2414.0/B31*100)</f>
        <v/>
      </c>
      <c r="D31" s="19" t="n">
        <v>336</v>
      </c>
      <c r="E31" s="18" t="n">
        <v>42.26064121</v>
      </c>
      <c r="F31" s="20" t="n">
        <v>2.51442099</v>
      </c>
      <c r="G31" s="18" t="n">
        <v>41.39578287</v>
      </c>
      <c r="H31" s="20" t="n">
        <v>2.41199948</v>
      </c>
      <c r="I31" s="18" t="s">
        <v>431</v>
      </c>
      <c r="J31" s="20" t="s">
        <v>431</v>
      </c>
      <c r="K31" s="18" t="n">
        <v>0.87880517</v>
      </c>
      <c r="L31" s="20" t="n">
        <v>0.45338625</v>
      </c>
      <c r="M31" s="18" t="n">
        <v>0</v>
      </c>
      <c r="N31" s="20" t="n">
        <v>0</v>
      </c>
      <c r="O31" s="18" t="n">
        <v>0</v>
      </c>
      <c r="P31" s="20" t="n">
        <v>0</v>
      </c>
      <c r="Q31" s="18" t="n">
        <v>15.46477075</v>
      </c>
      <c r="R31" s="20" t="n">
        <v>2.08569125</v>
      </c>
    </row>
    <row r="32" spans="1:18">
      <c r="A32" s="15" t="s">
        <v>456</v>
      </c>
      <c r="B32" s="17" t="n">
        <v>2269</v>
      </c>
      <c r="C32" s="18">
        <f>(1898.0/B32*100)</f>
        <v/>
      </c>
      <c r="D32" s="19" t="n">
        <v>371</v>
      </c>
      <c r="E32" s="18" t="n">
        <v>43.53274521</v>
      </c>
      <c r="F32" s="20" t="n">
        <v>2.5830792</v>
      </c>
      <c r="G32" s="18" t="n">
        <v>38.60791598</v>
      </c>
      <c r="H32" s="20" t="n">
        <v>2.23594551</v>
      </c>
      <c r="I32" s="18" t="s">
        <v>431</v>
      </c>
      <c r="J32" s="20" t="s">
        <v>431</v>
      </c>
      <c r="K32" s="18" t="n">
        <v>0.49327152</v>
      </c>
      <c r="L32" s="20" t="n">
        <v>0.02880497</v>
      </c>
      <c r="M32" s="18" t="n">
        <v>0</v>
      </c>
      <c r="N32" s="20" t="n">
        <v>0</v>
      </c>
      <c r="O32" s="18" t="n">
        <v>0</v>
      </c>
      <c r="P32" s="20" t="n">
        <v>0</v>
      </c>
      <c r="Q32" s="18" t="n">
        <v>17.36606729</v>
      </c>
      <c r="R32" s="20" t="n">
        <v>2.209145</v>
      </c>
    </row>
    <row r="33" spans="1:18">
      <c r="A33" s="15" t="s">
        <v>457</v>
      </c>
      <c r="B33" s="17" t="n">
        <v>3674</v>
      </c>
      <c r="C33" s="18">
        <f>(3224.0/B33*100)</f>
        <v/>
      </c>
      <c r="D33" s="19" t="n">
        <v>450</v>
      </c>
      <c r="E33" s="18" t="n">
        <v>43.96222263</v>
      </c>
      <c r="F33" s="20" t="n">
        <v>2.64031434</v>
      </c>
      <c r="G33" s="18" t="n">
        <v>42.47973332</v>
      </c>
      <c r="H33" s="20" t="n">
        <v>2.45195285</v>
      </c>
      <c r="I33" s="18" t="s">
        <v>431</v>
      </c>
      <c r="J33" s="20" t="s">
        <v>431</v>
      </c>
      <c r="K33" s="18" t="n">
        <v>0.03129119</v>
      </c>
      <c r="L33" s="20" t="n">
        <v>0.03325962</v>
      </c>
      <c r="M33" s="18" t="n">
        <v>0</v>
      </c>
      <c r="N33" s="20" t="n">
        <v>0</v>
      </c>
      <c r="O33" s="18" t="n">
        <v>0</v>
      </c>
      <c r="P33" s="20" t="n">
        <v>0</v>
      </c>
      <c r="Q33" s="18" t="n">
        <v>13.52675286</v>
      </c>
      <c r="R33" s="20" t="n">
        <v>1.90778348</v>
      </c>
    </row>
    <row r="34" spans="1:18">
      <c r="A34" s="15" t="s">
        <v>458</v>
      </c>
      <c r="B34" s="17" t="n">
        <v>3315</v>
      </c>
      <c r="C34" s="18">
        <f>(2933.0/B34*100)</f>
        <v/>
      </c>
      <c r="D34" s="19" t="n">
        <v>382</v>
      </c>
      <c r="E34" s="18" t="n">
        <v>58.09405238</v>
      </c>
      <c r="F34" s="20" t="n">
        <v>2.65455229</v>
      </c>
      <c r="G34" s="18" t="n">
        <v>22.4562138</v>
      </c>
      <c r="H34" s="20" t="n">
        <v>2.09087502</v>
      </c>
      <c r="I34" s="18" t="s">
        <v>431</v>
      </c>
      <c r="J34" s="20" t="s">
        <v>431</v>
      </c>
      <c r="K34" s="18" t="n">
        <v>0.08511653</v>
      </c>
      <c r="L34" s="20" t="n">
        <v>0.08573185999999999</v>
      </c>
      <c r="M34" s="18" t="n">
        <v>0</v>
      </c>
      <c r="N34" s="20" t="n">
        <v>0</v>
      </c>
      <c r="O34" s="18" t="n">
        <v>0</v>
      </c>
      <c r="P34" s="20" t="n">
        <v>0</v>
      </c>
      <c r="Q34" s="18" t="n">
        <v>19.3646173</v>
      </c>
      <c r="R34" s="20" t="n">
        <v>2.11056663</v>
      </c>
    </row>
    <row r="35" spans="1:18">
      <c r="A35" s="15" t="s">
        <v>459</v>
      </c>
      <c r="B35" s="17" t="n">
        <v>3505</v>
      </c>
      <c r="C35" s="18">
        <f>(3098.0/B35*100)</f>
        <v/>
      </c>
      <c r="D35" s="19" t="n">
        <v>407</v>
      </c>
      <c r="E35" s="18" t="n">
        <v>50.44967079</v>
      </c>
      <c r="F35" s="20" t="n">
        <v>3.00523631</v>
      </c>
      <c r="G35" s="18" t="n">
        <v>34.55864191</v>
      </c>
      <c r="H35" s="20" t="n">
        <v>3.1789152</v>
      </c>
      <c r="I35" s="18" t="s">
        <v>431</v>
      </c>
      <c r="J35" s="20" t="s">
        <v>431</v>
      </c>
      <c r="K35" s="18" t="n">
        <v>0.69353463</v>
      </c>
      <c r="L35" s="20" t="n">
        <v>0.37114114</v>
      </c>
      <c r="M35" s="18" t="n">
        <v>0</v>
      </c>
      <c r="N35" s="20" t="n">
        <v>0</v>
      </c>
      <c r="O35" s="18" t="n">
        <v>0</v>
      </c>
      <c r="P35" s="20" t="n">
        <v>0</v>
      </c>
      <c r="Q35" s="18" t="n">
        <v>14.29815267</v>
      </c>
      <c r="R35" s="20" t="n">
        <v>2.17645926</v>
      </c>
    </row>
    <row r="36" spans="1:18">
      <c r="A36" s="15" t="s">
        <v>460</v>
      </c>
      <c r="B36" s="17" t="n">
        <v>3332</v>
      </c>
      <c r="C36" s="18">
        <f>(2921.0/B36*100)</f>
        <v/>
      </c>
      <c r="D36" s="19" t="n">
        <v>411</v>
      </c>
      <c r="E36" s="18" t="n">
        <v>41.52626333</v>
      </c>
      <c r="F36" s="20" t="n">
        <v>2.85502881</v>
      </c>
      <c r="G36" s="18" t="n">
        <v>37.9966295</v>
      </c>
      <c r="H36" s="20" t="n">
        <v>2.10720988</v>
      </c>
      <c r="I36" s="18" t="s">
        <v>431</v>
      </c>
      <c r="J36" s="20" t="s">
        <v>431</v>
      </c>
      <c r="K36" s="18" t="n">
        <v>0.93609487</v>
      </c>
      <c r="L36" s="20" t="n">
        <v>0.39801985</v>
      </c>
      <c r="M36" s="18" t="n">
        <v>0</v>
      </c>
      <c r="N36" s="20" t="n">
        <v>0</v>
      </c>
      <c r="O36" s="18" t="n">
        <v>0</v>
      </c>
      <c r="P36" s="20" t="n">
        <v>0</v>
      </c>
      <c r="Q36" s="18" t="n">
        <v>19.5410123</v>
      </c>
      <c r="R36" s="20" t="n">
        <v>2.0721679</v>
      </c>
    </row>
    <row r="37" spans="1:18">
      <c r="A37" s="15" t="s">
        <v>461</v>
      </c>
      <c r="B37" s="17" t="n">
        <v>2727</v>
      </c>
      <c r="C37" s="18">
        <f>(2389.0/B37*100)</f>
        <v/>
      </c>
      <c r="D37" s="19" t="n">
        <v>338</v>
      </c>
      <c r="E37" s="18" t="n">
        <v>52.75642513</v>
      </c>
      <c r="F37" s="20" t="n">
        <v>2.91134703</v>
      </c>
      <c r="G37" s="18" t="n">
        <v>27.9686196</v>
      </c>
      <c r="H37" s="20" t="n">
        <v>2.38831779</v>
      </c>
      <c r="I37" s="18" t="s">
        <v>431</v>
      </c>
      <c r="J37" s="20" t="s">
        <v>431</v>
      </c>
      <c r="K37" s="18" t="n">
        <v>0.8029433</v>
      </c>
      <c r="L37" s="20" t="n">
        <v>0.50124671</v>
      </c>
      <c r="M37" s="18" t="n">
        <v>0</v>
      </c>
      <c r="N37" s="20" t="n">
        <v>0</v>
      </c>
      <c r="O37" s="18" t="n">
        <v>0</v>
      </c>
      <c r="P37" s="20" t="n">
        <v>0</v>
      </c>
      <c r="Q37" s="18" t="n">
        <v>18.47201197</v>
      </c>
      <c r="R37" s="20" t="n">
        <v>2.53044699</v>
      </c>
    </row>
    <row r="38" spans="1:18">
      <c r="A38" s="15" t="s">
        <v>462</v>
      </c>
      <c r="B38" s="17" t="n">
        <v>3053</v>
      </c>
      <c r="C38" s="18">
        <f>(2535.0/B38*100)</f>
        <v/>
      </c>
      <c r="D38" s="19" t="n">
        <v>518</v>
      </c>
      <c r="E38" s="18" t="n">
        <v>43.61636229</v>
      </c>
      <c r="F38" s="20" t="n">
        <v>2.59260705</v>
      </c>
      <c r="G38" s="18" t="n">
        <v>39.51694631</v>
      </c>
      <c r="H38" s="20" t="n">
        <v>2.495066</v>
      </c>
      <c r="I38" s="18" t="s">
        <v>431</v>
      </c>
      <c r="J38" s="20" t="s">
        <v>431</v>
      </c>
      <c r="K38" s="18" t="n">
        <v>1.58540021</v>
      </c>
      <c r="L38" s="20" t="n">
        <v>0.68211318</v>
      </c>
      <c r="M38" s="18" t="n">
        <v>0</v>
      </c>
      <c r="N38" s="20" t="n">
        <v>0</v>
      </c>
      <c r="O38" s="18" t="n">
        <v>0</v>
      </c>
      <c r="P38" s="20" t="n">
        <v>0</v>
      </c>
      <c r="Q38" s="18" t="n">
        <v>15.28129119</v>
      </c>
      <c r="R38" s="20" t="n">
        <v>1.59516691</v>
      </c>
    </row>
    <row r="39" spans="1:18">
      <c r="A39" s="15" t="s">
        <v>463</v>
      </c>
      <c r="B39" s="17" t="n">
        <v>2957</v>
      </c>
      <c r="C39" s="18">
        <f>(2595.0/B39*100)</f>
        <v/>
      </c>
      <c r="D39" s="19" t="n">
        <v>362</v>
      </c>
      <c r="E39" s="18" t="n">
        <v>56.37603951</v>
      </c>
      <c r="F39" s="20" t="n">
        <v>2.33918694</v>
      </c>
      <c r="G39" s="18" t="n">
        <v>27.35641484</v>
      </c>
      <c r="H39" s="20" t="n">
        <v>2.5145471</v>
      </c>
      <c r="I39" s="18" t="s">
        <v>431</v>
      </c>
      <c r="J39" s="20" t="s">
        <v>431</v>
      </c>
      <c r="K39" s="18" t="n">
        <v>0.19523449</v>
      </c>
      <c r="L39" s="20" t="n">
        <v>0.19767657</v>
      </c>
      <c r="M39" s="18" t="n">
        <v>0</v>
      </c>
      <c r="N39" s="20" t="n">
        <v>0</v>
      </c>
      <c r="O39" s="18" t="n">
        <v>0</v>
      </c>
      <c r="P39" s="20" t="n">
        <v>0</v>
      </c>
      <c r="Q39" s="18" t="n">
        <v>16.07231115</v>
      </c>
      <c r="R39" s="20" t="n">
        <v>1.73404614</v>
      </c>
    </row>
    <row r="40" spans="1:18">
      <c r="A40" s="15" t="s">
        <v>464</v>
      </c>
      <c r="B40" s="17" t="n">
        <v>7235</v>
      </c>
      <c r="C40" s="18">
        <f>(6379.0/B40*100)</f>
        <v/>
      </c>
      <c r="D40" s="19" t="n">
        <v>856</v>
      </c>
      <c r="E40" s="18" t="n">
        <v>33.89644425</v>
      </c>
      <c r="F40" s="20" t="n">
        <v>2.74579573</v>
      </c>
      <c r="G40" s="18" t="n">
        <v>42.44255221</v>
      </c>
      <c r="H40" s="20" t="n">
        <v>2.6671201</v>
      </c>
      <c r="I40" s="18" t="s">
        <v>431</v>
      </c>
      <c r="J40" s="20" t="s">
        <v>431</v>
      </c>
      <c r="K40" s="18" t="n">
        <v>0.8202456299999999</v>
      </c>
      <c r="L40" s="20" t="n">
        <v>0.50315688</v>
      </c>
      <c r="M40" s="18" t="n">
        <v>0</v>
      </c>
      <c r="N40" s="20" t="n">
        <v>0</v>
      </c>
      <c r="O40" s="18" t="n">
        <v>0</v>
      </c>
      <c r="P40" s="20" t="n">
        <v>0</v>
      </c>
      <c r="Q40" s="18" t="n">
        <v>22.84075791</v>
      </c>
      <c r="R40" s="20" t="n">
        <v>2.30892336</v>
      </c>
    </row>
    <row r="41" spans="1:18">
      <c r="A41" s="15" t="s">
        <v>465</v>
      </c>
      <c r="B41" s="17" t="n">
        <v>2858</v>
      </c>
      <c r="C41" s="18">
        <f>(2509.0/B41*100)</f>
        <v/>
      </c>
      <c r="D41" s="19" t="n">
        <v>349</v>
      </c>
      <c r="E41" s="18" t="n">
        <v>55.71615466</v>
      </c>
      <c r="F41" s="20" t="n">
        <v>2.77089943</v>
      </c>
      <c r="G41" s="18" t="n">
        <v>37.38918557</v>
      </c>
      <c r="H41" s="20" t="n">
        <v>2.75867239</v>
      </c>
      <c r="I41" s="18" t="s">
        <v>431</v>
      </c>
      <c r="J41" s="20" t="s">
        <v>431</v>
      </c>
      <c r="K41" s="18" t="n">
        <v>0</v>
      </c>
      <c r="L41" s="20" t="n">
        <v>0</v>
      </c>
      <c r="M41" s="18" t="n">
        <v>0</v>
      </c>
      <c r="N41" s="20" t="n">
        <v>0</v>
      </c>
      <c r="O41" s="18" t="n">
        <v>0</v>
      </c>
      <c r="P41" s="20" t="n">
        <v>0</v>
      </c>
      <c r="Q41" s="18" t="n">
        <v>6.89465976</v>
      </c>
      <c r="R41" s="20" t="n">
        <v>1.45101236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(9897.0/B46*100)</f>
        <v/>
      </c>
      <c r="D46" s="19" t="n">
        <v>1171</v>
      </c>
      <c r="E46" s="18" t="n">
        <v>50.21585631</v>
      </c>
      <c r="F46" s="20" t="n">
        <v>1.87656999</v>
      </c>
      <c r="G46" s="18" t="n">
        <v>23.38661484</v>
      </c>
      <c r="H46" s="20" t="n">
        <v>1.75926647</v>
      </c>
      <c r="I46" s="18" t="s">
        <v>431</v>
      </c>
      <c r="J46" s="20" t="s">
        <v>431</v>
      </c>
      <c r="K46" s="18" t="n">
        <v>1.37609734</v>
      </c>
      <c r="L46" s="20" t="n">
        <v>0.52024602</v>
      </c>
      <c r="M46" s="18" t="n">
        <v>0</v>
      </c>
      <c r="N46" s="20" t="n">
        <v>0</v>
      </c>
      <c r="O46" s="18" t="n">
        <v>0</v>
      </c>
      <c r="P46" s="20" t="n">
        <v>0</v>
      </c>
      <c r="Q46" s="18" t="n">
        <v>25.02143151</v>
      </c>
      <c r="R46" s="20" t="n">
        <v>1.84796622</v>
      </c>
    </row>
    <row r="47" spans="1:18">
      <c r="A47" s="15" t="s">
        <v>471</v>
      </c>
      <c r="B47" s="17" t="n">
        <v>3105</v>
      </c>
      <c r="C47" s="18">
        <f>(2757.0/B47*100)</f>
        <v/>
      </c>
      <c r="D47" s="19" t="n">
        <v>348</v>
      </c>
      <c r="E47" s="18" t="n">
        <v>56.67604807</v>
      </c>
      <c r="F47" s="20" t="n">
        <v>2.54899664</v>
      </c>
      <c r="G47" s="18" t="n">
        <v>21.05071588</v>
      </c>
      <c r="H47" s="20" t="n">
        <v>2.19592298</v>
      </c>
      <c r="I47" s="18" t="s">
        <v>431</v>
      </c>
      <c r="J47" s="20" t="s">
        <v>431</v>
      </c>
      <c r="K47" s="18" t="n">
        <v>0</v>
      </c>
      <c r="L47" s="20" t="n">
        <v>0</v>
      </c>
      <c r="M47" s="18" t="n">
        <v>0</v>
      </c>
      <c r="N47" s="20" t="n">
        <v>0</v>
      </c>
      <c r="O47" s="18" t="n">
        <v>0</v>
      </c>
      <c r="P47" s="20" t="n">
        <v>0</v>
      </c>
      <c r="Q47" s="18" t="n">
        <v>22.27323604</v>
      </c>
      <c r="R47" s="20" t="n">
        <v>2.37147411</v>
      </c>
    </row>
    <row r="48" spans="1:18">
      <c r="A48" s="15" t="s">
        <v>472</v>
      </c>
      <c r="B48" s="17" t="n">
        <v>5159</v>
      </c>
      <c r="C48" s="18">
        <f>(4522.0/B48*100)</f>
        <v/>
      </c>
      <c r="D48" s="19" t="n">
        <v>637</v>
      </c>
      <c r="E48" s="18" t="n">
        <v>52.81042266</v>
      </c>
      <c r="F48" s="20" t="n">
        <v>2.77839402</v>
      </c>
      <c r="G48" s="18" t="n">
        <v>34.1504294</v>
      </c>
      <c r="H48" s="20" t="n">
        <v>2.4231084</v>
      </c>
      <c r="I48" s="18" t="s">
        <v>431</v>
      </c>
      <c r="J48" s="20" t="s">
        <v>431</v>
      </c>
      <c r="K48" s="18" t="n">
        <v>1.35491377</v>
      </c>
      <c r="L48" s="20" t="n">
        <v>0.82546971</v>
      </c>
      <c r="M48" s="18" t="n">
        <v>0</v>
      </c>
      <c r="N48" s="20" t="n">
        <v>0</v>
      </c>
      <c r="O48" s="18" t="n">
        <v>0</v>
      </c>
      <c r="P48" s="20" t="n">
        <v>0</v>
      </c>
      <c r="Q48" s="18" t="n">
        <v>11.68423417</v>
      </c>
      <c r="R48" s="20" t="n">
        <v>1.74302291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(4974.0/B50*100)</f>
        <v/>
      </c>
      <c r="D50" s="19" t="n">
        <v>663</v>
      </c>
      <c r="E50" s="18" t="n">
        <v>58.91317626</v>
      </c>
      <c r="F50" s="20" t="n">
        <v>2.89051462</v>
      </c>
      <c r="G50" s="18" t="n">
        <v>24.71868239</v>
      </c>
      <c r="H50" s="20" t="n">
        <v>2.55026174</v>
      </c>
      <c r="I50" s="18" t="s">
        <v>431</v>
      </c>
      <c r="J50" s="20" t="s">
        <v>431</v>
      </c>
      <c r="K50" s="18" t="n">
        <v>0.79530573</v>
      </c>
      <c r="L50" s="20" t="n">
        <v>0.40711778</v>
      </c>
      <c r="M50" s="18" t="n">
        <v>0</v>
      </c>
      <c r="N50" s="20" t="n">
        <v>0</v>
      </c>
      <c r="O50" s="18" t="n">
        <v>0</v>
      </c>
      <c r="P50" s="20" t="n">
        <v>0</v>
      </c>
      <c r="Q50" s="18" t="n">
        <v>15.57283561</v>
      </c>
      <c r="R50" s="20" t="n">
        <v>1.65740971</v>
      </c>
    </row>
    <row r="51" spans="1:18">
      <c r="A51" s="15" t="s">
        <v>475</v>
      </c>
      <c r="B51" s="17" t="n">
        <v>3372</v>
      </c>
      <c r="C51" s="18">
        <f>(3022.0/B51*100)</f>
        <v/>
      </c>
      <c r="D51" s="19" t="n">
        <v>350</v>
      </c>
      <c r="E51" s="18" t="n">
        <v>64.87818342</v>
      </c>
      <c r="F51" s="20" t="n">
        <v>2.99170373</v>
      </c>
      <c r="G51" s="18" t="n">
        <v>15.53182525</v>
      </c>
      <c r="H51" s="20" t="n">
        <v>2.14514447</v>
      </c>
      <c r="I51" s="18" t="s">
        <v>431</v>
      </c>
      <c r="J51" s="20" t="s">
        <v>431</v>
      </c>
      <c r="K51" s="18" t="n">
        <v>0.8746935</v>
      </c>
      <c r="L51" s="20" t="n">
        <v>0.58469121</v>
      </c>
      <c r="M51" s="18" t="n">
        <v>0</v>
      </c>
      <c r="N51" s="20" t="n">
        <v>0</v>
      </c>
      <c r="O51" s="18" t="n">
        <v>0</v>
      </c>
      <c r="P51" s="20" t="n">
        <v>0</v>
      </c>
      <c r="Q51" s="18" t="n">
        <v>18.71529784</v>
      </c>
      <c r="R51" s="20" t="n">
        <v>2.14981019</v>
      </c>
    </row>
    <row r="52" spans="1:18">
      <c r="A52" s="15" t="s">
        <v>476</v>
      </c>
      <c r="B52" s="17" t="n">
        <v>2796</v>
      </c>
      <c r="C52" s="18">
        <f>(2449.0/B52*100)</f>
        <v/>
      </c>
      <c r="D52" s="19" t="n">
        <v>347</v>
      </c>
      <c r="E52" s="18" t="n">
        <v>42.40856708</v>
      </c>
      <c r="F52" s="20" t="n">
        <v>2.24223967</v>
      </c>
      <c r="G52" s="18" t="n">
        <v>38.35817752</v>
      </c>
      <c r="H52" s="20" t="n">
        <v>2.68361165</v>
      </c>
      <c r="I52" s="18" t="s">
        <v>431</v>
      </c>
      <c r="J52" s="20" t="s">
        <v>431</v>
      </c>
      <c r="K52" s="18" t="n">
        <v>0.26412632</v>
      </c>
      <c r="L52" s="20" t="n">
        <v>0.26356042</v>
      </c>
      <c r="M52" s="18" t="n">
        <v>0</v>
      </c>
      <c r="N52" s="20" t="n">
        <v>0</v>
      </c>
      <c r="O52" s="18" t="n">
        <v>0</v>
      </c>
      <c r="P52" s="20" t="n">
        <v>0</v>
      </c>
      <c r="Q52" s="18" t="n">
        <v>18.96912908</v>
      </c>
      <c r="R52" s="20" t="n">
        <v>1.96639147</v>
      </c>
    </row>
    <row r="53" spans="1:18">
      <c r="A53" s="15" t="s">
        <v>477</v>
      </c>
      <c r="B53" s="17" t="n">
        <v>2811</v>
      </c>
      <c r="C53" s="18">
        <f>(2471.0/B53*100)</f>
        <v/>
      </c>
      <c r="D53" s="19" t="n">
        <v>340</v>
      </c>
      <c r="E53" s="18" t="n">
        <v>38.58912655</v>
      </c>
      <c r="F53" s="20" t="n">
        <v>2.9380329</v>
      </c>
      <c r="G53" s="18" t="n">
        <v>33.88648121</v>
      </c>
      <c r="H53" s="20" t="n">
        <v>2.67306242</v>
      </c>
      <c r="I53" s="18" t="s">
        <v>431</v>
      </c>
      <c r="J53" s="20" t="s">
        <v>431</v>
      </c>
      <c r="K53" s="18" t="n">
        <v>0.43056435</v>
      </c>
      <c r="L53" s="20" t="n">
        <v>0.43753629</v>
      </c>
      <c r="M53" s="18" t="n">
        <v>0</v>
      </c>
      <c r="N53" s="20" t="n">
        <v>0</v>
      </c>
      <c r="O53" s="18" t="n">
        <v>0</v>
      </c>
      <c r="P53" s="20" t="n">
        <v>0</v>
      </c>
      <c r="Q53" s="18" t="n">
        <v>27.09382789</v>
      </c>
      <c r="R53" s="20" t="n">
        <v>2.45841191</v>
      </c>
    </row>
    <row r="54" spans="1:18">
      <c r="A54" s="15" t="s">
        <v>478</v>
      </c>
      <c r="B54" s="17" t="n">
        <v>2266</v>
      </c>
      <c r="C54" s="18">
        <f>(1904.0/B54*100)</f>
        <v/>
      </c>
      <c r="D54" s="19" t="n">
        <v>362</v>
      </c>
      <c r="E54" s="18" t="n">
        <v>47.17456011</v>
      </c>
      <c r="F54" s="20" t="n">
        <v>2.75431265</v>
      </c>
      <c r="G54" s="18" t="n">
        <v>14.26132126</v>
      </c>
      <c r="H54" s="20" t="n">
        <v>1.77085456</v>
      </c>
      <c r="I54" s="18" t="s">
        <v>431</v>
      </c>
      <c r="J54" s="20" t="s">
        <v>431</v>
      </c>
      <c r="K54" s="18" t="n">
        <v>8.648068840000001</v>
      </c>
      <c r="L54" s="20" t="n">
        <v>1.95980179</v>
      </c>
      <c r="M54" s="18" t="n">
        <v>0</v>
      </c>
      <c r="N54" s="20" t="n">
        <v>0</v>
      </c>
      <c r="O54" s="18" t="n">
        <v>0</v>
      </c>
      <c r="P54" s="20" t="n">
        <v>0</v>
      </c>
      <c r="Q54" s="18" t="n">
        <v>29.9160498</v>
      </c>
      <c r="R54" s="20" t="n">
        <v>2.24835371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(2343.0/B56*100)</f>
        <v/>
      </c>
      <c r="D56" s="19" t="n">
        <v>341</v>
      </c>
      <c r="E56" s="18" t="n">
        <v>61.50488895</v>
      </c>
      <c r="F56" s="20" t="n">
        <v>2.95698671</v>
      </c>
      <c r="G56" s="18" t="n">
        <v>29.00363801</v>
      </c>
      <c r="H56" s="20" t="n">
        <v>3.02547915</v>
      </c>
      <c r="I56" s="18" t="s">
        <v>431</v>
      </c>
      <c r="J56" s="20" t="s">
        <v>431</v>
      </c>
      <c r="K56" s="18" t="n">
        <v>0.50900394</v>
      </c>
      <c r="L56" s="20" t="n">
        <v>0.36158102</v>
      </c>
      <c r="M56" s="18" t="n">
        <v>0</v>
      </c>
      <c r="N56" s="20" t="n">
        <v>0</v>
      </c>
      <c r="O56" s="18" t="n">
        <v>0</v>
      </c>
      <c r="P56" s="20" t="n">
        <v>0</v>
      </c>
      <c r="Q56" s="18" t="n">
        <v>8.982469099999999</v>
      </c>
      <c r="R56" s="20" t="n">
        <v>1.69673487</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(2943.0/B61*100)</f>
        <v/>
      </c>
      <c r="D61" s="19" t="n">
        <v>381</v>
      </c>
      <c r="E61" s="18" t="n">
        <v>49.38520674</v>
      </c>
      <c r="F61" s="20" t="n">
        <v>3.08087996</v>
      </c>
      <c r="G61" s="18" t="n">
        <v>30.99492778</v>
      </c>
      <c r="H61" s="20" t="n">
        <v>2.76961874</v>
      </c>
      <c r="I61" s="18" t="s">
        <v>431</v>
      </c>
      <c r="J61" s="20" t="s">
        <v>431</v>
      </c>
      <c r="K61" s="18" t="n">
        <v>0.39031258</v>
      </c>
      <c r="L61" s="20" t="n">
        <v>0.34579791</v>
      </c>
      <c r="M61" s="18" t="n">
        <v>0</v>
      </c>
      <c r="N61" s="20" t="n">
        <v>0</v>
      </c>
      <c r="O61" s="18" t="n">
        <v>0</v>
      </c>
      <c r="P61" s="20" t="n">
        <v>0</v>
      </c>
      <c r="Q61" s="18" t="n">
        <v>19.22955289</v>
      </c>
      <c r="R61" s="20" t="n">
        <v>2.21183794</v>
      </c>
    </row>
    <row r="62" spans="1:18">
      <c r="A62" s="15" t="s">
        <v>486</v>
      </c>
      <c r="B62" s="17" t="n">
        <v>2246</v>
      </c>
      <c r="C62" s="18">
        <f>(1951.0/B62*100)</f>
        <v/>
      </c>
      <c r="D62" s="19" t="n">
        <v>295</v>
      </c>
      <c r="E62" s="18" t="n">
        <v>63.02573263</v>
      </c>
      <c r="F62" s="20" t="n">
        <v>2.82925578</v>
      </c>
      <c r="G62" s="18" t="n">
        <v>30.49987135</v>
      </c>
      <c r="H62" s="20" t="n">
        <v>2.91008828</v>
      </c>
      <c r="I62" s="18" t="s">
        <v>431</v>
      </c>
      <c r="J62" s="20" t="s">
        <v>431</v>
      </c>
      <c r="K62" s="18" t="n">
        <v>0.34833814</v>
      </c>
      <c r="L62" s="20" t="n">
        <v>0.34614501</v>
      </c>
      <c r="M62" s="18" t="n">
        <v>0</v>
      </c>
      <c r="N62" s="20" t="n">
        <v>0</v>
      </c>
      <c r="O62" s="18" t="n">
        <v>0</v>
      </c>
      <c r="P62" s="20" t="n">
        <v>0</v>
      </c>
      <c r="Q62" s="18" t="n">
        <v>6.12605788</v>
      </c>
      <c r="R62" s="20" t="n">
        <v>1.2740606</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(2545.0/B66*100)</f>
        <v/>
      </c>
      <c r="D66" s="19" t="n">
        <v>349</v>
      </c>
      <c r="E66" s="18" t="n">
        <v>32.59719348</v>
      </c>
      <c r="F66" s="20" t="n">
        <v>2.22407528</v>
      </c>
      <c r="G66" s="18" t="n">
        <v>15.76867139</v>
      </c>
      <c r="H66" s="20" t="n">
        <v>2.01048833</v>
      </c>
      <c r="I66" s="18" t="s">
        <v>431</v>
      </c>
      <c r="J66" s="20" t="s">
        <v>431</v>
      </c>
      <c r="K66" s="18" t="n">
        <v>2.22875677</v>
      </c>
      <c r="L66" s="20" t="n">
        <v>0.8955386400000001</v>
      </c>
      <c r="M66" s="18" t="n">
        <v>0</v>
      </c>
      <c r="N66" s="20" t="n">
        <v>0</v>
      </c>
      <c r="O66" s="18" t="n">
        <v>0</v>
      </c>
      <c r="P66" s="20" t="n">
        <v>0</v>
      </c>
      <c r="Q66" s="18" t="n">
        <v>49.40537836</v>
      </c>
      <c r="R66" s="20" t="n">
        <v>2.77541894</v>
      </c>
    </row>
    <row r="67" spans="1:18">
      <c r="A67" s="15" t="s">
        <v>491</v>
      </c>
      <c r="B67" s="17" t="n">
        <v>3511</v>
      </c>
      <c r="C67" s="18">
        <f>(3100.0/B67*100)</f>
        <v/>
      </c>
      <c r="D67" s="19" t="n">
        <v>411</v>
      </c>
      <c r="E67" s="18" t="n">
        <v>69.84563073</v>
      </c>
      <c r="F67" s="20" t="n">
        <v>2.2701845</v>
      </c>
      <c r="G67" s="18" t="n">
        <v>8.69899794</v>
      </c>
      <c r="H67" s="20" t="n">
        <v>1.39058861</v>
      </c>
      <c r="I67" s="18" t="s">
        <v>431</v>
      </c>
      <c r="J67" s="20" t="s">
        <v>431</v>
      </c>
      <c r="K67" s="18" t="n">
        <v>0.18447797</v>
      </c>
      <c r="L67" s="20" t="n">
        <v>0.18352449</v>
      </c>
      <c r="M67" s="18" t="n">
        <v>0</v>
      </c>
      <c r="N67" s="20" t="n">
        <v>0</v>
      </c>
      <c r="O67" s="18" t="n">
        <v>0</v>
      </c>
      <c r="P67" s="20" t="n">
        <v>0</v>
      </c>
      <c r="Q67" s="18" t="n">
        <v>21.27089335</v>
      </c>
      <c r="R67" s="20" t="n">
        <v>2.40192303</v>
      </c>
    </row>
    <row r="68" spans="1:18">
      <c r="A68" s="15" t="s">
        <v>492</v>
      </c>
      <c r="B68" s="17" t="n">
        <v>6049</v>
      </c>
      <c r="C68" s="18">
        <f>(5037.0/B68*100)</f>
        <v/>
      </c>
      <c r="D68" s="19" t="n">
        <v>1012</v>
      </c>
      <c r="E68" s="18" t="n">
        <v>58.39925754</v>
      </c>
      <c r="F68" s="20" t="n">
        <v>1.32120088</v>
      </c>
      <c r="G68" s="18" t="n">
        <v>16.25210603</v>
      </c>
      <c r="H68" s="20" t="n">
        <v>1.12707843</v>
      </c>
      <c r="I68" s="18" t="s">
        <v>431</v>
      </c>
      <c r="J68" s="20" t="s">
        <v>431</v>
      </c>
      <c r="K68" s="18" t="n">
        <v>3.51992169</v>
      </c>
      <c r="L68" s="20" t="n">
        <v>0.60985508</v>
      </c>
      <c r="M68" s="18" t="n">
        <v>0</v>
      </c>
      <c r="N68" s="20" t="n">
        <v>0</v>
      </c>
      <c r="O68" s="18" t="n">
        <v>0</v>
      </c>
      <c r="P68" s="20" t="n">
        <v>0</v>
      </c>
      <c r="Q68" s="18" t="n">
        <v>21.82871474</v>
      </c>
      <c r="R68" s="20" t="n">
        <v>1.23585974</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(2573.0/B70*100)</f>
        <v/>
      </c>
      <c r="D70" s="19" t="n">
        <v>356</v>
      </c>
      <c r="E70" s="18" t="n">
        <v>47.18375074</v>
      </c>
      <c r="F70" s="20" t="n">
        <v>2.99818803</v>
      </c>
      <c r="G70" s="18" t="n">
        <v>35.44445901</v>
      </c>
      <c r="H70" s="20" t="n">
        <v>2.45937798</v>
      </c>
      <c r="I70" s="18" t="s">
        <v>431</v>
      </c>
      <c r="J70" s="20" t="s">
        <v>431</v>
      </c>
      <c r="K70" s="18" t="n">
        <v>0</v>
      </c>
      <c r="L70" s="20" t="n">
        <v>0</v>
      </c>
      <c r="M70" s="18" t="n">
        <v>0</v>
      </c>
      <c r="N70" s="20" t="n">
        <v>0</v>
      </c>
      <c r="O70" s="18" t="n">
        <v>0</v>
      </c>
      <c r="P70" s="20" t="n">
        <v>0</v>
      </c>
      <c r="Q70" s="18" t="n">
        <v>17.37179026</v>
      </c>
      <c r="R70" s="20" t="n">
        <v>2.07758037</v>
      </c>
    </row>
    <row r="71" spans="1:18">
      <c r="A71" s="15" t="s">
        <v>495</v>
      </c>
      <c r="B71" s="17" t="n">
        <v>3142</v>
      </c>
      <c r="C71" s="18">
        <f>(2750.0/B71*100)</f>
        <v/>
      </c>
      <c r="D71" s="19" t="n">
        <v>392</v>
      </c>
      <c r="E71" s="18" t="n">
        <v>61.1360101</v>
      </c>
      <c r="F71" s="20" t="n">
        <v>2.9699773</v>
      </c>
      <c r="G71" s="18" t="n">
        <v>33.62153632</v>
      </c>
      <c r="H71" s="20" t="n">
        <v>2.72795396</v>
      </c>
      <c r="I71" s="18" t="s">
        <v>431</v>
      </c>
      <c r="J71" s="20" t="s">
        <v>431</v>
      </c>
      <c r="K71" s="18" t="n">
        <v>0.23156256</v>
      </c>
      <c r="L71" s="20" t="n">
        <v>0.23458441</v>
      </c>
      <c r="M71" s="18" t="n">
        <v>0</v>
      </c>
      <c r="N71" s="20" t="n">
        <v>0</v>
      </c>
      <c r="O71" s="18" t="n">
        <v>0</v>
      </c>
      <c r="P71" s="20" t="n">
        <v>0</v>
      </c>
      <c r="Q71" s="18" t="n">
        <v>5.01089101</v>
      </c>
      <c r="R71" s="20" t="n">
        <v>1.18120835</v>
      </c>
    </row>
    <row r="72" spans="1:18">
      <c r="A72" s="15" t="s">
        <v>496</v>
      </c>
      <c r="B72" s="17" t="n">
        <v>3889</v>
      </c>
      <c r="C72" s="18">
        <f>(3407.0/B72*100)</f>
        <v/>
      </c>
      <c r="D72" s="19" t="n">
        <v>482</v>
      </c>
      <c r="E72" s="18" t="n">
        <v>49.70536942</v>
      </c>
      <c r="F72" s="20" t="n">
        <v>2.28089998</v>
      </c>
      <c r="G72" s="18" t="n">
        <v>37.6611651</v>
      </c>
      <c r="H72" s="20" t="n">
        <v>2.34487084</v>
      </c>
      <c r="I72" s="18" t="s">
        <v>431</v>
      </c>
      <c r="J72" s="20" t="s">
        <v>431</v>
      </c>
      <c r="K72" s="18" t="n">
        <v>0</v>
      </c>
      <c r="L72" s="20" t="n">
        <v>0</v>
      </c>
      <c r="M72" s="18" t="n">
        <v>0</v>
      </c>
      <c r="N72" s="20" t="n">
        <v>0</v>
      </c>
      <c r="O72" s="18" t="n">
        <v>0</v>
      </c>
      <c r="P72" s="20" t="n">
        <v>0</v>
      </c>
      <c r="Q72" s="18" t="n">
        <v>12.63346548</v>
      </c>
      <c r="R72" s="20" t="n">
        <v>1.74113871</v>
      </c>
    </row>
    <row r="73" spans="1:18">
      <c r="A73" s="15" t="s">
        <v>497</v>
      </c>
      <c r="B73" s="17" t="n">
        <v>3597</v>
      </c>
      <c r="C73" s="18">
        <f>(3171.0/B73*100)</f>
        <v/>
      </c>
      <c r="D73" s="19" t="n">
        <v>426</v>
      </c>
      <c r="E73" s="18" t="n">
        <v>80.78026489</v>
      </c>
      <c r="F73" s="20" t="n">
        <v>2.32565198</v>
      </c>
      <c r="G73" s="18" t="n">
        <v>10.28323061</v>
      </c>
      <c r="H73" s="20" t="n">
        <v>1.67588163</v>
      </c>
      <c r="I73" s="18" t="s">
        <v>431</v>
      </c>
      <c r="J73" s="20" t="s">
        <v>431</v>
      </c>
      <c r="K73" s="18" t="n">
        <v>0.33995674</v>
      </c>
      <c r="L73" s="20" t="n">
        <v>0.33878985</v>
      </c>
      <c r="M73" s="18" t="n">
        <v>0</v>
      </c>
      <c r="N73" s="20" t="n">
        <v>0</v>
      </c>
      <c r="O73" s="18" t="n">
        <v>0</v>
      </c>
      <c r="P73" s="20" t="n">
        <v>0</v>
      </c>
      <c r="Q73" s="18" t="n">
        <v>8.59654776</v>
      </c>
      <c r="R73" s="20" t="n">
        <v>1.52538887</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(2129.0/B75*100)</f>
        <v/>
      </c>
      <c r="D75" s="19" t="n">
        <v>277</v>
      </c>
      <c r="E75" s="18" t="n">
        <v>57.13518152</v>
      </c>
      <c r="F75" s="20" t="n">
        <v>2.95479511</v>
      </c>
      <c r="G75" s="18" t="n">
        <v>10.93912496</v>
      </c>
      <c r="H75" s="20" t="n">
        <v>1.87431192</v>
      </c>
      <c r="I75" s="18" t="s">
        <v>431</v>
      </c>
      <c r="J75" s="20" t="s">
        <v>431</v>
      </c>
      <c r="K75" s="18" t="n">
        <v>2.56862166</v>
      </c>
      <c r="L75" s="20" t="n">
        <v>1.06021518</v>
      </c>
      <c r="M75" s="18" t="n">
        <v>0</v>
      </c>
      <c r="N75" s="20" t="n">
        <v>0</v>
      </c>
      <c r="O75" s="18" t="n">
        <v>0</v>
      </c>
      <c r="P75" s="20" t="n">
        <v>0</v>
      </c>
      <c r="Q75" s="18" t="n">
        <v>29.35707186</v>
      </c>
      <c r="R75" s="20" t="n">
        <v>2.7893574</v>
      </c>
    </row>
    <row r="76" spans="1:18">
      <c r="A76" s="15" t="s">
        <v>500</v>
      </c>
      <c r="B76" s="17" t="n">
        <v>7052</v>
      </c>
      <c r="C76" s="18">
        <f>(6196.0/B76*100)</f>
        <v/>
      </c>
      <c r="D76" s="19" t="n">
        <v>856</v>
      </c>
      <c r="E76" s="18" t="n">
        <v>61.93638133</v>
      </c>
      <c r="F76" s="20" t="n">
        <v>1.97236325</v>
      </c>
      <c r="G76" s="18" t="n">
        <v>19.74804169</v>
      </c>
      <c r="H76" s="20" t="n">
        <v>1.39003542</v>
      </c>
      <c r="I76" s="18" t="s">
        <v>431</v>
      </c>
      <c r="J76" s="20" t="s">
        <v>431</v>
      </c>
      <c r="K76" s="18" t="n">
        <v>0.7342697</v>
      </c>
      <c r="L76" s="20" t="n">
        <v>0.29248554</v>
      </c>
      <c r="M76" s="18" t="n">
        <v>0</v>
      </c>
      <c r="N76" s="20" t="n">
        <v>0</v>
      </c>
      <c r="O76" s="18" t="n">
        <v>0</v>
      </c>
      <c r="P76" s="20" t="n">
        <v>0</v>
      </c>
      <c r="Q76" s="18" t="n">
        <v>17.58130729</v>
      </c>
      <c r="R76" s="20" t="n">
        <v>1.61249545</v>
      </c>
    </row>
    <row r="77" spans="1:18">
      <c r="A77" s="15" t="s">
        <v>501</v>
      </c>
      <c r="B77" s="17" t="n">
        <v>2908</v>
      </c>
      <c r="C77" s="18">
        <f>(2542.0/B77*100)</f>
        <v/>
      </c>
      <c r="D77" s="19" t="n">
        <v>366</v>
      </c>
      <c r="E77" s="18" t="n">
        <v>38.50666903</v>
      </c>
      <c r="F77" s="20" t="n">
        <v>2.56780794</v>
      </c>
      <c r="G77" s="18" t="n">
        <v>26.97123885</v>
      </c>
      <c r="H77" s="20" t="n">
        <v>2.30991464</v>
      </c>
      <c r="I77" s="18" t="s">
        <v>431</v>
      </c>
      <c r="J77" s="20" t="s">
        <v>431</v>
      </c>
      <c r="K77" s="18" t="n">
        <v>2.55984388</v>
      </c>
      <c r="L77" s="20" t="n">
        <v>0.8912255</v>
      </c>
      <c r="M77" s="18" t="n">
        <v>0</v>
      </c>
      <c r="N77" s="20" t="n">
        <v>0</v>
      </c>
      <c r="O77" s="18" t="n">
        <v>0</v>
      </c>
      <c r="P77" s="20" t="n">
        <v>0</v>
      </c>
      <c r="Q77" s="18" t="n">
        <v>31.96224824</v>
      </c>
      <c r="R77" s="20" t="n">
        <v>2.81045731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(3642.0/B81*100)</f>
        <v/>
      </c>
      <c r="D81" s="19" t="n">
        <v>521</v>
      </c>
      <c r="E81" s="18" t="n">
        <v>83.88643664</v>
      </c>
      <c r="F81" s="20" t="n">
        <v>1.97915181</v>
      </c>
      <c r="G81" s="18" t="n">
        <v>9.452244840000001</v>
      </c>
      <c r="H81" s="20" t="n">
        <v>1.44751741</v>
      </c>
      <c r="I81" s="18" t="s">
        <v>431</v>
      </c>
      <c r="J81" s="20" t="s">
        <v>431</v>
      </c>
      <c r="K81" s="18" t="n">
        <v>0</v>
      </c>
      <c r="L81" s="20" t="n">
        <v>0</v>
      </c>
      <c r="M81" s="18" t="n">
        <v>0</v>
      </c>
      <c r="N81" s="20" t="n">
        <v>0</v>
      </c>
      <c r="O81" s="18" t="n">
        <v>0</v>
      </c>
      <c r="P81" s="20" t="n">
        <v>0</v>
      </c>
      <c r="Q81" s="18" t="n">
        <v>6.66131852</v>
      </c>
      <c r="R81" s="20" t="n">
        <v>1.40323764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(6486.0/B7*100)</f>
        <v/>
      </c>
      <c r="D7" s="19" t="n">
        <v>881</v>
      </c>
      <c r="E7" s="18" t="n">
        <v>49.05262536</v>
      </c>
      <c r="F7" s="20" t="n">
        <v>2.09978606</v>
      </c>
      <c r="G7" s="18" t="n">
        <v>46.3109577</v>
      </c>
      <c r="H7" s="20" t="n">
        <v>2.13931867</v>
      </c>
      <c r="I7" s="18" t="s">
        <v>431</v>
      </c>
      <c r="J7" s="20" t="s">
        <v>431</v>
      </c>
      <c r="K7" s="18" t="n">
        <v>0.39946518</v>
      </c>
      <c r="L7" s="20" t="n">
        <v>0.2289341</v>
      </c>
      <c r="M7" s="18" t="n">
        <v>0.09054928</v>
      </c>
      <c r="N7" s="20" t="n">
        <v>0.05656102</v>
      </c>
      <c r="O7" s="18" t="n">
        <v>0</v>
      </c>
      <c r="P7" s="20" t="n">
        <v>0</v>
      </c>
      <c r="Q7" s="18" t="n">
        <v>4.14640248</v>
      </c>
      <c r="R7" s="20" t="n">
        <v>0.78896612</v>
      </c>
    </row>
    <row r="8" spans="1:18">
      <c r="A8" s="15" t="s">
        <v>432</v>
      </c>
      <c r="B8" s="17" t="n">
        <v>3564</v>
      </c>
      <c r="C8" s="18">
        <f>(3117.0/B8*100)</f>
        <v/>
      </c>
      <c r="D8" s="19" t="n">
        <v>447</v>
      </c>
      <c r="E8" s="18" t="n">
        <v>33.81186705</v>
      </c>
      <c r="F8" s="20" t="n">
        <v>2.16276263</v>
      </c>
      <c r="G8" s="18" t="n">
        <v>59.46869998</v>
      </c>
      <c r="H8" s="20" t="n">
        <v>2.4619539</v>
      </c>
      <c r="I8" s="18" t="s">
        <v>431</v>
      </c>
      <c r="J8" s="20" t="s">
        <v>431</v>
      </c>
      <c r="K8" s="18" t="n">
        <v>0.49239405</v>
      </c>
      <c r="L8" s="20" t="n">
        <v>0.35107203</v>
      </c>
      <c r="M8" s="18" t="n">
        <v>0</v>
      </c>
      <c r="N8" s="20" t="n">
        <v>0</v>
      </c>
      <c r="O8" s="18" t="n">
        <v>0</v>
      </c>
      <c r="P8" s="20" t="n">
        <v>0</v>
      </c>
      <c r="Q8" s="18" t="n">
        <v>6.22703892</v>
      </c>
      <c r="R8" s="20" t="n">
        <v>1.23153518</v>
      </c>
    </row>
    <row r="9" spans="1:18">
      <c r="A9" s="15" t="s">
        <v>433</v>
      </c>
      <c r="B9" s="17" t="n">
        <v>4899</v>
      </c>
      <c r="C9" s="18">
        <f>(4327.0/B9*100)</f>
        <v/>
      </c>
      <c r="D9" s="19" t="n">
        <v>572</v>
      </c>
      <c r="E9" s="18" t="n">
        <v>24.05496176</v>
      </c>
      <c r="F9" s="20" t="n">
        <v>1.89527437</v>
      </c>
      <c r="G9" s="18" t="n">
        <v>69.14244926000001</v>
      </c>
      <c r="H9" s="20" t="n">
        <v>2.15299186</v>
      </c>
      <c r="I9" s="18" t="s">
        <v>431</v>
      </c>
      <c r="J9" s="20" t="s">
        <v>431</v>
      </c>
      <c r="K9" s="18" t="n">
        <v>0.96417704</v>
      </c>
      <c r="L9" s="20" t="n">
        <v>0.42373646</v>
      </c>
      <c r="M9" s="18" t="n">
        <v>0.15311656</v>
      </c>
      <c r="N9" s="20" t="n">
        <v>0.15813701</v>
      </c>
      <c r="O9" s="18" t="n">
        <v>0</v>
      </c>
      <c r="P9" s="20" t="n">
        <v>0</v>
      </c>
      <c r="Q9" s="18" t="n">
        <v>5.68529538</v>
      </c>
      <c r="R9" s="20" t="n">
        <v>0.98523723</v>
      </c>
    </row>
    <row r="10" spans="1:18">
      <c r="A10" s="15" t="s">
        <v>434</v>
      </c>
      <c r="B10" s="17" t="n">
        <v>10036</v>
      </c>
      <c r="C10" s="18">
        <f>(8756.0/B10*100)</f>
        <v/>
      </c>
      <c r="D10" s="19" t="n">
        <v>1280</v>
      </c>
      <c r="E10" s="18" t="n">
        <v>43.79200895</v>
      </c>
      <c r="F10" s="20" t="n">
        <v>1.70071636</v>
      </c>
      <c r="G10" s="18" t="n">
        <v>53.46903701</v>
      </c>
      <c r="H10" s="20" t="n">
        <v>1.68588861</v>
      </c>
      <c r="I10" s="18" t="s">
        <v>431</v>
      </c>
      <c r="J10" s="20" t="s">
        <v>431</v>
      </c>
      <c r="K10" s="18" t="n">
        <v>0.34262155</v>
      </c>
      <c r="L10" s="20" t="n">
        <v>0.22586146</v>
      </c>
      <c r="M10" s="18" t="n">
        <v>0.08393874</v>
      </c>
      <c r="N10" s="20" t="n">
        <v>0.08421720000000001</v>
      </c>
      <c r="O10" s="18" t="n">
        <v>0</v>
      </c>
      <c r="P10" s="20" t="n">
        <v>0</v>
      </c>
      <c r="Q10" s="18" t="n">
        <v>2.31239375</v>
      </c>
      <c r="R10" s="20" t="n">
        <v>0.5959588099999999</v>
      </c>
    </row>
    <row r="11" spans="1:18">
      <c r="A11" s="15" t="s">
        <v>435</v>
      </c>
      <c r="B11" s="17" t="n">
        <v>3553</v>
      </c>
      <c r="C11" s="18">
        <f>(3159.0/B11*100)</f>
        <v/>
      </c>
      <c r="D11" s="19" t="n">
        <v>394</v>
      </c>
      <c r="E11" s="18" t="n">
        <v>38.22960542</v>
      </c>
      <c r="F11" s="20" t="n">
        <v>2.61234709</v>
      </c>
      <c r="G11" s="18" t="n">
        <v>54.37447413</v>
      </c>
      <c r="H11" s="20" t="n">
        <v>2.66992873</v>
      </c>
      <c r="I11" s="18" t="s">
        <v>431</v>
      </c>
      <c r="J11" s="20" t="s">
        <v>431</v>
      </c>
      <c r="K11" s="18" t="n">
        <v>1.15777028</v>
      </c>
      <c r="L11" s="20" t="n">
        <v>0.81837649</v>
      </c>
      <c r="M11" s="18" t="n">
        <v>0</v>
      </c>
      <c r="N11" s="20" t="n">
        <v>0</v>
      </c>
      <c r="O11" s="18" t="n">
        <v>0</v>
      </c>
      <c r="P11" s="20" t="n">
        <v>0</v>
      </c>
      <c r="Q11" s="18" t="n">
        <v>6.23815017</v>
      </c>
      <c r="R11" s="20" t="n">
        <v>1.1962627</v>
      </c>
    </row>
    <row r="12" spans="1:18">
      <c r="A12" s="15" t="s">
        <v>436</v>
      </c>
      <c r="B12" s="17" t="n">
        <v>3472</v>
      </c>
      <c r="C12" s="18">
        <f>(3043.0/B12*100)</f>
        <v/>
      </c>
      <c r="D12" s="19" t="n">
        <v>429</v>
      </c>
      <c r="E12" s="18" t="n">
        <v>28.53137261</v>
      </c>
      <c r="F12" s="20" t="n">
        <v>2.5689717</v>
      </c>
      <c r="G12" s="18" t="n">
        <v>62.49273759</v>
      </c>
      <c r="H12" s="20" t="n">
        <v>2.96894135</v>
      </c>
      <c r="I12" s="18" t="s">
        <v>431</v>
      </c>
      <c r="J12" s="20" t="s">
        <v>431</v>
      </c>
      <c r="K12" s="18" t="n">
        <v>0.20482668</v>
      </c>
      <c r="L12" s="20" t="n">
        <v>0.20168643</v>
      </c>
      <c r="M12" s="18" t="n">
        <v>0.1704918</v>
      </c>
      <c r="N12" s="20" t="n">
        <v>0.17004124</v>
      </c>
      <c r="O12" s="18" t="n">
        <v>0</v>
      </c>
      <c r="P12" s="20" t="n">
        <v>0</v>
      </c>
      <c r="Q12" s="18" t="n">
        <v>8.60057132</v>
      </c>
      <c r="R12" s="20" t="n">
        <v>1.58404726</v>
      </c>
    </row>
    <row r="13" spans="1:18">
      <c r="A13" s="15" t="s">
        <v>437</v>
      </c>
      <c r="B13" s="17" t="n">
        <v>3559</v>
      </c>
      <c r="C13" s="18">
        <f>(3129.0/B13*100)</f>
        <v/>
      </c>
      <c r="D13" s="19" t="n">
        <v>430</v>
      </c>
      <c r="E13" s="18" t="n">
        <v>25.55321959</v>
      </c>
      <c r="F13" s="20" t="n">
        <v>2.45470374</v>
      </c>
      <c r="G13" s="18" t="n">
        <v>71.41567833000001</v>
      </c>
      <c r="H13" s="20" t="n">
        <v>2.40143347</v>
      </c>
      <c r="I13" s="18" t="s">
        <v>431</v>
      </c>
      <c r="J13" s="20" t="s">
        <v>431</v>
      </c>
      <c r="K13" s="18" t="n">
        <v>0.65090953</v>
      </c>
      <c r="L13" s="20" t="n">
        <v>0.39274157</v>
      </c>
      <c r="M13" s="18" t="n">
        <v>0.02756243</v>
      </c>
      <c r="N13" s="20" t="n">
        <v>0.01951568</v>
      </c>
      <c r="O13" s="18" t="n">
        <v>0</v>
      </c>
      <c r="P13" s="20" t="n">
        <v>0</v>
      </c>
      <c r="Q13" s="18" t="n">
        <v>2.35263012</v>
      </c>
      <c r="R13" s="20" t="n">
        <v>0.71312821</v>
      </c>
    </row>
    <row r="14" spans="1:18">
      <c r="A14" s="15" t="s">
        <v>438</v>
      </c>
      <c r="B14" s="17" t="n">
        <v>2799</v>
      </c>
      <c r="C14" s="18">
        <f>(2469.0/B14*100)</f>
        <v/>
      </c>
      <c r="D14" s="19" t="n">
        <v>330</v>
      </c>
      <c r="E14" s="18" t="n">
        <v>40.76495616</v>
      </c>
      <c r="F14" s="20" t="n">
        <v>2.92195874</v>
      </c>
      <c r="G14" s="18" t="n">
        <v>57.09050256</v>
      </c>
      <c r="H14" s="20" t="n">
        <v>3.15721222</v>
      </c>
      <c r="I14" s="18" t="s">
        <v>431</v>
      </c>
      <c r="J14" s="20" t="s">
        <v>431</v>
      </c>
      <c r="K14" s="18" t="n">
        <v>0.29821235</v>
      </c>
      <c r="L14" s="20" t="n">
        <v>0.29316506</v>
      </c>
      <c r="M14" s="18" t="n">
        <v>0</v>
      </c>
      <c r="N14" s="20" t="n">
        <v>0</v>
      </c>
      <c r="O14" s="18" t="n">
        <v>0</v>
      </c>
      <c r="P14" s="20" t="n">
        <v>0</v>
      </c>
      <c r="Q14" s="18" t="n">
        <v>1.84632893</v>
      </c>
      <c r="R14" s="20" t="n">
        <v>0.82443502</v>
      </c>
    </row>
    <row r="15" spans="1:18">
      <c r="A15" s="15" t="s">
        <v>439</v>
      </c>
      <c r="B15" s="17" t="n">
        <v>3019</v>
      </c>
      <c r="C15" s="18">
        <f>(2637.0/B15*100)</f>
        <v/>
      </c>
      <c r="D15" s="19" t="n">
        <v>382</v>
      </c>
      <c r="E15" s="18" t="n">
        <v>41.69955585</v>
      </c>
      <c r="F15" s="20" t="n">
        <v>2.49232222</v>
      </c>
      <c r="G15" s="18" t="n">
        <v>53.8653536</v>
      </c>
      <c r="H15" s="20" t="n">
        <v>2.53022274</v>
      </c>
      <c r="I15" s="18" t="s">
        <v>431</v>
      </c>
      <c r="J15" s="20" t="s">
        <v>431</v>
      </c>
      <c r="K15" s="18" t="n">
        <v>0.50562323</v>
      </c>
      <c r="L15" s="20" t="n">
        <v>0.35680476</v>
      </c>
      <c r="M15" s="18" t="n">
        <v>0</v>
      </c>
      <c r="N15" s="20" t="n">
        <v>0</v>
      </c>
      <c r="O15" s="18" t="n">
        <v>0</v>
      </c>
      <c r="P15" s="20" t="n">
        <v>0</v>
      </c>
      <c r="Q15" s="18" t="n">
        <v>3.92946733</v>
      </c>
      <c r="R15" s="20" t="n">
        <v>0.95218753</v>
      </c>
    </row>
    <row r="16" spans="1:18">
      <c r="A16" s="15" t="s">
        <v>440</v>
      </c>
      <c r="B16" s="17" t="n">
        <v>2997</v>
      </c>
      <c r="C16" s="18">
        <f>(2652.0/B16*100)</f>
        <v/>
      </c>
      <c r="D16" s="19" t="n">
        <v>345</v>
      </c>
      <c r="E16" s="18" t="n">
        <v>33.52881949</v>
      </c>
      <c r="F16" s="20" t="n">
        <v>2.66270529</v>
      </c>
      <c r="G16" s="18" t="n">
        <v>54.95183378</v>
      </c>
      <c r="H16" s="20" t="n">
        <v>2.87636774</v>
      </c>
      <c r="I16" s="18" t="s">
        <v>431</v>
      </c>
      <c r="J16" s="20" t="s">
        <v>431</v>
      </c>
      <c r="K16" s="18" t="n">
        <v>2.1131053</v>
      </c>
      <c r="L16" s="20" t="n">
        <v>0.6119397600000001</v>
      </c>
      <c r="M16" s="18" t="n">
        <v>0</v>
      </c>
      <c r="N16" s="20" t="n">
        <v>0</v>
      </c>
      <c r="O16" s="18" t="n">
        <v>0</v>
      </c>
      <c r="P16" s="20" t="n">
        <v>0</v>
      </c>
      <c r="Q16" s="18" t="n">
        <v>9.40624143</v>
      </c>
      <c r="R16" s="20" t="n">
        <v>1.89192678</v>
      </c>
    </row>
    <row r="17" spans="1:18">
      <c r="A17" s="15" t="s">
        <v>441</v>
      </c>
      <c r="B17" s="17" t="n">
        <v>3307</v>
      </c>
      <c r="C17" s="18">
        <f>(2912.0/B17*100)</f>
        <v/>
      </c>
      <c r="D17" s="19" t="n">
        <v>395</v>
      </c>
      <c r="E17" s="18" t="n">
        <v>22.20467371</v>
      </c>
      <c r="F17" s="20" t="n">
        <v>1.86643467</v>
      </c>
      <c r="G17" s="18" t="n">
        <v>71.41862513</v>
      </c>
      <c r="H17" s="20" t="n">
        <v>2.26701132</v>
      </c>
      <c r="I17" s="18" t="s">
        <v>431</v>
      </c>
      <c r="J17" s="20" t="s">
        <v>431</v>
      </c>
      <c r="K17" s="18" t="n">
        <v>0</v>
      </c>
      <c r="L17" s="20" t="n">
        <v>0</v>
      </c>
      <c r="M17" s="18" t="n">
        <v>0</v>
      </c>
      <c r="N17" s="20" t="n">
        <v>0</v>
      </c>
      <c r="O17" s="18" t="n">
        <v>0</v>
      </c>
      <c r="P17" s="20" t="n">
        <v>0</v>
      </c>
      <c r="Q17" s="18" t="n">
        <v>6.37670116</v>
      </c>
      <c r="R17" s="20" t="n">
        <v>1.33051629</v>
      </c>
    </row>
    <row r="18" spans="1:18">
      <c r="A18" s="15" t="s">
        <v>442</v>
      </c>
      <c r="B18" s="17" t="n">
        <v>2826</v>
      </c>
      <c r="C18" s="18">
        <f>(2468.0/B18*100)</f>
        <v/>
      </c>
      <c r="D18" s="19" t="n">
        <v>358</v>
      </c>
      <c r="E18" s="18" t="n">
        <v>34.20645154</v>
      </c>
      <c r="F18" s="20" t="n">
        <v>2.63973246</v>
      </c>
      <c r="G18" s="18" t="n">
        <v>54.9500038</v>
      </c>
      <c r="H18" s="20" t="n">
        <v>3.09466166</v>
      </c>
      <c r="I18" s="18" t="s">
        <v>431</v>
      </c>
      <c r="J18" s="20" t="s">
        <v>431</v>
      </c>
      <c r="K18" s="18" t="n">
        <v>0.85284259</v>
      </c>
      <c r="L18" s="20" t="n">
        <v>0.62928894</v>
      </c>
      <c r="M18" s="18" t="n">
        <v>0</v>
      </c>
      <c r="N18" s="20" t="n">
        <v>0</v>
      </c>
      <c r="O18" s="18" t="n">
        <v>0</v>
      </c>
      <c r="P18" s="20" t="n">
        <v>0</v>
      </c>
      <c r="Q18" s="18" t="n">
        <v>9.99070208</v>
      </c>
      <c r="R18" s="20" t="n">
        <v>2.00187935</v>
      </c>
    </row>
    <row r="19" spans="1:18">
      <c r="A19" s="15" t="s">
        <v>443</v>
      </c>
      <c r="B19" s="17" t="n">
        <v>2808</v>
      </c>
      <c r="C19" s="18">
        <f>(2454.0/B19*100)</f>
        <v/>
      </c>
      <c r="D19" s="19" t="n">
        <v>354</v>
      </c>
      <c r="E19" s="18" t="n">
        <v>37.24831082</v>
      </c>
      <c r="F19" s="20" t="n">
        <v>2.50475307</v>
      </c>
      <c r="G19" s="18" t="n">
        <v>57.62200846</v>
      </c>
      <c r="H19" s="20" t="n">
        <v>2.62001934</v>
      </c>
      <c r="I19" s="18" t="s">
        <v>431</v>
      </c>
      <c r="J19" s="20" t="s">
        <v>431</v>
      </c>
      <c r="K19" s="18" t="n">
        <v>0.58172835</v>
      </c>
      <c r="L19" s="20" t="n">
        <v>0.63148647</v>
      </c>
      <c r="M19" s="18" t="n">
        <v>0.33661255</v>
      </c>
      <c r="N19" s="20" t="n">
        <v>0.35803711</v>
      </c>
      <c r="O19" s="18" t="n">
        <v>0</v>
      </c>
      <c r="P19" s="20" t="n">
        <v>0</v>
      </c>
      <c r="Q19" s="18" t="n">
        <v>4.21133981</v>
      </c>
      <c r="R19" s="20" t="n">
        <v>1.2134492</v>
      </c>
    </row>
    <row r="20" spans="1:18">
      <c r="A20" s="15" t="s">
        <v>444</v>
      </c>
      <c r="B20" s="17" t="n">
        <v>1630</v>
      </c>
      <c r="C20" s="18">
        <f>(1440.0/B20*100)</f>
        <v/>
      </c>
      <c r="D20" s="19" t="n">
        <v>190</v>
      </c>
      <c r="E20" s="18" t="n">
        <v>43.23469848</v>
      </c>
      <c r="F20" s="20" t="n">
        <v>3.60414043</v>
      </c>
      <c r="G20" s="18" t="n">
        <v>50.31517208</v>
      </c>
      <c r="H20" s="20" t="n">
        <v>3.55174303</v>
      </c>
      <c r="I20" s="18" t="s">
        <v>431</v>
      </c>
      <c r="J20" s="20" t="s">
        <v>431</v>
      </c>
      <c r="K20" s="18" t="n">
        <v>0.51021468</v>
      </c>
      <c r="L20" s="20" t="n">
        <v>0.49276928</v>
      </c>
      <c r="M20" s="18" t="n">
        <v>0</v>
      </c>
      <c r="N20" s="20" t="n">
        <v>0</v>
      </c>
      <c r="O20" s="18" t="n">
        <v>0</v>
      </c>
      <c r="P20" s="20" t="n">
        <v>0</v>
      </c>
      <c r="Q20" s="18" t="n">
        <v>5.93991476</v>
      </c>
      <c r="R20" s="20" t="n">
        <v>1.75056333</v>
      </c>
    </row>
    <row r="21" spans="1:18">
      <c r="A21" s="15" t="s">
        <v>445</v>
      </c>
      <c r="B21" s="17" t="n">
        <v>2908</v>
      </c>
      <c r="C21" s="18">
        <f>(2436.0/B21*100)</f>
        <v/>
      </c>
      <c r="D21" s="19" t="n">
        <v>472</v>
      </c>
      <c r="E21" s="18" t="n">
        <v>27.86717158</v>
      </c>
      <c r="F21" s="20" t="n">
        <v>1.94679157</v>
      </c>
      <c r="G21" s="18" t="n">
        <v>69.50495653999999</v>
      </c>
      <c r="H21" s="20" t="n">
        <v>1.99629082</v>
      </c>
      <c r="I21" s="18" t="s">
        <v>431</v>
      </c>
      <c r="J21" s="20" t="s">
        <v>431</v>
      </c>
      <c r="K21" s="18" t="n">
        <v>0.66757643</v>
      </c>
      <c r="L21" s="20" t="n">
        <v>0.32531228</v>
      </c>
      <c r="M21" s="18" t="n">
        <v>0</v>
      </c>
      <c r="N21" s="20" t="n">
        <v>0</v>
      </c>
      <c r="O21" s="18" t="n">
        <v>0</v>
      </c>
      <c r="P21" s="20" t="n">
        <v>0</v>
      </c>
      <c r="Q21" s="18" t="n">
        <v>1.96029545</v>
      </c>
      <c r="R21" s="20" t="n">
        <v>0.52947562</v>
      </c>
    </row>
    <row r="22" spans="1:18">
      <c r="A22" s="15" t="s">
        <v>446</v>
      </c>
      <c r="B22" s="17" t="n">
        <v>2931</v>
      </c>
      <c r="C22" s="18">
        <f>(2570.0/B22*100)</f>
        <v/>
      </c>
      <c r="D22" s="19" t="n">
        <v>361</v>
      </c>
      <c r="E22" s="18" t="n">
        <v>28.78625689</v>
      </c>
      <c r="F22" s="20" t="n">
        <v>2.30566992</v>
      </c>
      <c r="G22" s="18" t="n">
        <v>59.38502432</v>
      </c>
      <c r="H22" s="20" t="n">
        <v>2.47668622</v>
      </c>
      <c r="I22" s="18" t="s">
        <v>431</v>
      </c>
      <c r="J22" s="20" t="s">
        <v>431</v>
      </c>
      <c r="K22" s="18" t="n">
        <v>2.04791629</v>
      </c>
      <c r="L22" s="20" t="n">
        <v>0.71954346</v>
      </c>
      <c r="M22" s="18" t="n">
        <v>0</v>
      </c>
      <c r="N22" s="20" t="n">
        <v>0</v>
      </c>
      <c r="O22" s="18" t="n">
        <v>0</v>
      </c>
      <c r="P22" s="20" t="n">
        <v>0</v>
      </c>
      <c r="Q22" s="18" t="n">
        <v>9.780802489999999</v>
      </c>
      <c r="R22" s="20" t="n">
        <v>1.57674004</v>
      </c>
    </row>
    <row r="23" spans="1:18">
      <c r="A23" s="15" t="s">
        <v>447</v>
      </c>
      <c r="B23" s="17" t="n">
        <v>5791</v>
      </c>
      <c r="C23" s="18">
        <f>(5077.0/B23*100)</f>
        <v/>
      </c>
      <c r="D23" s="19" t="n">
        <v>714</v>
      </c>
      <c r="E23" s="18" t="n">
        <v>30.50602916</v>
      </c>
      <c r="F23" s="20" t="n">
        <v>2.37155806</v>
      </c>
      <c r="G23" s="18" t="n">
        <v>56.68222527</v>
      </c>
      <c r="H23" s="20" t="n">
        <v>3.0156424</v>
      </c>
      <c r="I23" s="18" t="s">
        <v>431</v>
      </c>
      <c r="J23" s="20" t="s">
        <v>431</v>
      </c>
      <c r="K23" s="18" t="n">
        <v>0.26630606</v>
      </c>
      <c r="L23" s="20" t="n">
        <v>0.18368198</v>
      </c>
      <c r="M23" s="18" t="n">
        <v>0.19768504</v>
      </c>
      <c r="N23" s="20" t="n">
        <v>0.18499796</v>
      </c>
      <c r="O23" s="18" t="n">
        <v>0</v>
      </c>
      <c r="P23" s="20" t="n">
        <v>0</v>
      </c>
      <c r="Q23" s="18" t="n">
        <v>12.34775447</v>
      </c>
      <c r="R23" s="20" t="n">
        <v>1.91530015</v>
      </c>
    </row>
    <row r="24" spans="1:18">
      <c r="A24" s="15" t="s">
        <v>448</v>
      </c>
      <c r="B24" s="17" t="n">
        <v>3338</v>
      </c>
      <c r="C24" s="18">
        <f>(2943.0/B24*100)</f>
        <v/>
      </c>
      <c r="D24" s="19" t="n">
        <v>395</v>
      </c>
      <c r="E24" s="18" t="n">
        <v>29.02258942</v>
      </c>
      <c r="F24" s="20" t="n">
        <v>2.29497687</v>
      </c>
      <c r="G24" s="18" t="n">
        <v>66.19871821</v>
      </c>
      <c r="H24" s="20" t="n">
        <v>2.44647411</v>
      </c>
      <c r="I24" s="18" t="s">
        <v>431</v>
      </c>
      <c r="J24" s="20" t="s">
        <v>431</v>
      </c>
      <c r="K24" s="18" t="n">
        <v>0.58273251</v>
      </c>
      <c r="L24" s="20" t="n">
        <v>0.40911687</v>
      </c>
      <c r="M24" s="18" t="n">
        <v>0</v>
      </c>
      <c r="N24" s="20" t="n">
        <v>0</v>
      </c>
      <c r="O24" s="18" t="n">
        <v>0</v>
      </c>
      <c r="P24" s="20" t="n">
        <v>0</v>
      </c>
      <c r="Q24" s="18" t="n">
        <v>4.19595986</v>
      </c>
      <c r="R24" s="20" t="n">
        <v>1.0857617</v>
      </c>
    </row>
    <row r="25" spans="1:18">
      <c r="A25" s="15" t="s">
        <v>449</v>
      </c>
      <c r="B25" s="17" t="n">
        <v>2912</v>
      </c>
      <c r="C25" s="18">
        <f>(2540.0/B25*100)</f>
        <v/>
      </c>
      <c r="D25" s="19" t="n">
        <v>372</v>
      </c>
      <c r="E25" s="18" t="n">
        <v>35.73981525</v>
      </c>
      <c r="F25" s="20" t="n">
        <v>2.09153145</v>
      </c>
      <c r="G25" s="18" t="n">
        <v>57.89292928</v>
      </c>
      <c r="H25" s="20" t="n">
        <v>2.11545577</v>
      </c>
      <c r="I25" s="18" t="s">
        <v>431</v>
      </c>
      <c r="J25" s="20" t="s">
        <v>431</v>
      </c>
      <c r="K25" s="18" t="n">
        <v>0.50223064</v>
      </c>
      <c r="L25" s="20" t="n">
        <v>0.35563473</v>
      </c>
      <c r="M25" s="18" t="n">
        <v>0</v>
      </c>
      <c r="N25" s="20" t="n">
        <v>0</v>
      </c>
      <c r="O25" s="18" t="n">
        <v>0</v>
      </c>
      <c r="P25" s="20" t="n">
        <v>0</v>
      </c>
      <c r="Q25" s="18" t="n">
        <v>5.86502483</v>
      </c>
      <c r="R25" s="20" t="n">
        <v>1.37103101</v>
      </c>
    </row>
    <row r="26" spans="1:18">
      <c r="A26" s="15" t="s">
        <v>450</v>
      </c>
      <c r="B26" s="17" t="n">
        <v>2450</v>
      </c>
      <c r="C26" s="18">
        <f>(2136.0/B26*100)</f>
        <v/>
      </c>
      <c r="D26" s="19" t="n">
        <v>314</v>
      </c>
      <c r="E26" s="18" t="n">
        <v>51.13239613</v>
      </c>
      <c r="F26" s="20" t="n">
        <v>2.86751709</v>
      </c>
      <c r="G26" s="18" t="n">
        <v>46.5340606</v>
      </c>
      <c r="H26" s="20" t="n">
        <v>2.98788064</v>
      </c>
      <c r="I26" s="18" t="s">
        <v>431</v>
      </c>
      <c r="J26" s="20" t="s">
        <v>431</v>
      </c>
      <c r="K26" s="18" t="n">
        <v>0</v>
      </c>
      <c r="L26" s="20" t="n">
        <v>0</v>
      </c>
      <c r="M26" s="18" t="n">
        <v>0.46878248</v>
      </c>
      <c r="N26" s="20" t="n">
        <v>0.32949834</v>
      </c>
      <c r="O26" s="18" t="n">
        <v>0</v>
      </c>
      <c r="P26" s="20" t="n">
        <v>0</v>
      </c>
      <c r="Q26" s="18" t="n">
        <v>1.86476079</v>
      </c>
      <c r="R26" s="20" t="n">
        <v>0.69950844</v>
      </c>
    </row>
    <row r="27" spans="1:18">
      <c r="A27" s="15" t="s">
        <v>451</v>
      </c>
      <c r="B27" s="17" t="n">
        <v>2616</v>
      </c>
      <c r="C27" s="18">
        <f>(2295.0/B27*100)</f>
        <v/>
      </c>
      <c r="D27" s="19" t="n">
        <v>321</v>
      </c>
      <c r="E27" s="18" t="n">
        <v>41.17431226</v>
      </c>
      <c r="F27" s="20" t="n">
        <v>2.83619511</v>
      </c>
      <c r="G27" s="18" t="n">
        <v>49.1411585</v>
      </c>
      <c r="H27" s="20" t="n">
        <v>2.89714373</v>
      </c>
      <c r="I27" s="18" t="s">
        <v>431</v>
      </c>
      <c r="J27" s="20" t="s">
        <v>431</v>
      </c>
      <c r="K27" s="18" t="n">
        <v>0.6251278</v>
      </c>
      <c r="L27" s="20" t="n">
        <v>0.44379902</v>
      </c>
      <c r="M27" s="18" t="n">
        <v>0</v>
      </c>
      <c r="N27" s="20" t="n">
        <v>0</v>
      </c>
      <c r="O27" s="18" t="n">
        <v>0</v>
      </c>
      <c r="P27" s="20" t="n">
        <v>0</v>
      </c>
      <c r="Q27" s="18" t="n">
        <v>9.059401449999999</v>
      </c>
      <c r="R27" s="20" t="n">
        <v>1.64864652</v>
      </c>
    </row>
    <row r="28" spans="1:18">
      <c r="A28" s="15" t="s">
        <v>452</v>
      </c>
      <c r="B28" s="17" t="n">
        <v>3765</v>
      </c>
      <c r="C28" s="18">
        <f>(3323.0/B28*100)</f>
        <v/>
      </c>
      <c r="D28" s="19" t="n">
        <v>442</v>
      </c>
      <c r="E28" s="18" t="n">
        <v>55.76428144</v>
      </c>
      <c r="F28" s="20" t="n">
        <v>2.41303633</v>
      </c>
      <c r="G28" s="18" t="n">
        <v>41.28860815</v>
      </c>
      <c r="H28" s="20" t="n">
        <v>2.4643754</v>
      </c>
      <c r="I28" s="18" t="s">
        <v>431</v>
      </c>
      <c r="J28" s="20" t="s">
        <v>431</v>
      </c>
      <c r="K28" s="18" t="n">
        <v>0.39783961</v>
      </c>
      <c r="L28" s="20" t="n">
        <v>0.38886318</v>
      </c>
      <c r="M28" s="18" t="n">
        <v>0</v>
      </c>
      <c r="N28" s="20" t="n">
        <v>0</v>
      </c>
      <c r="O28" s="18" t="n">
        <v>0</v>
      </c>
      <c r="P28" s="20" t="n">
        <v>0</v>
      </c>
      <c r="Q28" s="18" t="n">
        <v>2.5492708</v>
      </c>
      <c r="R28" s="20" t="n">
        <v>0.8122332799999999</v>
      </c>
    </row>
    <row r="29" spans="1:18">
      <c r="A29" s="15" t="s">
        <v>453</v>
      </c>
      <c r="B29" s="17" t="n">
        <v>2685</v>
      </c>
      <c r="C29" s="18">
        <f>(2369.0/B29*100)</f>
        <v/>
      </c>
      <c r="D29" s="19" t="n">
        <v>316</v>
      </c>
      <c r="E29" s="18" t="n">
        <v>32.49454869</v>
      </c>
      <c r="F29" s="20" t="n">
        <v>2.67137275</v>
      </c>
      <c r="G29" s="18" t="n">
        <v>66.98674582</v>
      </c>
      <c r="H29" s="20" t="n">
        <v>2.66626954</v>
      </c>
      <c r="I29" s="18" t="s">
        <v>431</v>
      </c>
      <c r="J29" s="20" t="s">
        <v>431</v>
      </c>
      <c r="K29" s="18" t="n">
        <v>0</v>
      </c>
      <c r="L29" s="20" t="n">
        <v>0</v>
      </c>
      <c r="M29" s="18" t="n">
        <v>0</v>
      </c>
      <c r="N29" s="20" t="n">
        <v>0</v>
      </c>
      <c r="O29" s="18" t="n">
        <v>0</v>
      </c>
      <c r="P29" s="20" t="n">
        <v>0</v>
      </c>
      <c r="Q29" s="18" t="n">
        <v>0.51870549</v>
      </c>
      <c r="R29" s="20" t="n">
        <v>0.40500864</v>
      </c>
    </row>
    <row r="30" spans="1:18">
      <c r="A30" s="15" t="s">
        <v>454</v>
      </c>
      <c r="B30" s="17" t="n">
        <v>2263</v>
      </c>
      <c r="C30" s="18">
        <f>(1993.0/B30*100)</f>
        <v/>
      </c>
      <c r="D30" s="19" t="n">
        <v>270</v>
      </c>
      <c r="E30" s="18" t="n">
        <v>45.64726322</v>
      </c>
      <c r="F30" s="20" t="n">
        <v>2.90709</v>
      </c>
      <c r="G30" s="18" t="n">
        <v>47.78065066</v>
      </c>
      <c r="H30" s="20" t="n">
        <v>2.8582067</v>
      </c>
      <c r="I30" s="18" t="s">
        <v>431</v>
      </c>
      <c r="J30" s="20" t="s">
        <v>431</v>
      </c>
      <c r="K30" s="18" t="n">
        <v>1.35855529</v>
      </c>
      <c r="L30" s="20" t="n">
        <v>0.66963242</v>
      </c>
      <c r="M30" s="18" t="n">
        <v>0</v>
      </c>
      <c r="N30" s="20" t="n">
        <v>0</v>
      </c>
      <c r="O30" s="18" t="n">
        <v>0</v>
      </c>
      <c r="P30" s="20" t="n">
        <v>0</v>
      </c>
      <c r="Q30" s="18" t="n">
        <v>5.21353083</v>
      </c>
      <c r="R30" s="20" t="n">
        <v>1.27330481</v>
      </c>
    </row>
    <row r="31" spans="1:18">
      <c r="A31" s="15" t="s">
        <v>455</v>
      </c>
      <c r="B31" s="17" t="n">
        <v>2750</v>
      </c>
      <c r="C31" s="18">
        <f>(2420.0/B31*100)</f>
        <v/>
      </c>
      <c r="D31" s="19" t="n">
        <v>330</v>
      </c>
      <c r="E31" s="18" t="n">
        <v>35.69287197</v>
      </c>
      <c r="F31" s="20" t="n">
        <v>3.01202848</v>
      </c>
      <c r="G31" s="18" t="n">
        <v>58.65850043</v>
      </c>
      <c r="H31" s="20" t="n">
        <v>2.74264124</v>
      </c>
      <c r="I31" s="18" t="s">
        <v>431</v>
      </c>
      <c r="J31" s="20" t="s">
        <v>431</v>
      </c>
      <c r="K31" s="18" t="n">
        <v>1.15466156</v>
      </c>
      <c r="L31" s="20" t="n">
        <v>0.52964637</v>
      </c>
      <c r="M31" s="18" t="n">
        <v>0</v>
      </c>
      <c r="N31" s="20" t="n">
        <v>0</v>
      </c>
      <c r="O31" s="18" t="n">
        <v>0</v>
      </c>
      <c r="P31" s="20" t="n">
        <v>0</v>
      </c>
      <c r="Q31" s="18" t="n">
        <v>4.49396603</v>
      </c>
      <c r="R31" s="20" t="n">
        <v>1.23686388</v>
      </c>
    </row>
    <row r="32" spans="1:18">
      <c r="A32" s="15" t="s">
        <v>456</v>
      </c>
      <c r="B32" s="17" t="n">
        <v>2269</v>
      </c>
      <c r="C32" s="18">
        <f>(1901.0/B32*100)</f>
        <v/>
      </c>
      <c r="D32" s="19" t="n">
        <v>368</v>
      </c>
      <c r="E32" s="18" t="n">
        <v>35.07301528</v>
      </c>
      <c r="F32" s="20" t="n">
        <v>2.18554001</v>
      </c>
      <c r="G32" s="18" t="n">
        <v>60.54427301</v>
      </c>
      <c r="H32" s="20" t="n">
        <v>2.15030825</v>
      </c>
      <c r="I32" s="18" t="s">
        <v>431</v>
      </c>
      <c r="J32" s="20" t="s">
        <v>431</v>
      </c>
      <c r="K32" s="18" t="n">
        <v>0.49682349</v>
      </c>
      <c r="L32" s="20" t="n">
        <v>0.02927555</v>
      </c>
      <c r="M32" s="18" t="n">
        <v>0</v>
      </c>
      <c r="N32" s="20" t="n">
        <v>0</v>
      </c>
      <c r="O32" s="18" t="n">
        <v>0</v>
      </c>
      <c r="P32" s="20" t="n">
        <v>0</v>
      </c>
      <c r="Q32" s="18" t="n">
        <v>3.88588823</v>
      </c>
      <c r="R32" s="20" t="n">
        <v>1.02690577</v>
      </c>
    </row>
    <row r="33" spans="1:18">
      <c r="A33" s="15" t="s">
        <v>457</v>
      </c>
      <c r="B33" s="17" t="n">
        <v>3674</v>
      </c>
      <c r="C33" s="18">
        <f>(3235.0/B33*100)</f>
        <v/>
      </c>
      <c r="D33" s="19" t="n">
        <v>439</v>
      </c>
      <c r="E33" s="18" t="n">
        <v>20.15766212</v>
      </c>
      <c r="F33" s="20" t="n">
        <v>2.32757277</v>
      </c>
      <c r="G33" s="18" t="n">
        <v>73.24416512000001</v>
      </c>
      <c r="H33" s="20" t="n">
        <v>2.66088789</v>
      </c>
      <c r="I33" s="18" t="s">
        <v>431</v>
      </c>
      <c r="J33" s="20" t="s">
        <v>431</v>
      </c>
      <c r="K33" s="18" t="n">
        <v>0.06657132</v>
      </c>
      <c r="L33" s="20" t="n">
        <v>0.04921318</v>
      </c>
      <c r="M33" s="18" t="n">
        <v>0</v>
      </c>
      <c r="N33" s="20" t="n">
        <v>0</v>
      </c>
      <c r="O33" s="18" t="n">
        <v>0</v>
      </c>
      <c r="P33" s="20" t="n">
        <v>0</v>
      </c>
      <c r="Q33" s="18" t="n">
        <v>6.53160144</v>
      </c>
      <c r="R33" s="20" t="n">
        <v>1.68803098</v>
      </c>
    </row>
    <row r="34" spans="1:18">
      <c r="A34" s="15" t="s">
        <v>458</v>
      </c>
      <c r="B34" s="17" t="n">
        <v>3315</v>
      </c>
      <c r="C34" s="18">
        <f>(2938.0/B34*100)</f>
        <v/>
      </c>
      <c r="D34" s="19" t="n">
        <v>377</v>
      </c>
      <c r="E34" s="18" t="n">
        <v>40.580965</v>
      </c>
      <c r="F34" s="20" t="n">
        <v>2.62872585</v>
      </c>
      <c r="G34" s="18" t="n">
        <v>51.82295933</v>
      </c>
      <c r="H34" s="20" t="n">
        <v>2.87120073</v>
      </c>
      <c r="I34" s="18" t="s">
        <v>431</v>
      </c>
      <c r="J34" s="20" t="s">
        <v>431</v>
      </c>
      <c r="K34" s="18" t="n">
        <v>0.08624766</v>
      </c>
      <c r="L34" s="20" t="n">
        <v>0.08688298999999999</v>
      </c>
      <c r="M34" s="18" t="n">
        <v>0.17644904</v>
      </c>
      <c r="N34" s="20" t="n">
        <v>0.1768956</v>
      </c>
      <c r="O34" s="18" t="n">
        <v>0</v>
      </c>
      <c r="P34" s="20" t="n">
        <v>0</v>
      </c>
      <c r="Q34" s="18" t="n">
        <v>7.33337897</v>
      </c>
      <c r="R34" s="20" t="n">
        <v>1.40083985</v>
      </c>
    </row>
    <row r="35" spans="1:18">
      <c r="A35" s="15" t="s">
        <v>459</v>
      </c>
      <c r="B35" s="17" t="n">
        <v>3505</v>
      </c>
      <c r="C35" s="18">
        <f>(3099.0/B35*100)</f>
        <v/>
      </c>
      <c r="D35" s="19" t="n">
        <v>406</v>
      </c>
      <c r="E35" s="18" t="n">
        <v>40.07610705</v>
      </c>
      <c r="F35" s="20" t="n">
        <v>2.80148632</v>
      </c>
      <c r="G35" s="18" t="n">
        <v>54.15517783</v>
      </c>
      <c r="H35" s="20" t="n">
        <v>2.94095418</v>
      </c>
      <c r="I35" s="18" t="s">
        <v>431</v>
      </c>
      <c r="J35" s="20" t="s">
        <v>431</v>
      </c>
      <c r="K35" s="18" t="n">
        <v>0.69200685</v>
      </c>
      <c r="L35" s="20" t="n">
        <v>0.3703322</v>
      </c>
      <c r="M35" s="18" t="n">
        <v>0.45672522</v>
      </c>
      <c r="N35" s="20" t="n">
        <v>0.45506556</v>
      </c>
      <c r="O35" s="18" t="n">
        <v>0</v>
      </c>
      <c r="P35" s="20" t="n">
        <v>0</v>
      </c>
      <c r="Q35" s="18" t="n">
        <v>4.61998304</v>
      </c>
      <c r="R35" s="20" t="n">
        <v>1.15551304</v>
      </c>
    </row>
    <row r="36" spans="1:18">
      <c r="A36" s="15" t="s">
        <v>460</v>
      </c>
      <c r="B36" s="17" t="n">
        <v>3332</v>
      </c>
      <c r="C36" s="18">
        <f>(2926.0/B36*100)</f>
        <v/>
      </c>
      <c r="D36" s="19" t="n">
        <v>406</v>
      </c>
      <c r="E36" s="18" t="n">
        <v>28.67209101</v>
      </c>
      <c r="F36" s="20" t="n">
        <v>2.38126828</v>
      </c>
      <c r="G36" s="18" t="n">
        <v>62.82301883</v>
      </c>
      <c r="H36" s="20" t="n">
        <v>2.67775592</v>
      </c>
      <c r="I36" s="18" t="s">
        <v>431</v>
      </c>
      <c r="J36" s="20" t="s">
        <v>431</v>
      </c>
      <c r="K36" s="18" t="n">
        <v>1.27792302</v>
      </c>
      <c r="L36" s="20" t="n">
        <v>0.54227227</v>
      </c>
      <c r="M36" s="18" t="n">
        <v>0</v>
      </c>
      <c r="N36" s="20" t="n">
        <v>0</v>
      </c>
      <c r="O36" s="18" t="n">
        <v>0</v>
      </c>
      <c r="P36" s="20" t="n">
        <v>0</v>
      </c>
      <c r="Q36" s="18" t="n">
        <v>7.22696714</v>
      </c>
      <c r="R36" s="20" t="n">
        <v>1.27267883</v>
      </c>
    </row>
    <row r="37" spans="1:18">
      <c r="A37" s="15" t="s">
        <v>461</v>
      </c>
      <c r="B37" s="17" t="n">
        <v>2727</v>
      </c>
      <c r="C37" s="18">
        <f>(2389.0/B37*100)</f>
        <v/>
      </c>
      <c r="D37" s="19" t="n">
        <v>338</v>
      </c>
      <c r="E37" s="18" t="n">
        <v>40.69206882</v>
      </c>
      <c r="F37" s="20" t="n">
        <v>2.48451553</v>
      </c>
      <c r="G37" s="18" t="n">
        <v>49.8042168</v>
      </c>
      <c r="H37" s="20" t="n">
        <v>2.71132665</v>
      </c>
      <c r="I37" s="18" t="s">
        <v>431</v>
      </c>
      <c r="J37" s="20" t="s">
        <v>431</v>
      </c>
      <c r="K37" s="18" t="n">
        <v>0.8030341600000001</v>
      </c>
      <c r="L37" s="20" t="n">
        <v>0.50126244</v>
      </c>
      <c r="M37" s="18" t="n">
        <v>0.236098</v>
      </c>
      <c r="N37" s="20" t="n">
        <v>0.23679756</v>
      </c>
      <c r="O37" s="18" t="n">
        <v>0</v>
      </c>
      <c r="P37" s="20" t="n">
        <v>0</v>
      </c>
      <c r="Q37" s="18" t="n">
        <v>8.46458222</v>
      </c>
      <c r="R37" s="20" t="n">
        <v>1.55076684</v>
      </c>
    </row>
    <row r="38" spans="1:18">
      <c r="A38" s="15" t="s">
        <v>462</v>
      </c>
      <c r="B38" s="17" t="n">
        <v>3053</v>
      </c>
      <c r="C38" s="18">
        <f>(2538.0/B38*100)</f>
        <v/>
      </c>
      <c r="D38" s="19" t="n">
        <v>515</v>
      </c>
      <c r="E38" s="18" t="n">
        <v>33.31789707</v>
      </c>
      <c r="F38" s="20" t="n">
        <v>2.21183364</v>
      </c>
      <c r="G38" s="18" t="n">
        <v>59.3730898</v>
      </c>
      <c r="H38" s="20" t="n">
        <v>2.50393935</v>
      </c>
      <c r="I38" s="18" t="s">
        <v>431</v>
      </c>
      <c r="J38" s="20" t="s">
        <v>431</v>
      </c>
      <c r="K38" s="18" t="n">
        <v>1.60122531</v>
      </c>
      <c r="L38" s="20" t="n">
        <v>0.6892415200000001</v>
      </c>
      <c r="M38" s="18" t="n">
        <v>0</v>
      </c>
      <c r="N38" s="20" t="n">
        <v>0</v>
      </c>
      <c r="O38" s="18" t="n">
        <v>0</v>
      </c>
      <c r="P38" s="20" t="n">
        <v>0</v>
      </c>
      <c r="Q38" s="18" t="n">
        <v>5.70778782</v>
      </c>
      <c r="R38" s="20" t="n">
        <v>1.04601196</v>
      </c>
    </row>
    <row r="39" spans="1:18">
      <c r="A39" s="15" t="s">
        <v>463</v>
      </c>
      <c r="B39" s="17" t="n">
        <v>2957</v>
      </c>
      <c r="C39" s="18">
        <f>(2594.0/B39*100)</f>
        <v/>
      </c>
      <c r="D39" s="19" t="n">
        <v>363</v>
      </c>
      <c r="E39" s="18" t="n">
        <v>46.98453283</v>
      </c>
      <c r="F39" s="20" t="n">
        <v>2.85507668</v>
      </c>
      <c r="G39" s="18" t="n">
        <v>43.03126336</v>
      </c>
      <c r="H39" s="20" t="n">
        <v>2.93477036</v>
      </c>
      <c r="I39" s="18" t="s">
        <v>431</v>
      </c>
      <c r="J39" s="20" t="s">
        <v>431</v>
      </c>
      <c r="K39" s="18" t="n">
        <v>0.19499478</v>
      </c>
      <c r="L39" s="20" t="n">
        <v>0.19743281</v>
      </c>
      <c r="M39" s="18" t="n">
        <v>0.12278317</v>
      </c>
      <c r="N39" s="20" t="n">
        <v>0.08778746</v>
      </c>
      <c r="O39" s="18" t="n">
        <v>0</v>
      </c>
      <c r="P39" s="20" t="n">
        <v>0</v>
      </c>
      <c r="Q39" s="18" t="n">
        <v>9.66642586</v>
      </c>
      <c r="R39" s="20" t="n">
        <v>1.69288816</v>
      </c>
    </row>
    <row r="40" spans="1:18">
      <c r="A40" s="15" t="s">
        <v>464</v>
      </c>
      <c r="B40" s="17" t="n">
        <v>7235</v>
      </c>
      <c r="C40" s="18">
        <f>(6380.0/B40*100)</f>
        <v/>
      </c>
      <c r="D40" s="19" t="n">
        <v>855</v>
      </c>
      <c r="E40" s="18" t="n">
        <v>37.501529</v>
      </c>
      <c r="F40" s="20" t="n">
        <v>2.7385595</v>
      </c>
      <c r="G40" s="18" t="n">
        <v>55.99718362</v>
      </c>
      <c r="H40" s="20" t="n">
        <v>2.74215526</v>
      </c>
      <c r="I40" s="18" t="s">
        <v>431</v>
      </c>
      <c r="J40" s="20" t="s">
        <v>431</v>
      </c>
      <c r="K40" s="18" t="n">
        <v>0.81699662</v>
      </c>
      <c r="L40" s="20" t="n">
        <v>0.50166415</v>
      </c>
      <c r="M40" s="18" t="n">
        <v>0.96565554</v>
      </c>
      <c r="N40" s="20" t="n">
        <v>0.59235474</v>
      </c>
      <c r="O40" s="18" t="n">
        <v>0</v>
      </c>
      <c r="P40" s="20" t="n">
        <v>0</v>
      </c>
      <c r="Q40" s="18" t="n">
        <v>4.71863522</v>
      </c>
      <c r="R40" s="20" t="n">
        <v>1.24836919</v>
      </c>
    </row>
    <row r="41" spans="1:18">
      <c r="A41" s="15" t="s">
        <v>465</v>
      </c>
      <c r="B41" s="17" t="n">
        <v>2858</v>
      </c>
      <c r="C41" s="18">
        <f>(2514.0/B41*100)</f>
        <v/>
      </c>
      <c r="D41" s="19" t="n">
        <v>344</v>
      </c>
      <c r="E41" s="18" t="n">
        <v>51.20836204</v>
      </c>
      <c r="F41" s="20" t="n">
        <v>3.45079107</v>
      </c>
      <c r="G41" s="18" t="n">
        <v>47.63632046</v>
      </c>
      <c r="H41" s="20" t="n">
        <v>3.32435025</v>
      </c>
      <c r="I41" s="18" t="s">
        <v>431</v>
      </c>
      <c r="J41" s="20" t="s">
        <v>431</v>
      </c>
      <c r="K41" s="18" t="n">
        <v>0</v>
      </c>
      <c r="L41" s="20" t="n">
        <v>0</v>
      </c>
      <c r="M41" s="18" t="n">
        <v>0</v>
      </c>
      <c r="N41" s="20" t="n">
        <v>0</v>
      </c>
      <c r="O41" s="18" t="n">
        <v>0</v>
      </c>
      <c r="P41" s="20" t="n">
        <v>0</v>
      </c>
      <c r="Q41" s="18" t="n">
        <v>1.1553175</v>
      </c>
      <c r="R41" s="20" t="n">
        <v>0.57259433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(9999.0/B46*100)</f>
        <v/>
      </c>
      <c r="D46" s="19" t="n">
        <v>1069</v>
      </c>
      <c r="E46" s="18" t="n">
        <v>41.86733925</v>
      </c>
      <c r="F46" s="20" t="n">
        <v>2.24781277</v>
      </c>
      <c r="G46" s="18" t="n">
        <v>44.21616261</v>
      </c>
      <c r="H46" s="20" t="n">
        <v>2.26193272</v>
      </c>
      <c r="I46" s="18" t="s">
        <v>431</v>
      </c>
      <c r="J46" s="20" t="s">
        <v>431</v>
      </c>
      <c r="K46" s="18" t="n">
        <v>1.49446674</v>
      </c>
      <c r="L46" s="20" t="n">
        <v>0.56460152</v>
      </c>
      <c r="M46" s="18" t="n">
        <v>0.26442215</v>
      </c>
      <c r="N46" s="20" t="n">
        <v>0.16086827</v>
      </c>
      <c r="O46" s="18" t="n">
        <v>0</v>
      </c>
      <c r="P46" s="20" t="n">
        <v>0</v>
      </c>
      <c r="Q46" s="18" t="n">
        <v>12.15760925</v>
      </c>
      <c r="R46" s="20" t="n">
        <v>1.27458873</v>
      </c>
    </row>
    <row r="47" spans="1:18">
      <c r="A47" s="15" t="s">
        <v>471</v>
      </c>
      <c r="B47" s="17" t="n">
        <v>3105</v>
      </c>
      <c r="C47" s="18">
        <f>(2763.0/B47*100)</f>
        <v/>
      </c>
      <c r="D47" s="19" t="n">
        <v>342</v>
      </c>
      <c r="E47" s="18" t="n">
        <v>30.5239629</v>
      </c>
      <c r="F47" s="20" t="n">
        <v>2.74752437</v>
      </c>
      <c r="G47" s="18" t="n">
        <v>55.59954299</v>
      </c>
      <c r="H47" s="20" t="n">
        <v>2.88806998</v>
      </c>
      <c r="I47" s="18" t="s">
        <v>431</v>
      </c>
      <c r="J47" s="20" t="s">
        <v>431</v>
      </c>
      <c r="K47" s="18" t="n">
        <v>0.30596414</v>
      </c>
      <c r="L47" s="20" t="n">
        <v>0.30522978</v>
      </c>
      <c r="M47" s="18" t="n">
        <v>0</v>
      </c>
      <c r="N47" s="20" t="n">
        <v>0</v>
      </c>
      <c r="O47" s="18" t="n">
        <v>0</v>
      </c>
      <c r="P47" s="20" t="n">
        <v>0</v>
      </c>
      <c r="Q47" s="18" t="n">
        <v>13.57052997</v>
      </c>
      <c r="R47" s="20" t="n">
        <v>1.74249961</v>
      </c>
    </row>
    <row r="48" spans="1:18">
      <c r="A48" s="15" t="s">
        <v>472</v>
      </c>
      <c r="B48" s="17" t="n">
        <v>5159</v>
      </c>
      <c r="C48" s="18">
        <f>(4525.0/B48*100)</f>
        <v/>
      </c>
      <c r="D48" s="19" t="n">
        <v>634</v>
      </c>
      <c r="E48" s="18" t="n">
        <v>17.47446321</v>
      </c>
      <c r="F48" s="20" t="n">
        <v>2.23014453</v>
      </c>
      <c r="G48" s="18" t="n">
        <v>76.81278809</v>
      </c>
      <c r="H48" s="20" t="n">
        <v>2.30737779</v>
      </c>
      <c r="I48" s="18" t="s">
        <v>431</v>
      </c>
      <c r="J48" s="20" t="s">
        <v>431</v>
      </c>
      <c r="K48" s="18" t="n">
        <v>1.36669655</v>
      </c>
      <c r="L48" s="20" t="n">
        <v>0.83246818</v>
      </c>
      <c r="M48" s="18" t="n">
        <v>0</v>
      </c>
      <c r="N48" s="20" t="n">
        <v>0</v>
      </c>
      <c r="O48" s="18" t="n">
        <v>0</v>
      </c>
      <c r="P48" s="20" t="n">
        <v>0</v>
      </c>
      <c r="Q48" s="18" t="n">
        <v>4.34605215</v>
      </c>
      <c r="R48" s="20" t="n">
        <v>1.22078127</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(4984.0/B50*100)</f>
        <v/>
      </c>
      <c r="D50" s="19" t="n">
        <v>653</v>
      </c>
      <c r="E50" s="18" t="n">
        <v>51.56463215</v>
      </c>
      <c r="F50" s="20" t="n">
        <v>2.67923853</v>
      </c>
      <c r="G50" s="18" t="n">
        <v>38.26878194</v>
      </c>
      <c r="H50" s="20" t="n">
        <v>2.62180457</v>
      </c>
      <c r="I50" s="18" t="s">
        <v>431</v>
      </c>
      <c r="J50" s="20" t="s">
        <v>431</v>
      </c>
      <c r="K50" s="18" t="n">
        <v>1.83309049</v>
      </c>
      <c r="L50" s="20" t="n">
        <v>0.77280257</v>
      </c>
      <c r="M50" s="18" t="n">
        <v>0.05000482</v>
      </c>
      <c r="N50" s="20" t="n">
        <v>0.05075573</v>
      </c>
      <c r="O50" s="18" t="n">
        <v>0</v>
      </c>
      <c r="P50" s="20" t="n">
        <v>0</v>
      </c>
      <c r="Q50" s="18" t="n">
        <v>8.2834906</v>
      </c>
      <c r="R50" s="20" t="n">
        <v>1.66933385</v>
      </c>
    </row>
    <row r="51" spans="1:18">
      <c r="A51" s="15" t="s">
        <v>475</v>
      </c>
      <c r="B51" s="17" t="n">
        <v>3372</v>
      </c>
      <c r="C51" s="18">
        <f>(3035.0/B51*100)</f>
        <v/>
      </c>
      <c r="D51" s="19" t="n">
        <v>337</v>
      </c>
      <c r="E51" s="18" t="n">
        <v>47.06986673</v>
      </c>
      <c r="F51" s="20" t="n">
        <v>2.55632756</v>
      </c>
      <c r="G51" s="18" t="n">
        <v>48.10526134</v>
      </c>
      <c r="H51" s="20" t="n">
        <v>2.74013548</v>
      </c>
      <c r="I51" s="18" t="s">
        <v>431</v>
      </c>
      <c r="J51" s="20" t="s">
        <v>431</v>
      </c>
      <c r="K51" s="18" t="n">
        <v>0.90800417</v>
      </c>
      <c r="L51" s="20" t="n">
        <v>0.60677289</v>
      </c>
      <c r="M51" s="18" t="n">
        <v>0</v>
      </c>
      <c r="N51" s="20" t="n">
        <v>0</v>
      </c>
      <c r="O51" s="18" t="n">
        <v>0</v>
      </c>
      <c r="P51" s="20" t="n">
        <v>0</v>
      </c>
      <c r="Q51" s="18" t="n">
        <v>3.91686776</v>
      </c>
      <c r="R51" s="20" t="n">
        <v>0.9523204199999999</v>
      </c>
    </row>
    <row r="52" spans="1:18">
      <c r="A52" s="15" t="s">
        <v>476</v>
      </c>
      <c r="B52" s="17" t="n">
        <v>2796</v>
      </c>
      <c r="C52" s="18">
        <f>(2451.0/B52*100)</f>
        <v/>
      </c>
      <c r="D52" s="19" t="n">
        <v>345</v>
      </c>
      <c r="E52" s="18" t="n">
        <v>28.4579977</v>
      </c>
      <c r="F52" s="20" t="n">
        <v>2.88421352</v>
      </c>
      <c r="G52" s="18" t="n">
        <v>65.82277754</v>
      </c>
      <c r="H52" s="20" t="n">
        <v>2.90533003</v>
      </c>
      <c r="I52" s="18" t="s">
        <v>431</v>
      </c>
      <c r="J52" s="20" t="s">
        <v>431</v>
      </c>
      <c r="K52" s="18" t="n">
        <v>0.26573901</v>
      </c>
      <c r="L52" s="20" t="n">
        <v>0.26516424</v>
      </c>
      <c r="M52" s="18" t="n">
        <v>0</v>
      </c>
      <c r="N52" s="20" t="n">
        <v>0</v>
      </c>
      <c r="O52" s="18" t="n">
        <v>0</v>
      </c>
      <c r="P52" s="20" t="n">
        <v>0</v>
      </c>
      <c r="Q52" s="18" t="n">
        <v>5.45348574</v>
      </c>
      <c r="R52" s="20" t="n">
        <v>1.27367354</v>
      </c>
    </row>
    <row r="53" spans="1:18">
      <c r="A53" s="15" t="s">
        <v>477</v>
      </c>
      <c r="B53" s="17" t="n">
        <v>2811</v>
      </c>
      <c r="C53" s="18">
        <f>(2473.0/B53*100)</f>
        <v/>
      </c>
      <c r="D53" s="19" t="n">
        <v>338</v>
      </c>
      <c r="E53" s="18" t="n">
        <v>38.41460883</v>
      </c>
      <c r="F53" s="20" t="n">
        <v>2.82252741</v>
      </c>
      <c r="G53" s="18" t="n">
        <v>42.75371035</v>
      </c>
      <c r="H53" s="20" t="n">
        <v>2.85340408</v>
      </c>
      <c r="I53" s="18" t="s">
        <v>431</v>
      </c>
      <c r="J53" s="20" t="s">
        <v>431</v>
      </c>
      <c r="K53" s="18" t="n">
        <v>0.67469164</v>
      </c>
      <c r="L53" s="20" t="n">
        <v>0.50377814</v>
      </c>
      <c r="M53" s="18" t="n">
        <v>0</v>
      </c>
      <c r="N53" s="20" t="n">
        <v>0</v>
      </c>
      <c r="O53" s="18" t="n">
        <v>0</v>
      </c>
      <c r="P53" s="20" t="n">
        <v>0</v>
      </c>
      <c r="Q53" s="18" t="n">
        <v>18.15698918</v>
      </c>
      <c r="R53" s="20" t="n">
        <v>2.20642317</v>
      </c>
    </row>
    <row r="54" spans="1:18">
      <c r="A54" s="15" t="s">
        <v>478</v>
      </c>
      <c r="B54" s="17" t="n">
        <v>2266</v>
      </c>
      <c r="C54" s="18">
        <f>(1904.0/B54*100)</f>
        <v/>
      </c>
      <c r="D54" s="19" t="n">
        <v>362</v>
      </c>
      <c r="E54" s="18" t="n">
        <v>54.7135149</v>
      </c>
      <c r="F54" s="20" t="n">
        <v>2.83805178</v>
      </c>
      <c r="G54" s="18" t="n">
        <v>15.82482243</v>
      </c>
      <c r="H54" s="20" t="n">
        <v>1.92648993</v>
      </c>
      <c r="I54" s="18" t="s">
        <v>431</v>
      </c>
      <c r="J54" s="20" t="s">
        <v>431</v>
      </c>
      <c r="K54" s="18" t="n">
        <v>11.09599597</v>
      </c>
      <c r="L54" s="20" t="n">
        <v>2.15687976</v>
      </c>
      <c r="M54" s="18" t="n">
        <v>0.54803945</v>
      </c>
      <c r="N54" s="20" t="n">
        <v>0.42506858</v>
      </c>
      <c r="O54" s="18" t="n">
        <v>0</v>
      </c>
      <c r="P54" s="20" t="n">
        <v>0</v>
      </c>
      <c r="Q54" s="18" t="n">
        <v>17.81762726</v>
      </c>
      <c r="R54" s="20" t="n">
        <v>2.06059497</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(2344.0/B56*100)</f>
        <v/>
      </c>
      <c r="D56" s="19" t="n">
        <v>340</v>
      </c>
      <c r="E56" s="18" t="n">
        <v>23.12383103</v>
      </c>
      <c r="F56" s="20" t="n">
        <v>2.2400584</v>
      </c>
      <c r="G56" s="18" t="n">
        <v>75.68607408</v>
      </c>
      <c r="H56" s="20" t="n">
        <v>2.30241216</v>
      </c>
      <c r="I56" s="18" t="s">
        <v>431</v>
      </c>
      <c r="J56" s="20" t="s">
        <v>431</v>
      </c>
      <c r="K56" s="18" t="n">
        <v>0.51051879</v>
      </c>
      <c r="L56" s="20" t="n">
        <v>0.362592</v>
      </c>
      <c r="M56" s="18" t="n">
        <v>0</v>
      </c>
      <c r="N56" s="20" t="n">
        <v>0</v>
      </c>
      <c r="O56" s="18" t="n">
        <v>0</v>
      </c>
      <c r="P56" s="20" t="n">
        <v>0</v>
      </c>
      <c r="Q56" s="18" t="n">
        <v>0.6795761</v>
      </c>
      <c r="R56" s="20" t="n">
        <v>0.51677225</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(2944.0/B61*100)</f>
        <v/>
      </c>
      <c r="D61" s="19" t="n">
        <v>380</v>
      </c>
      <c r="E61" s="18" t="n">
        <v>58.80126493</v>
      </c>
      <c r="F61" s="20" t="n">
        <v>2.93708337</v>
      </c>
      <c r="G61" s="18" t="n">
        <v>33.21731152</v>
      </c>
      <c r="H61" s="20" t="n">
        <v>2.76862701</v>
      </c>
      <c r="I61" s="18" t="s">
        <v>431</v>
      </c>
      <c r="J61" s="20" t="s">
        <v>431</v>
      </c>
      <c r="K61" s="18" t="n">
        <v>0.39126414</v>
      </c>
      <c r="L61" s="20" t="n">
        <v>0.34662687</v>
      </c>
      <c r="M61" s="18" t="n">
        <v>0</v>
      </c>
      <c r="N61" s="20" t="n">
        <v>0</v>
      </c>
      <c r="O61" s="18" t="n">
        <v>0</v>
      </c>
      <c r="P61" s="20" t="n">
        <v>0</v>
      </c>
      <c r="Q61" s="18" t="n">
        <v>7.59015941</v>
      </c>
      <c r="R61" s="20" t="n">
        <v>1.43845777</v>
      </c>
    </row>
    <row r="62" spans="1:18">
      <c r="A62" s="15" t="s">
        <v>486</v>
      </c>
      <c r="B62" s="17" t="n">
        <v>2246</v>
      </c>
      <c r="C62" s="18">
        <f>(1960.0/B62*100)</f>
        <v/>
      </c>
      <c r="D62" s="19" t="n">
        <v>286</v>
      </c>
      <c r="E62" s="18" t="n">
        <v>33.18794121</v>
      </c>
      <c r="F62" s="20" t="n">
        <v>2.80069623</v>
      </c>
      <c r="G62" s="18" t="n">
        <v>66.10526068999999</v>
      </c>
      <c r="H62" s="20" t="n">
        <v>2.97101784</v>
      </c>
      <c r="I62" s="18" t="s">
        <v>431</v>
      </c>
      <c r="J62" s="20" t="s">
        <v>431</v>
      </c>
      <c r="K62" s="18" t="n">
        <v>0.35938839</v>
      </c>
      <c r="L62" s="20" t="n">
        <v>0.3571246</v>
      </c>
      <c r="M62" s="18" t="n">
        <v>0</v>
      </c>
      <c r="N62" s="20" t="n">
        <v>0</v>
      </c>
      <c r="O62" s="18" t="n">
        <v>0</v>
      </c>
      <c r="P62" s="20" t="n">
        <v>0</v>
      </c>
      <c r="Q62" s="18" t="n">
        <v>0.3474097</v>
      </c>
      <c r="R62" s="20" t="n">
        <v>0.34692489</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(2548.0/B66*100)</f>
        <v/>
      </c>
      <c r="D66" s="19" t="n">
        <v>346</v>
      </c>
      <c r="E66" s="18" t="n">
        <v>27.12493091</v>
      </c>
      <c r="F66" s="20" t="n">
        <v>2.26723166</v>
      </c>
      <c r="G66" s="18" t="n">
        <v>53.83568935</v>
      </c>
      <c r="H66" s="20" t="n">
        <v>3.02504112</v>
      </c>
      <c r="I66" s="18" t="s">
        <v>431</v>
      </c>
      <c r="J66" s="20" t="s">
        <v>431</v>
      </c>
      <c r="K66" s="18" t="n">
        <v>2.24104796</v>
      </c>
      <c r="L66" s="20" t="n">
        <v>0.90346241</v>
      </c>
      <c r="M66" s="18" t="n">
        <v>0.75465657</v>
      </c>
      <c r="N66" s="20" t="n">
        <v>0.55505754</v>
      </c>
      <c r="O66" s="18" t="n">
        <v>0</v>
      </c>
      <c r="P66" s="20" t="n">
        <v>0</v>
      </c>
      <c r="Q66" s="18" t="n">
        <v>16.04367521</v>
      </c>
      <c r="R66" s="20" t="n">
        <v>2.02360701</v>
      </c>
    </row>
    <row r="67" spans="1:18">
      <c r="A67" s="15" t="s">
        <v>491</v>
      </c>
      <c r="B67" s="17" t="n">
        <v>3511</v>
      </c>
      <c r="C67" s="18">
        <f>(3137.0/B67*100)</f>
        <v/>
      </c>
      <c r="D67" s="19" t="n">
        <v>374</v>
      </c>
      <c r="E67" s="18" t="n">
        <v>55.82125433</v>
      </c>
      <c r="F67" s="20" t="n">
        <v>2.648897</v>
      </c>
      <c r="G67" s="18" t="n">
        <v>35.79789329</v>
      </c>
      <c r="H67" s="20" t="n">
        <v>2.61374974</v>
      </c>
      <c r="I67" s="18" t="s">
        <v>431</v>
      </c>
      <c r="J67" s="20" t="s">
        <v>431</v>
      </c>
      <c r="K67" s="18" t="n">
        <v>0.42310537</v>
      </c>
      <c r="L67" s="20" t="n">
        <v>0.29753075</v>
      </c>
      <c r="M67" s="18" t="n">
        <v>0</v>
      </c>
      <c r="N67" s="20" t="n">
        <v>0</v>
      </c>
      <c r="O67" s="18" t="n">
        <v>0</v>
      </c>
      <c r="P67" s="20" t="n">
        <v>0</v>
      </c>
      <c r="Q67" s="18" t="n">
        <v>7.95774702</v>
      </c>
      <c r="R67" s="20" t="n">
        <v>1.59384385</v>
      </c>
    </row>
    <row r="68" spans="1:18">
      <c r="A68" s="15" t="s">
        <v>492</v>
      </c>
      <c r="B68" s="17" t="n">
        <v>6049</v>
      </c>
      <c r="C68" s="18">
        <f>(5036.0/B68*100)</f>
        <v/>
      </c>
      <c r="D68" s="19" t="n">
        <v>1013</v>
      </c>
      <c r="E68" s="18" t="n">
        <v>49.47487388</v>
      </c>
      <c r="F68" s="20" t="n">
        <v>1.66390755</v>
      </c>
      <c r="G68" s="18" t="n">
        <v>34.48431667</v>
      </c>
      <c r="H68" s="20" t="n">
        <v>1.40106904</v>
      </c>
      <c r="I68" s="18" t="s">
        <v>431</v>
      </c>
      <c r="J68" s="20" t="s">
        <v>431</v>
      </c>
      <c r="K68" s="18" t="n">
        <v>3.7080786</v>
      </c>
      <c r="L68" s="20" t="n">
        <v>0.62348053</v>
      </c>
      <c r="M68" s="18" t="n">
        <v>0.09502059</v>
      </c>
      <c r="N68" s="20" t="n">
        <v>0.09528637</v>
      </c>
      <c r="O68" s="18" t="n">
        <v>0</v>
      </c>
      <c r="P68" s="20" t="n">
        <v>0</v>
      </c>
      <c r="Q68" s="18" t="n">
        <v>12.23771026</v>
      </c>
      <c r="R68" s="20" t="n">
        <v>1.1465204</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(2579.0/B70*100)</f>
        <v/>
      </c>
      <c r="D70" s="19" t="n">
        <v>350</v>
      </c>
      <c r="E70" s="18" t="n">
        <v>36.21440337</v>
      </c>
      <c r="F70" s="20" t="n">
        <v>3.06087974</v>
      </c>
      <c r="G70" s="18" t="n">
        <v>60.37959876</v>
      </c>
      <c r="H70" s="20" t="n">
        <v>3.08347673</v>
      </c>
      <c r="I70" s="18" t="s">
        <v>431</v>
      </c>
      <c r="J70" s="20" t="s">
        <v>431</v>
      </c>
      <c r="K70" s="18" t="n">
        <v>0</v>
      </c>
      <c r="L70" s="20" t="n">
        <v>0</v>
      </c>
      <c r="M70" s="18" t="n">
        <v>0.19347491</v>
      </c>
      <c r="N70" s="20" t="n">
        <v>0.19475772</v>
      </c>
      <c r="O70" s="18" t="n">
        <v>0</v>
      </c>
      <c r="P70" s="20" t="n">
        <v>0</v>
      </c>
      <c r="Q70" s="18" t="n">
        <v>3.21252297</v>
      </c>
      <c r="R70" s="20" t="n">
        <v>0.57576113</v>
      </c>
    </row>
    <row r="71" spans="1:18">
      <c r="A71" s="15" t="s">
        <v>495</v>
      </c>
      <c r="B71" s="17" t="n">
        <v>3142</v>
      </c>
      <c r="C71" s="18">
        <f>(2753.0/B71*100)</f>
        <v/>
      </c>
      <c r="D71" s="19" t="n">
        <v>389</v>
      </c>
      <c r="E71" s="18" t="n">
        <v>27.89674264</v>
      </c>
      <c r="F71" s="20" t="n">
        <v>2.31132953</v>
      </c>
      <c r="G71" s="18" t="n">
        <v>70.10717648000001</v>
      </c>
      <c r="H71" s="20" t="n">
        <v>2.38319965</v>
      </c>
      <c r="I71" s="18" t="s">
        <v>431</v>
      </c>
      <c r="J71" s="20" t="s">
        <v>431</v>
      </c>
      <c r="K71" s="18" t="n">
        <v>0.23348339</v>
      </c>
      <c r="L71" s="20" t="n">
        <v>0.23654709</v>
      </c>
      <c r="M71" s="18" t="n">
        <v>0</v>
      </c>
      <c r="N71" s="20" t="n">
        <v>0</v>
      </c>
      <c r="O71" s="18" t="n">
        <v>0</v>
      </c>
      <c r="P71" s="20" t="n">
        <v>0</v>
      </c>
      <c r="Q71" s="18" t="n">
        <v>1.76259749</v>
      </c>
      <c r="R71" s="20" t="n">
        <v>0.63071943</v>
      </c>
    </row>
    <row r="72" spans="1:18">
      <c r="A72" s="15" t="s">
        <v>496</v>
      </c>
      <c r="B72" s="17" t="n">
        <v>3889</v>
      </c>
      <c r="C72" s="18">
        <f>(3408.0/B72*100)</f>
        <v/>
      </c>
      <c r="D72" s="19" t="n">
        <v>481</v>
      </c>
      <c r="E72" s="18" t="n">
        <v>25.3094748</v>
      </c>
      <c r="F72" s="20" t="n">
        <v>2.2052982</v>
      </c>
      <c r="G72" s="18" t="n">
        <v>70.69006374</v>
      </c>
      <c r="H72" s="20" t="n">
        <v>2.20227438</v>
      </c>
      <c r="I72" s="18" t="s">
        <v>431</v>
      </c>
      <c r="J72" s="20" t="s">
        <v>431</v>
      </c>
      <c r="K72" s="18" t="n">
        <v>0</v>
      </c>
      <c r="L72" s="20" t="n">
        <v>0</v>
      </c>
      <c r="M72" s="18" t="n">
        <v>0</v>
      </c>
      <c r="N72" s="20" t="n">
        <v>0</v>
      </c>
      <c r="O72" s="18" t="n">
        <v>0</v>
      </c>
      <c r="P72" s="20" t="n">
        <v>0</v>
      </c>
      <c r="Q72" s="18" t="n">
        <v>4.00046146</v>
      </c>
      <c r="R72" s="20" t="n">
        <v>0.79967373</v>
      </c>
    </row>
    <row r="73" spans="1:18">
      <c r="A73" s="15" t="s">
        <v>497</v>
      </c>
      <c r="B73" s="17" t="n">
        <v>3597</v>
      </c>
      <c r="C73" s="18">
        <f>(3174.0/B73*100)</f>
        <v/>
      </c>
      <c r="D73" s="19" t="n">
        <v>423</v>
      </c>
      <c r="E73" s="18" t="n">
        <v>49.58881396</v>
      </c>
      <c r="F73" s="20" t="n">
        <v>3.62648412</v>
      </c>
      <c r="G73" s="18" t="n">
        <v>48.73316729</v>
      </c>
      <c r="H73" s="20" t="n">
        <v>3.55024599</v>
      </c>
      <c r="I73" s="18" t="s">
        <v>431</v>
      </c>
      <c r="J73" s="20" t="s">
        <v>431</v>
      </c>
      <c r="K73" s="18" t="n">
        <v>0.34339748</v>
      </c>
      <c r="L73" s="20" t="n">
        <v>0.34226092</v>
      </c>
      <c r="M73" s="18" t="n">
        <v>0.0121829</v>
      </c>
      <c r="N73" s="20" t="n">
        <v>0.01233036</v>
      </c>
      <c r="O73" s="18" t="n">
        <v>0</v>
      </c>
      <c r="P73" s="20" t="n">
        <v>0</v>
      </c>
      <c r="Q73" s="18" t="n">
        <v>1.32243837</v>
      </c>
      <c r="R73" s="20" t="n">
        <v>0.6875800399999999</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(2136.0/B75*100)</f>
        <v/>
      </c>
      <c r="D75" s="19" t="n">
        <v>270</v>
      </c>
      <c r="E75" s="18" t="n">
        <v>49.79658402</v>
      </c>
      <c r="F75" s="20" t="n">
        <v>3.46119039</v>
      </c>
      <c r="G75" s="18" t="n">
        <v>28.17519351</v>
      </c>
      <c r="H75" s="20" t="n">
        <v>2.66635509</v>
      </c>
      <c r="I75" s="18" t="s">
        <v>431</v>
      </c>
      <c r="J75" s="20" t="s">
        <v>431</v>
      </c>
      <c r="K75" s="18" t="n">
        <v>2.68908451</v>
      </c>
      <c r="L75" s="20" t="n">
        <v>1.09080711</v>
      </c>
      <c r="M75" s="18" t="n">
        <v>0</v>
      </c>
      <c r="N75" s="20" t="n">
        <v>0</v>
      </c>
      <c r="O75" s="18" t="n">
        <v>0</v>
      </c>
      <c r="P75" s="20" t="n">
        <v>0</v>
      </c>
      <c r="Q75" s="18" t="n">
        <v>19.33913796</v>
      </c>
      <c r="R75" s="20" t="n">
        <v>2.73723495</v>
      </c>
    </row>
    <row r="76" spans="1:18">
      <c r="A76" s="15" t="s">
        <v>500</v>
      </c>
      <c r="B76" s="17" t="n">
        <v>7052</v>
      </c>
      <c r="C76" s="18">
        <f>(6197.0/B76*100)</f>
        <v/>
      </c>
      <c r="D76" s="19" t="n">
        <v>855</v>
      </c>
      <c r="E76" s="18" t="n">
        <v>48.35440341</v>
      </c>
      <c r="F76" s="20" t="n">
        <v>1.98038532</v>
      </c>
      <c r="G76" s="18" t="n">
        <v>43.23803712</v>
      </c>
      <c r="H76" s="20" t="n">
        <v>1.92645194</v>
      </c>
      <c r="I76" s="18" t="s">
        <v>431</v>
      </c>
      <c r="J76" s="20" t="s">
        <v>431</v>
      </c>
      <c r="K76" s="18" t="n">
        <v>1.15422402</v>
      </c>
      <c r="L76" s="20" t="n">
        <v>0.42436542</v>
      </c>
      <c r="M76" s="18" t="n">
        <v>0.06121133</v>
      </c>
      <c r="N76" s="20" t="n">
        <v>0.06170235</v>
      </c>
      <c r="O76" s="18" t="n">
        <v>0</v>
      </c>
      <c r="P76" s="20" t="n">
        <v>0</v>
      </c>
      <c r="Q76" s="18" t="n">
        <v>7.19212412</v>
      </c>
      <c r="R76" s="20" t="n">
        <v>1.2200072</v>
      </c>
    </row>
    <row r="77" spans="1:18">
      <c r="A77" s="15" t="s">
        <v>501</v>
      </c>
      <c r="B77" s="17" t="n">
        <v>2908</v>
      </c>
      <c r="C77" s="18">
        <f>(2548.0/B77*100)</f>
        <v/>
      </c>
      <c r="D77" s="19" t="n">
        <v>360</v>
      </c>
      <c r="E77" s="18" t="n">
        <v>31.56246201</v>
      </c>
      <c r="F77" s="20" t="n">
        <v>2.25652318</v>
      </c>
      <c r="G77" s="18" t="n">
        <v>49.62244919</v>
      </c>
      <c r="H77" s="20" t="n">
        <v>2.76459928</v>
      </c>
      <c r="I77" s="18" t="s">
        <v>431</v>
      </c>
      <c r="J77" s="20" t="s">
        <v>431</v>
      </c>
      <c r="K77" s="18" t="n">
        <v>2.82802718</v>
      </c>
      <c r="L77" s="20" t="n">
        <v>0.85916786</v>
      </c>
      <c r="M77" s="18" t="n">
        <v>0.16233847</v>
      </c>
      <c r="N77" s="20" t="n">
        <v>0.17592781</v>
      </c>
      <c r="O77" s="18" t="n">
        <v>0</v>
      </c>
      <c r="P77" s="20" t="n">
        <v>0</v>
      </c>
      <c r="Q77" s="18" t="n">
        <v>15.82472315</v>
      </c>
      <c r="R77" s="20" t="n">
        <v>2.59366358</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(3646.0/B81*100)</f>
        <v/>
      </c>
      <c r="D81" s="19" t="n">
        <v>517</v>
      </c>
      <c r="E81" s="18" t="n">
        <v>39.70547763</v>
      </c>
      <c r="F81" s="20" t="n">
        <v>2.56103416</v>
      </c>
      <c r="G81" s="18" t="n">
        <v>58.58301022</v>
      </c>
      <c r="H81" s="20" t="n">
        <v>2.56117958</v>
      </c>
      <c r="I81" s="18" t="s">
        <v>431</v>
      </c>
      <c r="J81" s="20" t="s">
        <v>431</v>
      </c>
      <c r="K81" s="18" t="n">
        <v>0</v>
      </c>
      <c r="L81" s="20" t="n">
        <v>0</v>
      </c>
      <c r="M81" s="18" t="n">
        <v>0</v>
      </c>
      <c r="N81" s="20" t="n">
        <v>0</v>
      </c>
      <c r="O81" s="18" t="n">
        <v>0</v>
      </c>
      <c r="P81" s="20" t="n">
        <v>0</v>
      </c>
      <c r="Q81" s="18" t="n">
        <v>1.71151215</v>
      </c>
      <c r="R81" s="20" t="n">
        <v>0.78943084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(6485.0/B7*100)</f>
        <v/>
      </c>
      <c r="D7" s="19" t="n">
        <v>882</v>
      </c>
      <c r="E7" s="18" t="n">
        <v>28.38712204</v>
      </c>
      <c r="F7" s="20" t="n">
        <v>1.6606612</v>
      </c>
      <c r="G7" s="18" t="n">
        <v>65.80534723</v>
      </c>
      <c r="H7" s="20" t="n">
        <v>1.71573727</v>
      </c>
      <c r="I7" s="18" t="s">
        <v>431</v>
      </c>
      <c r="J7" s="20" t="s">
        <v>431</v>
      </c>
      <c r="K7" s="18" t="n">
        <v>0.67868069</v>
      </c>
      <c r="L7" s="20" t="n">
        <v>0.37426721</v>
      </c>
      <c r="M7" s="18" t="n">
        <v>0.09050474</v>
      </c>
      <c r="N7" s="20" t="n">
        <v>0.05653393</v>
      </c>
      <c r="O7" s="18" t="n">
        <v>0</v>
      </c>
      <c r="P7" s="20" t="n">
        <v>0</v>
      </c>
      <c r="Q7" s="18" t="n">
        <v>5.0383453</v>
      </c>
      <c r="R7" s="20" t="n">
        <v>0.8116231699999999</v>
      </c>
    </row>
    <row r="8" spans="1:18">
      <c r="A8" s="15" t="s">
        <v>432</v>
      </c>
      <c r="B8" s="17" t="n">
        <v>3564</v>
      </c>
      <c r="C8" s="18">
        <f>(3117.0/B8*100)</f>
        <v/>
      </c>
      <c r="D8" s="19" t="n">
        <v>447</v>
      </c>
      <c r="E8" s="18" t="n">
        <v>22.31770345</v>
      </c>
      <c r="F8" s="20" t="n">
        <v>2.39979226</v>
      </c>
      <c r="G8" s="18" t="n">
        <v>66.18102619</v>
      </c>
      <c r="H8" s="20" t="n">
        <v>2.64006798</v>
      </c>
      <c r="I8" s="18" t="s">
        <v>431</v>
      </c>
      <c r="J8" s="20" t="s">
        <v>431</v>
      </c>
      <c r="K8" s="18" t="n">
        <v>0.49239405</v>
      </c>
      <c r="L8" s="20" t="n">
        <v>0.35107203</v>
      </c>
      <c r="M8" s="18" t="n">
        <v>0</v>
      </c>
      <c r="N8" s="20" t="n">
        <v>0</v>
      </c>
      <c r="O8" s="18" t="n">
        <v>0</v>
      </c>
      <c r="P8" s="20" t="n">
        <v>0</v>
      </c>
      <c r="Q8" s="18" t="n">
        <v>11.00887631</v>
      </c>
      <c r="R8" s="20" t="n">
        <v>1.57456138</v>
      </c>
    </row>
    <row r="9" spans="1:18">
      <c r="A9" s="15" t="s">
        <v>433</v>
      </c>
      <c r="B9" s="17" t="n">
        <v>4899</v>
      </c>
      <c r="C9" s="18">
        <f>(4326.0/B9*100)</f>
        <v/>
      </c>
      <c r="D9" s="19" t="n">
        <v>573</v>
      </c>
      <c r="E9" s="18" t="n">
        <v>19.11711762</v>
      </c>
      <c r="F9" s="20" t="n">
        <v>1.88074718</v>
      </c>
      <c r="G9" s="18" t="n">
        <v>69.79086743000001</v>
      </c>
      <c r="H9" s="20" t="n">
        <v>2.27158763</v>
      </c>
      <c r="I9" s="18" t="s">
        <v>431</v>
      </c>
      <c r="J9" s="20" t="s">
        <v>431</v>
      </c>
      <c r="K9" s="18" t="n">
        <v>1.45881883</v>
      </c>
      <c r="L9" s="20" t="n">
        <v>0.5435223</v>
      </c>
      <c r="M9" s="18" t="n">
        <v>0.15275767</v>
      </c>
      <c r="N9" s="20" t="n">
        <v>0.15776435</v>
      </c>
      <c r="O9" s="18" t="n">
        <v>0</v>
      </c>
      <c r="P9" s="20" t="n">
        <v>0</v>
      </c>
      <c r="Q9" s="18" t="n">
        <v>9.480438449999999</v>
      </c>
      <c r="R9" s="20" t="n">
        <v>1.26386401</v>
      </c>
    </row>
    <row r="10" spans="1:18">
      <c r="A10" s="15" t="s">
        <v>434</v>
      </c>
      <c r="B10" s="17" t="n">
        <v>10036</v>
      </c>
      <c r="C10" s="18">
        <f>(8756.0/B10*100)</f>
        <v/>
      </c>
      <c r="D10" s="19" t="n">
        <v>1280</v>
      </c>
      <c r="E10" s="18" t="n">
        <v>19.29439424</v>
      </c>
      <c r="F10" s="20" t="n">
        <v>1.4454559</v>
      </c>
      <c r="G10" s="18" t="n">
        <v>76.67432257</v>
      </c>
      <c r="H10" s="20" t="n">
        <v>1.47116461</v>
      </c>
      <c r="I10" s="18" t="s">
        <v>431</v>
      </c>
      <c r="J10" s="20" t="s">
        <v>431</v>
      </c>
      <c r="K10" s="18" t="n">
        <v>0.36168833</v>
      </c>
      <c r="L10" s="20" t="n">
        <v>0.22638412</v>
      </c>
      <c r="M10" s="18" t="n">
        <v>0.08393874</v>
      </c>
      <c r="N10" s="20" t="n">
        <v>0.08421720000000001</v>
      </c>
      <c r="O10" s="18" t="n">
        <v>0</v>
      </c>
      <c r="P10" s="20" t="n">
        <v>0</v>
      </c>
      <c r="Q10" s="18" t="n">
        <v>3.58565612</v>
      </c>
      <c r="R10" s="20" t="n">
        <v>0.8402099200000001</v>
      </c>
    </row>
    <row r="11" spans="1:18">
      <c r="A11" s="15" t="s">
        <v>435</v>
      </c>
      <c r="B11" s="17" t="n">
        <v>3553</v>
      </c>
      <c r="C11" s="18">
        <f>(3159.0/B11*100)</f>
        <v/>
      </c>
      <c r="D11" s="19" t="n">
        <v>394</v>
      </c>
      <c r="E11" s="18" t="n">
        <v>28.18376177</v>
      </c>
      <c r="F11" s="20" t="n">
        <v>2.37857436</v>
      </c>
      <c r="G11" s="18" t="n">
        <v>63.16497932</v>
      </c>
      <c r="H11" s="20" t="n">
        <v>2.42650981</v>
      </c>
      <c r="I11" s="18" t="s">
        <v>431</v>
      </c>
      <c r="J11" s="20" t="s">
        <v>431</v>
      </c>
      <c r="K11" s="18" t="n">
        <v>1.52533525</v>
      </c>
      <c r="L11" s="20" t="n">
        <v>0.89222146</v>
      </c>
      <c r="M11" s="18" t="n">
        <v>0</v>
      </c>
      <c r="N11" s="20" t="n">
        <v>0</v>
      </c>
      <c r="O11" s="18" t="n">
        <v>0</v>
      </c>
      <c r="P11" s="20" t="n">
        <v>0</v>
      </c>
      <c r="Q11" s="18" t="n">
        <v>7.12592366</v>
      </c>
      <c r="R11" s="20" t="n">
        <v>1.25138067</v>
      </c>
    </row>
    <row r="12" spans="1:18">
      <c r="A12" s="15" t="s">
        <v>436</v>
      </c>
      <c r="B12" s="17" t="n">
        <v>3472</v>
      </c>
      <c r="C12" s="18">
        <f>(3044.0/B12*100)</f>
        <v/>
      </c>
      <c r="D12" s="19" t="n">
        <v>428</v>
      </c>
      <c r="E12" s="18" t="n">
        <v>22.490084</v>
      </c>
      <c r="F12" s="20" t="n">
        <v>2.15515121</v>
      </c>
      <c r="G12" s="18" t="n">
        <v>70.08057902</v>
      </c>
      <c r="H12" s="20" t="n">
        <v>2.15388798</v>
      </c>
      <c r="I12" s="18" t="s">
        <v>431</v>
      </c>
      <c r="J12" s="20" t="s">
        <v>431</v>
      </c>
      <c r="K12" s="18" t="n">
        <v>0.2053713</v>
      </c>
      <c r="L12" s="20" t="n">
        <v>0.20221519</v>
      </c>
      <c r="M12" s="18" t="n">
        <v>0.17094513</v>
      </c>
      <c r="N12" s="20" t="n">
        <v>0.17050157</v>
      </c>
      <c r="O12" s="18" t="n">
        <v>0</v>
      </c>
      <c r="P12" s="20" t="n">
        <v>0</v>
      </c>
      <c r="Q12" s="18" t="n">
        <v>7.05302055</v>
      </c>
      <c r="R12" s="20" t="n">
        <v>1.43254277</v>
      </c>
    </row>
    <row r="13" spans="1:18">
      <c r="A13" s="15" t="s">
        <v>437</v>
      </c>
      <c r="B13" s="17" t="n">
        <v>3559</v>
      </c>
      <c r="C13" s="18">
        <f>(3129.0/B13*100)</f>
        <v/>
      </c>
      <c r="D13" s="19" t="n">
        <v>430</v>
      </c>
      <c r="E13" s="18" t="n">
        <v>21.03182929</v>
      </c>
      <c r="F13" s="20" t="n">
        <v>2.19106835</v>
      </c>
      <c r="G13" s="18" t="n">
        <v>71.97366596000001</v>
      </c>
      <c r="H13" s="20" t="n">
        <v>2.33051707</v>
      </c>
      <c r="I13" s="18" t="s">
        <v>431</v>
      </c>
      <c r="J13" s="20" t="s">
        <v>431</v>
      </c>
      <c r="K13" s="18" t="n">
        <v>0.7414039</v>
      </c>
      <c r="L13" s="20" t="n">
        <v>0.39881957</v>
      </c>
      <c r="M13" s="18" t="n">
        <v>0</v>
      </c>
      <c r="N13" s="20" t="n">
        <v>0</v>
      </c>
      <c r="O13" s="18" t="n">
        <v>0</v>
      </c>
      <c r="P13" s="20" t="n">
        <v>0</v>
      </c>
      <c r="Q13" s="18" t="n">
        <v>6.25310085</v>
      </c>
      <c r="R13" s="20" t="n">
        <v>1.29124351</v>
      </c>
    </row>
    <row r="14" spans="1:18">
      <c r="A14" s="15" t="s">
        <v>438</v>
      </c>
      <c r="B14" s="17" t="n">
        <v>2799</v>
      </c>
      <c r="C14" s="18">
        <f>(2469.0/B14*100)</f>
        <v/>
      </c>
      <c r="D14" s="19" t="n">
        <v>330</v>
      </c>
      <c r="E14" s="18" t="n">
        <v>15.96105205</v>
      </c>
      <c r="F14" s="20" t="n">
        <v>2.52883954</v>
      </c>
      <c r="G14" s="18" t="n">
        <v>80.44003314</v>
      </c>
      <c r="H14" s="20" t="n">
        <v>2.80861448</v>
      </c>
      <c r="I14" s="18" t="s">
        <v>431</v>
      </c>
      <c r="J14" s="20" t="s">
        <v>431</v>
      </c>
      <c r="K14" s="18" t="n">
        <v>0.29821235</v>
      </c>
      <c r="L14" s="20" t="n">
        <v>0.29316506</v>
      </c>
      <c r="M14" s="18" t="n">
        <v>0</v>
      </c>
      <c r="N14" s="20" t="n">
        <v>0</v>
      </c>
      <c r="O14" s="18" t="n">
        <v>0</v>
      </c>
      <c r="P14" s="20" t="n">
        <v>0</v>
      </c>
      <c r="Q14" s="18" t="n">
        <v>3.30070246</v>
      </c>
      <c r="R14" s="20" t="n">
        <v>1.16535742</v>
      </c>
    </row>
    <row r="15" spans="1:18">
      <c r="A15" s="15" t="s">
        <v>439</v>
      </c>
      <c r="B15" s="17" t="n">
        <v>3019</v>
      </c>
      <c r="C15" s="18">
        <f>(2637.0/B15*100)</f>
        <v/>
      </c>
      <c r="D15" s="19" t="n">
        <v>382</v>
      </c>
      <c r="E15" s="18" t="n">
        <v>16.1810426</v>
      </c>
      <c r="F15" s="20" t="n">
        <v>1.80216168</v>
      </c>
      <c r="G15" s="18" t="n">
        <v>78.72437325</v>
      </c>
      <c r="H15" s="20" t="n">
        <v>2.03446753</v>
      </c>
      <c r="I15" s="18" t="s">
        <v>431</v>
      </c>
      <c r="J15" s="20" t="s">
        <v>431</v>
      </c>
      <c r="K15" s="18" t="n">
        <v>0.50562323</v>
      </c>
      <c r="L15" s="20" t="n">
        <v>0.35680476</v>
      </c>
      <c r="M15" s="18" t="n">
        <v>0</v>
      </c>
      <c r="N15" s="20" t="n">
        <v>0</v>
      </c>
      <c r="O15" s="18" t="n">
        <v>0</v>
      </c>
      <c r="P15" s="20" t="n">
        <v>0</v>
      </c>
      <c r="Q15" s="18" t="n">
        <v>4.58896093</v>
      </c>
      <c r="R15" s="20" t="n">
        <v>1.17938007</v>
      </c>
    </row>
    <row r="16" spans="1:18">
      <c r="A16" s="15" t="s">
        <v>440</v>
      </c>
      <c r="B16" s="17" t="n">
        <v>2997</v>
      </c>
      <c r="C16" s="18">
        <f>(2652.0/B16*100)</f>
        <v/>
      </c>
      <c r="D16" s="19" t="n">
        <v>345</v>
      </c>
      <c r="E16" s="18" t="n">
        <v>20.46730979</v>
      </c>
      <c r="F16" s="20" t="n">
        <v>1.97681468</v>
      </c>
      <c r="G16" s="18" t="n">
        <v>60.69080726</v>
      </c>
      <c r="H16" s="20" t="n">
        <v>2.77111855</v>
      </c>
      <c r="I16" s="18" t="s">
        <v>431</v>
      </c>
      <c r="J16" s="20" t="s">
        <v>431</v>
      </c>
      <c r="K16" s="18" t="n">
        <v>2.36273734</v>
      </c>
      <c r="L16" s="20" t="n">
        <v>0.66163644</v>
      </c>
      <c r="M16" s="18" t="n">
        <v>0.49969906</v>
      </c>
      <c r="N16" s="20" t="n">
        <v>0.81391795</v>
      </c>
      <c r="O16" s="18" t="n">
        <v>0</v>
      </c>
      <c r="P16" s="20" t="n">
        <v>0</v>
      </c>
      <c r="Q16" s="18" t="n">
        <v>15.97944656</v>
      </c>
      <c r="R16" s="20" t="n">
        <v>2.27389603</v>
      </c>
    </row>
    <row r="17" spans="1:18">
      <c r="A17" s="15" t="s">
        <v>441</v>
      </c>
      <c r="B17" s="17" t="n">
        <v>3307</v>
      </c>
      <c r="C17" s="18">
        <f>(2912.0/B17*100)</f>
        <v/>
      </c>
      <c r="D17" s="19" t="n">
        <v>395</v>
      </c>
      <c r="E17" s="18" t="n">
        <v>17.97341724</v>
      </c>
      <c r="F17" s="20" t="n">
        <v>2.09379942</v>
      </c>
      <c r="G17" s="18" t="n">
        <v>73.52663724999999</v>
      </c>
      <c r="H17" s="20" t="n">
        <v>2.37136986</v>
      </c>
      <c r="I17" s="18" t="s">
        <v>431</v>
      </c>
      <c r="J17" s="20" t="s">
        <v>431</v>
      </c>
      <c r="K17" s="18" t="n">
        <v>0</v>
      </c>
      <c r="L17" s="20" t="n">
        <v>0</v>
      </c>
      <c r="M17" s="18" t="n">
        <v>0</v>
      </c>
      <c r="N17" s="20" t="n">
        <v>0</v>
      </c>
      <c r="O17" s="18" t="n">
        <v>0</v>
      </c>
      <c r="P17" s="20" t="n">
        <v>0</v>
      </c>
      <c r="Q17" s="18" t="n">
        <v>8.49994551</v>
      </c>
      <c r="R17" s="20" t="n">
        <v>1.39723534</v>
      </c>
    </row>
    <row r="18" spans="1:18">
      <c r="A18" s="15" t="s">
        <v>442</v>
      </c>
      <c r="B18" s="17" t="n">
        <v>2826</v>
      </c>
      <c r="C18" s="18">
        <f>(2468.0/B18*100)</f>
        <v/>
      </c>
      <c r="D18" s="19" t="n">
        <v>358</v>
      </c>
      <c r="E18" s="18" t="n">
        <v>43.76365841</v>
      </c>
      <c r="F18" s="20" t="n">
        <v>3.38708289</v>
      </c>
      <c r="G18" s="18" t="n">
        <v>39.79371272</v>
      </c>
      <c r="H18" s="20" t="n">
        <v>3.17679759</v>
      </c>
      <c r="I18" s="18" t="s">
        <v>431</v>
      </c>
      <c r="J18" s="20" t="s">
        <v>431</v>
      </c>
      <c r="K18" s="18" t="n">
        <v>0.85284259</v>
      </c>
      <c r="L18" s="20" t="n">
        <v>0.62928894</v>
      </c>
      <c r="M18" s="18" t="n">
        <v>0</v>
      </c>
      <c r="N18" s="20" t="n">
        <v>0</v>
      </c>
      <c r="O18" s="18" t="n">
        <v>0</v>
      </c>
      <c r="P18" s="20" t="n">
        <v>0</v>
      </c>
      <c r="Q18" s="18" t="n">
        <v>15.58978628</v>
      </c>
      <c r="R18" s="20" t="n">
        <v>2.75186362</v>
      </c>
    </row>
    <row r="19" spans="1:18">
      <c r="A19" s="15" t="s">
        <v>443</v>
      </c>
      <c r="B19" s="17" t="n">
        <v>2808</v>
      </c>
      <c r="C19" s="18">
        <f>(2454.0/B19*100)</f>
        <v/>
      </c>
      <c r="D19" s="19" t="n">
        <v>354</v>
      </c>
      <c r="E19" s="18" t="n">
        <v>41.59115128</v>
      </c>
      <c r="F19" s="20" t="n">
        <v>2.5738265</v>
      </c>
      <c r="G19" s="18" t="n">
        <v>47.21587794</v>
      </c>
      <c r="H19" s="20" t="n">
        <v>2.47681854</v>
      </c>
      <c r="I19" s="18" t="s">
        <v>431</v>
      </c>
      <c r="J19" s="20" t="s">
        <v>431</v>
      </c>
      <c r="K19" s="18" t="n">
        <v>0.58172835</v>
      </c>
      <c r="L19" s="20" t="n">
        <v>0.63148647</v>
      </c>
      <c r="M19" s="18" t="n">
        <v>0.33661255</v>
      </c>
      <c r="N19" s="20" t="n">
        <v>0.35803711</v>
      </c>
      <c r="O19" s="18" t="n">
        <v>0</v>
      </c>
      <c r="P19" s="20" t="n">
        <v>0</v>
      </c>
      <c r="Q19" s="18" t="n">
        <v>10.27462988</v>
      </c>
      <c r="R19" s="20" t="n">
        <v>1.64373849</v>
      </c>
    </row>
    <row r="20" spans="1:18">
      <c r="A20" s="15" t="s">
        <v>444</v>
      </c>
      <c r="B20" s="17" t="n">
        <v>1630</v>
      </c>
      <c r="C20" s="18">
        <f>(1440.0/B20*100)</f>
        <v/>
      </c>
      <c r="D20" s="19" t="n">
        <v>190</v>
      </c>
      <c r="E20" s="18" t="n">
        <v>26.67382842</v>
      </c>
      <c r="F20" s="20" t="n">
        <v>3.0669113</v>
      </c>
      <c r="G20" s="18" t="n">
        <v>63.20026058</v>
      </c>
      <c r="H20" s="20" t="n">
        <v>3.37113852</v>
      </c>
      <c r="I20" s="18" t="s">
        <v>431</v>
      </c>
      <c r="J20" s="20" t="s">
        <v>431</v>
      </c>
      <c r="K20" s="18" t="n">
        <v>0.51021468</v>
      </c>
      <c r="L20" s="20" t="n">
        <v>0.49276928</v>
      </c>
      <c r="M20" s="18" t="n">
        <v>0</v>
      </c>
      <c r="N20" s="20" t="n">
        <v>0</v>
      </c>
      <c r="O20" s="18" t="n">
        <v>0</v>
      </c>
      <c r="P20" s="20" t="n">
        <v>0</v>
      </c>
      <c r="Q20" s="18" t="n">
        <v>9.61569633</v>
      </c>
      <c r="R20" s="20" t="n">
        <v>1.98206432</v>
      </c>
    </row>
    <row r="21" spans="1:18">
      <c r="A21" s="15" t="s">
        <v>445</v>
      </c>
      <c r="B21" s="17" t="n">
        <v>2908</v>
      </c>
      <c r="C21" s="18">
        <f>(2436.0/B21*100)</f>
        <v/>
      </c>
      <c r="D21" s="19" t="n">
        <v>472</v>
      </c>
      <c r="E21" s="18" t="n">
        <v>21.16815484</v>
      </c>
      <c r="F21" s="20" t="n">
        <v>2.06834745</v>
      </c>
      <c r="G21" s="18" t="n">
        <v>74.62354205</v>
      </c>
      <c r="H21" s="20" t="n">
        <v>2.3099726</v>
      </c>
      <c r="I21" s="18" t="s">
        <v>431</v>
      </c>
      <c r="J21" s="20" t="s">
        <v>431</v>
      </c>
      <c r="K21" s="18" t="n">
        <v>0.66757643</v>
      </c>
      <c r="L21" s="20" t="n">
        <v>0.32531228</v>
      </c>
      <c r="M21" s="18" t="n">
        <v>0</v>
      </c>
      <c r="N21" s="20" t="n">
        <v>0</v>
      </c>
      <c r="O21" s="18" t="n">
        <v>0</v>
      </c>
      <c r="P21" s="20" t="n">
        <v>0</v>
      </c>
      <c r="Q21" s="18" t="n">
        <v>3.54072668</v>
      </c>
      <c r="R21" s="20" t="n">
        <v>0.84725765</v>
      </c>
    </row>
    <row r="22" spans="1:18">
      <c r="A22" s="15" t="s">
        <v>446</v>
      </c>
      <c r="B22" s="17" t="n">
        <v>2931</v>
      </c>
      <c r="C22" s="18">
        <f>(2570.0/B22*100)</f>
        <v/>
      </c>
      <c r="D22" s="19" t="n">
        <v>361</v>
      </c>
      <c r="E22" s="18" t="n">
        <v>25.38377077</v>
      </c>
      <c r="F22" s="20" t="n">
        <v>2.43633579</v>
      </c>
      <c r="G22" s="18" t="n">
        <v>62.137337</v>
      </c>
      <c r="H22" s="20" t="n">
        <v>2.96244077</v>
      </c>
      <c r="I22" s="18" t="s">
        <v>431</v>
      </c>
      <c r="J22" s="20" t="s">
        <v>431</v>
      </c>
      <c r="K22" s="18" t="n">
        <v>2.04791629</v>
      </c>
      <c r="L22" s="20" t="n">
        <v>0.71954346</v>
      </c>
      <c r="M22" s="18" t="n">
        <v>0</v>
      </c>
      <c r="N22" s="20" t="n">
        <v>0</v>
      </c>
      <c r="O22" s="18" t="n">
        <v>0</v>
      </c>
      <c r="P22" s="20" t="n">
        <v>0</v>
      </c>
      <c r="Q22" s="18" t="n">
        <v>10.43097594</v>
      </c>
      <c r="R22" s="20" t="n">
        <v>1.77631598</v>
      </c>
    </row>
    <row r="23" spans="1:18">
      <c r="A23" s="15" t="s">
        <v>447</v>
      </c>
      <c r="B23" s="17" t="n">
        <v>5791</v>
      </c>
      <c r="C23" s="18">
        <f>(5077.0/B23*100)</f>
        <v/>
      </c>
      <c r="D23" s="19" t="n">
        <v>714</v>
      </c>
      <c r="E23" s="18" t="n">
        <v>46.96417949</v>
      </c>
      <c r="F23" s="20" t="n">
        <v>2.90600502</v>
      </c>
      <c r="G23" s="18" t="n">
        <v>40.3130515</v>
      </c>
      <c r="H23" s="20" t="n">
        <v>2.65079849</v>
      </c>
      <c r="I23" s="18" t="s">
        <v>431</v>
      </c>
      <c r="J23" s="20" t="s">
        <v>431</v>
      </c>
      <c r="K23" s="18" t="n">
        <v>0.3577359</v>
      </c>
      <c r="L23" s="20" t="n">
        <v>0.22369173</v>
      </c>
      <c r="M23" s="18" t="n">
        <v>0.19768504</v>
      </c>
      <c r="N23" s="20" t="n">
        <v>0.18499796</v>
      </c>
      <c r="O23" s="18" t="n">
        <v>0</v>
      </c>
      <c r="P23" s="20" t="n">
        <v>0</v>
      </c>
      <c r="Q23" s="18" t="n">
        <v>12.16734807</v>
      </c>
      <c r="R23" s="20" t="n">
        <v>1.98529833</v>
      </c>
    </row>
    <row r="24" spans="1:18">
      <c r="A24" s="15" t="s">
        <v>448</v>
      </c>
      <c r="B24" s="17" t="n">
        <v>3338</v>
      </c>
      <c r="C24" s="18">
        <f>(2943.0/B24*100)</f>
        <v/>
      </c>
      <c r="D24" s="19" t="n">
        <v>395</v>
      </c>
      <c r="E24" s="18" t="n">
        <v>10.78017323</v>
      </c>
      <c r="F24" s="20" t="n">
        <v>1.55207738</v>
      </c>
      <c r="G24" s="18" t="n">
        <v>83.17852009000001</v>
      </c>
      <c r="H24" s="20" t="n">
        <v>1.99936837</v>
      </c>
      <c r="I24" s="18" t="s">
        <v>431</v>
      </c>
      <c r="J24" s="20" t="s">
        <v>431</v>
      </c>
      <c r="K24" s="18" t="n">
        <v>0.58273251</v>
      </c>
      <c r="L24" s="20" t="n">
        <v>0.40911687</v>
      </c>
      <c r="M24" s="18" t="n">
        <v>0</v>
      </c>
      <c r="N24" s="20" t="n">
        <v>0</v>
      </c>
      <c r="O24" s="18" t="n">
        <v>0</v>
      </c>
      <c r="P24" s="20" t="n">
        <v>0</v>
      </c>
      <c r="Q24" s="18" t="n">
        <v>5.45857416</v>
      </c>
      <c r="R24" s="20" t="n">
        <v>1.15398163</v>
      </c>
    </row>
    <row r="25" spans="1:18">
      <c r="A25" s="15" t="s">
        <v>449</v>
      </c>
      <c r="B25" s="17" t="n">
        <v>2912</v>
      </c>
      <c r="C25" s="18">
        <f>(2540.0/B25*100)</f>
        <v/>
      </c>
      <c r="D25" s="19" t="n">
        <v>372</v>
      </c>
      <c r="E25" s="18" t="n">
        <v>29.48008885</v>
      </c>
      <c r="F25" s="20" t="n">
        <v>2.41414176</v>
      </c>
      <c r="G25" s="18" t="n">
        <v>60.97076669</v>
      </c>
      <c r="H25" s="20" t="n">
        <v>2.60538523</v>
      </c>
      <c r="I25" s="18" t="s">
        <v>431</v>
      </c>
      <c r="J25" s="20" t="s">
        <v>431</v>
      </c>
      <c r="K25" s="18" t="n">
        <v>0.50223064</v>
      </c>
      <c r="L25" s="20" t="n">
        <v>0.35563473</v>
      </c>
      <c r="M25" s="18" t="n">
        <v>0</v>
      </c>
      <c r="N25" s="20" t="n">
        <v>0</v>
      </c>
      <c r="O25" s="18" t="n">
        <v>0</v>
      </c>
      <c r="P25" s="20" t="n">
        <v>0</v>
      </c>
      <c r="Q25" s="18" t="n">
        <v>9.04691382</v>
      </c>
      <c r="R25" s="20" t="n">
        <v>1.58749948</v>
      </c>
    </row>
    <row r="26" spans="1:18">
      <c r="A26" s="15" t="s">
        <v>450</v>
      </c>
      <c r="B26" s="17" t="n">
        <v>2450</v>
      </c>
      <c r="C26" s="18">
        <f>(2136.0/B26*100)</f>
        <v/>
      </c>
      <c r="D26" s="19" t="n">
        <v>314</v>
      </c>
      <c r="E26" s="18" t="n">
        <v>29.59753831</v>
      </c>
      <c r="F26" s="20" t="n">
        <v>2.87855819</v>
      </c>
      <c r="G26" s="18" t="n">
        <v>63.45968011</v>
      </c>
      <c r="H26" s="20" t="n">
        <v>2.96026274</v>
      </c>
      <c r="I26" s="18" t="s">
        <v>431</v>
      </c>
      <c r="J26" s="20" t="s">
        <v>431</v>
      </c>
      <c r="K26" s="18" t="n">
        <v>0</v>
      </c>
      <c r="L26" s="20" t="n">
        <v>0</v>
      </c>
      <c r="M26" s="18" t="n">
        <v>0.46878248</v>
      </c>
      <c r="N26" s="20" t="n">
        <v>0.32949834</v>
      </c>
      <c r="O26" s="18" t="n">
        <v>0</v>
      </c>
      <c r="P26" s="20" t="n">
        <v>0</v>
      </c>
      <c r="Q26" s="18" t="n">
        <v>6.4739991</v>
      </c>
      <c r="R26" s="20" t="n">
        <v>1.53670391</v>
      </c>
    </row>
    <row r="27" spans="1:18">
      <c r="A27" s="15" t="s">
        <v>451</v>
      </c>
      <c r="B27" s="17" t="n">
        <v>2616</v>
      </c>
      <c r="C27" s="18">
        <f>(2295.0/B27*100)</f>
        <v/>
      </c>
      <c r="D27" s="19" t="n">
        <v>321</v>
      </c>
      <c r="E27" s="18" t="n">
        <v>29.98896534</v>
      </c>
      <c r="F27" s="20" t="n">
        <v>2.22884445</v>
      </c>
      <c r="G27" s="18" t="n">
        <v>57.81813491</v>
      </c>
      <c r="H27" s="20" t="n">
        <v>2.39961508</v>
      </c>
      <c r="I27" s="18" t="s">
        <v>431</v>
      </c>
      <c r="J27" s="20" t="s">
        <v>431</v>
      </c>
      <c r="K27" s="18" t="n">
        <v>0.6251278</v>
      </c>
      <c r="L27" s="20" t="n">
        <v>0.44379902</v>
      </c>
      <c r="M27" s="18" t="n">
        <v>0</v>
      </c>
      <c r="N27" s="20" t="n">
        <v>0</v>
      </c>
      <c r="O27" s="18" t="n">
        <v>0</v>
      </c>
      <c r="P27" s="20" t="n">
        <v>0</v>
      </c>
      <c r="Q27" s="18" t="n">
        <v>11.56777195</v>
      </c>
      <c r="R27" s="20" t="n">
        <v>1.74029114</v>
      </c>
    </row>
    <row r="28" spans="1:18">
      <c r="A28" s="15" t="s">
        <v>452</v>
      </c>
      <c r="B28" s="17" t="n">
        <v>3765</v>
      </c>
      <c r="C28" s="18">
        <f>(3323.0/B28*100)</f>
        <v/>
      </c>
      <c r="D28" s="19" t="n">
        <v>442</v>
      </c>
      <c r="E28" s="18" t="n">
        <v>44.63556928</v>
      </c>
      <c r="F28" s="20" t="n">
        <v>3.12392262</v>
      </c>
      <c r="G28" s="18" t="n">
        <v>51.73862373</v>
      </c>
      <c r="H28" s="20" t="n">
        <v>3.00334232</v>
      </c>
      <c r="I28" s="18" t="s">
        <v>431</v>
      </c>
      <c r="J28" s="20" t="s">
        <v>431</v>
      </c>
      <c r="K28" s="18" t="n">
        <v>0.800551</v>
      </c>
      <c r="L28" s="20" t="n">
        <v>0.48403161</v>
      </c>
      <c r="M28" s="18" t="n">
        <v>0</v>
      </c>
      <c r="N28" s="20" t="n">
        <v>0</v>
      </c>
      <c r="O28" s="18" t="n">
        <v>0</v>
      </c>
      <c r="P28" s="20" t="n">
        <v>0</v>
      </c>
      <c r="Q28" s="18" t="n">
        <v>2.82525599</v>
      </c>
      <c r="R28" s="20" t="n">
        <v>1.06704332</v>
      </c>
    </row>
    <row r="29" spans="1:18">
      <c r="A29" s="15" t="s">
        <v>453</v>
      </c>
      <c r="B29" s="17" t="n">
        <v>2685</v>
      </c>
      <c r="C29" s="18">
        <f>(2369.0/B29*100)</f>
        <v/>
      </c>
      <c r="D29" s="19" t="n">
        <v>316</v>
      </c>
      <c r="E29" s="18" t="n">
        <v>20.56950036</v>
      </c>
      <c r="F29" s="20" t="n">
        <v>2.17444238</v>
      </c>
      <c r="G29" s="18" t="n">
        <v>76.63004341</v>
      </c>
      <c r="H29" s="20" t="n">
        <v>2.3650314</v>
      </c>
      <c r="I29" s="18" t="s">
        <v>431</v>
      </c>
      <c r="J29" s="20" t="s">
        <v>431</v>
      </c>
      <c r="K29" s="18" t="n">
        <v>0</v>
      </c>
      <c r="L29" s="20" t="n">
        <v>0</v>
      </c>
      <c r="M29" s="18" t="n">
        <v>0</v>
      </c>
      <c r="N29" s="20" t="n">
        <v>0</v>
      </c>
      <c r="O29" s="18" t="n">
        <v>0</v>
      </c>
      <c r="P29" s="20" t="n">
        <v>0</v>
      </c>
      <c r="Q29" s="18" t="n">
        <v>2.80045622</v>
      </c>
      <c r="R29" s="20" t="n">
        <v>0.9253792199999999</v>
      </c>
    </row>
    <row r="30" spans="1:18">
      <c r="A30" s="15" t="s">
        <v>454</v>
      </c>
      <c r="B30" s="17" t="n">
        <v>2263</v>
      </c>
      <c r="C30" s="18">
        <f>(1993.0/B30*100)</f>
        <v/>
      </c>
      <c r="D30" s="19" t="n">
        <v>270</v>
      </c>
      <c r="E30" s="18" t="n">
        <v>18.95358768</v>
      </c>
      <c r="F30" s="20" t="n">
        <v>2.54579515</v>
      </c>
      <c r="G30" s="18" t="n">
        <v>71.77434857999999</v>
      </c>
      <c r="H30" s="20" t="n">
        <v>2.40072201</v>
      </c>
      <c r="I30" s="18" t="s">
        <v>431</v>
      </c>
      <c r="J30" s="20" t="s">
        <v>431</v>
      </c>
      <c r="K30" s="18" t="n">
        <v>1.35855529</v>
      </c>
      <c r="L30" s="20" t="n">
        <v>0.66963242</v>
      </c>
      <c r="M30" s="18" t="n">
        <v>0</v>
      </c>
      <c r="N30" s="20" t="n">
        <v>0</v>
      </c>
      <c r="O30" s="18" t="n">
        <v>0</v>
      </c>
      <c r="P30" s="20" t="n">
        <v>0</v>
      </c>
      <c r="Q30" s="18" t="n">
        <v>7.91350845</v>
      </c>
      <c r="R30" s="20" t="n">
        <v>1.60092427</v>
      </c>
    </row>
    <row r="31" spans="1:18">
      <c r="A31" s="15" t="s">
        <v>455</v>
      </c>
      <c r="B31" s="17" t="n">
        <v>2750</v>
      </c>
      <c r="C31" s="18">
        <f>(2420.0/B31*100)</f>
        <v/>
      </c>
      <c r="D31" s="19" t="n">
        <v>330</v>
      </c>
      <c r="E31" s="18" t="n">
        <v>20.09201186</v>
      </c>
      <c r="F31" s="20" t="n">
        <v>2.45283329</v>
      </c>
      <c r="G31" s="18" t="n">
        <v>73.03931756999999</v>
      </c>
      <c r="H31" s="20" t="n">
        <v>2.67026637</v>
      </c>
      <c r="I31" s="18" t="s">
        <v>431</v>
      </c>
      <c r="J31" s="20" t="s">
        <v>431</v>
      </c>
      <c r="K31" s="18" t="n">
        <v>1.15466156</v>
      </c>
      <c r="L31" s="20" t="n">
        <v>0.52964637</v>
      </c>
      <c r="M31" s="18" t="n">
        <v>0</v>
      </c>
      <c r="N31" s="20" t="n">
        <v>0</v>
      </c>
      <c r="O31" s="18" t="n">
        <v>0</v>
      </c>
      <c r="P31" s="20" t="n">
        <v>0</v>
      </c>
      <c r="Q31" s="18" t="n">
        <v>5.71400901</v>
      </c>
      <c r="R31" s="20" t="n">
        <v>1.35772294</v>
      </c>
    </row>
    <row r="32" spans="1:18">
      <c r="A32" s="15" t="s">
        <v>456</v>
      </c>
      <c r="B32" s="17" t="n">
        <v>2269</v>
      </c>
      <c r="C32" s="18">
        <f>(1901.0/B32*100)</f>
        <v/>
      </c>
      <c r="D32" s="19" t="n">
        <v>368</v>
      </c>
      <c r="E32" s="18" t="n">
        <v>42.68316561</v>
      </c>
      <c r="F32" s="20" t="n">
        <v>2.73745303</v>
      </c>
      <c r="G32" s="18" t="n">
        <v>50.31545778</v>
      </c>
      <c r="H32" s="20" t="n">
        <v>2.71798695</v>
      </c>
      <c r="I32" s="18" t="s">
        <v>431</v>
      </c>
      <c r="J32" s="20" t="s">
        <v>431</v>
      </c>
      <c r="K32" s="18" t="n">
        <v>0.49682349</v>
      </c>
      <c r="L32" s="20" t="n">
        <v>0.02927555</v>
      </c>
      <c r="M32" s="18" t="n">
        <v>0</v>
      </c>
      <c r="N32" s="20" t="n">
        <v>0</v>
      </c>
      <c r="O32" s="18" t="n">
        <v>0</v>
      </c>
      <c r="P32" s="20" t="n">
        <v>0</v>
      </c>
      <c r="Q32" s="18" t="n">
        <v>6.50455312</v>
      </c>
      <c r="R32" s="20" t="n">
        <v>1.23509033</v>
      </c>
    </row>
    <row r="33" spans="1:18">
      <c r="A33" s="15" t="s">
        <v>457</v>
      </c>
      <c r="B33" s="17" t="n">
        <v>3674</v>
      </c>
      <c r="C33" s="18">
        <f>(3235.0/B33*100)</f>
        <v/>
      </c>
      <c r="D33" s="19" t="n">
        <v>439</v>
      </c>
      <c r="E33" s="18" t="n">
        <v>18.12518233</v>
      </c>
      <c r="F33" s="20" t="n">
        <v>1.93373765</v>
      </c>
      <c r="G33" s="18" t="n">
        <v>73.1365914</v>
      </c>
      <c r="H33" s="20" t="n">
        <v>2.51917231</v>
      </c>
      <c r="I33" s="18" t="s">
        <v>431</v>
      </c>
      <c r="J33" s="20" t="s">
        <v>431</v>
      </c>
      <c r="K33" s="18" t="n">
        <v>0.08630198</v>
      </c>
      <c r="L33" s="20" t="n">
        <v>0.05313173</v>
      </c>
      <c r="M33" s="18" t="n">
        <v>0</v>
      </c>
      <c r="N33" s="20" t="n">
        <v>0</v>
      </c>
      <c r="O33" s="18" t="n">
        <v>0</v>
      </c>
      <c r="P33" s="20" t="n">
        <v>0</v>
      </c>
      <c r="Q33" s="18" t="n">
        <v>8.651924299999999</v>
      </c>
      <c r="R33" s="20" t="n">
        <v>1.88027663</v>
      </c>
    </row>
    <row r="34" spans="1:18">
      <c r="A34" s="15" t="s">
        <v>458</v>
      </c>
      <c r="B34" s="17" t="n">
        <v>3315</v>
      </c>
      <c r="C34" s="18">
        <f>(2938.0/B34*100)</f>
        <v/>
      </c>
      <c r="D34" s="19" t="n">
        <v>377</v>
      </c>
      <c r="E34" s="18" t="n">
        <v>32.17845058</v>
      </c>
      <c r="F34" s="20" t="n">
        <v>2.96356167</v>
      </c>
      <c r="G34" s="18" t="n">
        <v>57.30794709</v>
      </c>
      <c r="H34" s="20" t="n">
        <v>2.9158393</v>
      </c>
      <c r="I34" s="18" t="s">
        <v>431</v>
      </c>
      <c r="J34" s="20" t="s">
        <v>431</v>
      </c>
      <c r="K34" s="18" t="n">
        <v>0.08624766</v>
      </c>
      <c r="L34" s="20" t="n">
        <v>0.08688298999999999</v>
      </c>
      <c r="M34" s="18" t="n">
        <v>0.17644904</v>
      </c>
      <c r="N34" s="20" t="n">
        <v>0.1768956</v>
      </c>
      <c r="O34" s="18" t="n">
        <v>0</v>
      </c>
      <c r="P34" s="20" t="n">
        <v>0</v>
      </c>
      <c r="Q34" s="18" t="n">
        <v>10.25090563</v>
      </c>
      <c r="R34" s="20" t="n">
        <v>1.81767638</v>
      </c>
    </row>
    <row r="35" spans="1:18">
      <c r="A35" s="15" t="s">
        <v>459</v>
      </c>
      <c r="B35" s="17" t="n">
        <v>3505</v>
      </c>
      <c r="C35" s="18">
        <f>(3099.0/B35*100)</f>
        <v/>
      </c>
      <c r="D35" s="19" t="n">
        <v>406</v>
      </c>
      <c r="E35" s="18" t="n">
        <v>29.90085376</v>
      </c>
      <c r="F35" s="20" t="n">
        <v>2.96189152</v>
      </c>
      <c r="G35" s="18" t="n">
        <v>61.830745</v>
      </c>
      <c r="H35" s="20" t="n">
        <v>3.46147225</v>
      </c>
      <c r="I35" s="18" t="s">
        <v>431</v>
      </c>
      <c r="J35" s="20" t="s">
        <v>431</v>
      </c>
      <c r="K35" s="18" t="n">
        <v>1.24765074</v>
      </c>
      <c r="L35" s="20" t="n">
        <v>0.66002974</v>
      </c>
      <c r="M35" s="18" t="n">
        <v>0.45672522</v>
      </c>
      <c r="N35" s="20" t="n">
        <v>0.45506556</v>
      </c>
      <c r="O35" s="18" t="n">
        <v>0</v>
      </c>
      <c r="P35" s="20" t="n">
        <v>0</v>
      </c>
      <c r="Q35" s="18" t="n">
        <v>6.56402527</v>
      </c>
      <c r="R35" s="20" t="n">
        <v>1.3197129</v>
      </c>
    </row>
    <row r="36" spans="1:18">
      <c r="A36" s="15" t="s">
        <v>460</v>
      </c>
      <c r="B36" s="17" t="n">
        <v>3332</v>
      </c>
      <c r="C36" s="18">
        <f>(2926.0/B36*100)</f>
        <v/>
      </c>
      <c r="D36" s="19" t="n">
        <v>406</v>
      </c>
      <c r="E36" s="18" t="n">
        <v>21.08936775</v>
      </c>
      <c r="F36" s="20" t="n">
        <v>2.51030115</v>
      </c>
      <c r="G36" s="18" t="n">
        <v>70.07066157</v>
      </c>
      <c r="H36" s="20" t="n">
        <v>2.62710022</v>
      </c>
      <c r="I36" s="18" t="s">
        <v>431</v>
      </c>
      <c r="J36" s="20" t="s">
        <v>431</v>
      </c>
      <c r="K36" s="18" t="n">
        <v>1.60576822</v>
      </c>
      <c r="L36" s="20" t="n">
        <v>0.66998152</v>
      </c>
      <c r="M36" s="18" t="n">
        <v>0</v>
      </c>
      <c r="N36" s="20" t="n">
        <v>0</v>
      </c>
      <c r="O36" s="18" t="n">
        <v>0</v>
      </c>
      <c r="P36" s="20" t="n">
        <v>0</v>
      </c>
      <c r="Q36" s="18" t="n">
        <v>7.23420246</v>
      </c>
      <c r="R36" s="20" t="n">
        <v>1.36874963</v>
      </c>
    </row>
    <row r="37" spans="1:18">
      <c r="A37" s="15" t="s">
        <v>461</v>
      </c>
      <c r="B37" s="17" t="n">
        <v>2727</v>
      </c>
      <c r="C37" s="18">
        <f>(2389.0/B37*100)</f>
        <v/>
      </c>
      <c r="D37" s="19" t="n">
        <v>338</v>
      </c>
      <c r="E37" s="18" t="n">
        <v>29.52769912</v>
      </c>
      <c r="F37" s="20" t="n">
        <v>2.63763311</v>
      </c>
      <c r="G37" s="18" t="n">
        <v>58.26621649</v>
      </c>
      <c r="H37" s="20" t="n">
        <v>2.77033338</v>
      </c>
      <c r="I37" s="18" t="s">
        <v>431</v>
      </c>
      <c r="J37" s="20" t="s">
        <v>431</v>
      </c>
      <c r="K37" s="18" t="n">
        <v>1.61239189</v>
      </c>
      <c r="L37" s="20" t="n">
        <v>0.68161985</v>
      </c>
      <c r="M37" s="18" t="n">
        <v>0.236098</v>
      </c>
      <c r="N37" s="20" t="n">
        <v>0.23679756</v>
      </c>
      <c r="O37" s="18" t="n">
        <v>0</v>
      </c>
      <c r="P37" s="20" t="n">
        <v>0</v>
      </c>
      <c r="Q37" s="18" t="n">
        <v>10.3575945</v>
      </c>
      <c r="R37" s="20" t="n">
        <v>1.6931157</v>
      </c>
    </row>
    <row r="38" spans="1:18">
      <c r="A38" s="15" t="s">
        <v>462</v>
      </c>
      <c r="B38" s="17" t="n">
        <v>3053</v>
      </c>
      <c r="C38" s="18">
        <f>(2538.0/B38*100)</f>
        <v/>
      </c>
      <c r="D38" s="19" t="n">
        <v>515</v>
      </c>
      <c r="E38" s="18" t="n">
        <v>19.0228765</v>
      </c>
      <c r="F38" s="20" t="n">
        <v>1.9505594</v>
      </c>
      <c r="G38" s="18" t="n">
        <v>71.18331345999999</v>
      </c>
      <c r="H38" s="20" t="n">
        <v>2.29602207</v>
      </c>
      <c r="I38" s="18" t="s">
        <v>431</v>
      </c>
      <c r="J38" s="20" t="s">
        <v>431</v>
      </c>
      <c r="K38" s="18" t="n">
        <v>1.60122531</v>
      </c>
      <c r="L38" s="20" t="n">
        <v>0.6892415200000001</v>
      </c>
      <c r="M38" s="18" t="n">
        <v>0</v>
      </c>
      <c r="N38" s="20" t="n">
        <v>0</v>
      </c>
      <c r="O38" s="18" t="n">
        <v>0</v>
      </c>
      <c r="P38" s="20" t="n">
        <v>0</v>
      </c>
      <c r="Q38" s="18" t="n">
        <v>8.19258473</v>
      </c>
      <c r="R38" s="20" t="n">
        <v>1.29669524</v>
      </c>
    </row>
    <row r="39" spans="1:18">
      <c r="A39" s="15" t="s">
        <v>463</v>
      </c>
      <c r="B39" s="17" t="n">
        <v>2957</v>
      </c>
      <c r="C39" s="18">
        <f>(2594.0/B39*100)</f>
        <v/>
      </c>
      <c r="D39" s="19" t="n">
        <v>363</v>
      </c>
      <c r="E39" s="18" t="n">
        <v>65.86409229</v>
      </c>
      <c r="F39" s="20" t="n">
        <v>2.51216791</v>
      </c>
      <c r="G39" s="18" t="n">
        <v>23.82595747</v>
      </c>
      <c r="H39" s="20" t="n">
        <v>2.6203535</v>
      </c>
      <c r="I39" s="18" t="s">
        <v>431</v>
      </c>
      <c r="J39" s="20" t="s">
        <v>431</v>
      </c>
      <c r="K39" s="18" t="n">
        <v>0.19499478</v>
      </c>
      <c r="L39" s="20" t="n">
        <v>0.19743281</v>
      </c>
      <c r="M39" s="18" t="n">
        <v>0.12278317</v>
      </c>
      <c r="N39" s="20" t="n">
        <v>0.08778746</v>
      </c>
      <c r="O39" s="18" t="n">
        <v>0</v>
      </c>
      <c r="P39" s="20" t="n">
        <v>0</v>
      </c>
      <c r="Q39" s="18" t="n">
        <v>9.992172289999999</v>
      </c>
      <c r="R39" s="20" t="n">
        <v>1.77862676</v>
      </c>
    </row>
    <row r="40" spans="1:18">
      <c r="A40" s="15" t="s">
        <v>464</v>
      </c>
      <c r="B40" s="17" t="n">
        <v>7235</v>
      </c>
      <c r="C40" s="18">
        <f>(6380.0/B40*100)</f>
        <v/>
      </c>
      <c r="D40" s="19" t="n">
        <v>855</v>
      </c>
      <c r="E40" s="18" t="n">
        <v>29.17450696</v>
      </c>
      <c r="F40" s="20" t="n">
        <v>2.33345584</v>
      </c>
      <c r="G40" s="18" t="n">
        <v>63.14433012</v>
      </c>
      <c r="H40" s="20" t="n">
        <v>2.41100551</v>
      </c>
      <c r="I40" s="18" t="s">
        <v>431</v>
      </c>
      <c r="J40" s="20" t="s">
        <v>431</v>
      </c>
      <c r="K40" s="18" t="n">
        <v>0.81699662</v>
      </c>
      <c r="L40" s="20" t="n">
        <v>0.50166415</v>
      </c>
      <c r="M40" s="18" t="n">
        <v>0.49023644</v>
      </c>
      <c r="N40" s="20" t="n">
        <v>0.43506037</v>
      </c>
      <c r="O40" s="18" t="n">
        <v>0</v>
      </c>
      <c r="P40" s="20" t="n">
        <v>0</v>
      </c>
      <c r="Q40" s="18" t="n">
        <v>6.37392986</v>
      </c>
      <c r="R40" s="20" t="n">
        <v>1.31631166</v>
      </c>
    </row>
    <row r="41" spans="1:18">
      <c r="A41" s="15" t="s">
        <v>465</v>
      </c>
      <c r="B41" s="17" t="n">
        <v>2858</v>
      </c>
      <c r="C41" s="18">
        <f>(2514.0/B41*100)</f>
        <v/>
      </c>
      <c r="D41" s="19" t="n">
        <v>344</v>
      </c>
      <c r="E41" s="18" t="n">
        <v>32.27308588</v>
      </c>
      <c r="F41" s="20" t="n">
        <v>2.54223038</v>
      </c>
      <c r="G41" s="18" t="n">
        <v>66.57025091</v>
      </c>
      <c r="H41" s="20" t="n">
        <v>2.55391621</v>
      </c>
      <c r="I41" s="18" t="s">
        <v>431</v>
      </c>
      <c r="J41" s="20" t="s">
        <v>431</v>
      </c>
      <c r="K41" s="18" t="n">
        <v>0.3023093</v>
      </c>
      <c r="L41" s="20" t="n">
        <v>0.30827114</v>
      </c>
      <c r="M41" s="18" t="n">
        <v>0</v>
      </c>
      <c r="N41" s="20" t="n">
        <v>0</v>
      </c>
      <c r="O41" s="18" t="n">
        <v>0</v>
      </c>
      <c r="P41" s="20" t="n">
        <v>0</v>
      </c>
      <c r="Q41" s="18" t="n">
        <v>0.85435392</v>
      </c>
      <c r="R41" s="20" t="n">
        <v>0.47125809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(9999.0/B46*100)</f>
        <v/>
      </c>
      <c r="D46" s="19" t="n">
        <v>1069</v>
      </c>
      <c r="E46" s="18" t="n">
        <v>42.54219759</v>
      </c>
      <c r="F46" s="20" t="n">
        <v>1.7706579</v>
      </c>
      <c r="G46" s="18" t="n">
        <v>40.03729246</v>
      </c>
      <c r="H46" s="20" t="n">
        <v>1.99022599</v>
      </c>
      <c r="I46" s="18" t="s">
        <v>431</v>
      </c>
      <c r="J46" s="20" t="s">
        <v>431</v>
      </c>
      <c r="K46" s="18" t="n">
        <v>1.68131217</v>
      </c>
      <c r="L46" s="20" t="n">
        <v>0.57636787</v>
      </c>
      <c r="M46" s="18" t="n">
        <v>0.26442215</v>
      </c>
      <c r="N46" s="20" t="n">
        <v>0.16086827</v>
      </c>
      <c r="O46" s="18" t="n">
        <v>0</v>
      </c>
      <c r="P46" s="20" t="n">
        <v>0</v>
      </c>
      <c r="Q46" s="18" t="n">
        <v>15.47477563</v>
      </c>
      <c r="R46" s="20" t="n">
        <v>1.53255182</v>
      </c>
    </row>
    <row r="47" spans="1:18">
      <c r="A47" s="15" t="s">
        <v>471</v>
      </c>
      <c r="B47" s="17" t="n">
        <v>3105</v>
      </c>
      <c r="C47" s="18">
        <f>(2763.0/B47*100)</f>
        <v/>
      </c>
      <c r="D47" s="19" t="n">
        <v>342</v>
      </c>
      <c r="E47" s="18" t="n">
        <v>27.41716383</v>
      </c>
      <c r="F47" s="20" t="n">
        <v>2.70200735</v>
      </c>
      <c r="G47" s="18" t="n">
        <v>54.77518909</v>
      </c>
      <c r="H47" s="20" t="n">
        <v>2.82823446</v>
      </c>
      <c r="I47" s="18" t="s">
        <v>431</v>
      </c>
      <c r="J47" s="20" t="s">
        <v>431</v>
      </c>
      <c r="K47" s="18" t="n">
        <v>0.30596414</v>
      </c>
      <c r="L47" s="20" t="n">
        <v>0.30522978</v>
      </c>
      <c r="M47" s="18" t="n">
        <v>0</v>
      </c>
      <c r="N47" s="20" t="n">
        <v>0</v>
      </c>
      <c r="O47" s="18" t="n">
        <v>0</v>
      </c>
      <c r="P47" s="20" t="n">
        <v>0</v>
      </c>
      <c r="Q47" s="18" t="n">
        <v>17.50168294</v>
      </c>
      <c r="R47" s="20" t="n">
        <v>1.94729668</v>
      </c>
    </row>
    <row r="48" spans="1:18">
      <c r="A48" s="15" t="s">
        <v>472</v>
      </c>
      <c r="B48" s="17" t="n">
        <v>5159</v>
      </c>
      <c r="C48" s="18">
        <f>(4525.0/B48*100)</f>
        <v/>
      </c>
      <c r="D48" s="19" t="n">
        <v>634</v>
      </c>
      <c r="E48" s="18" t="n">
        <v>30.33932571</v>
      </c>
      <c r="F48" s="20" t="n">
        <v>2.42149464</v>
      </c>
      <c r="G48" s="18" t="n">
        <v>63.82831336</v>
      </c>
      <c r="H48" s="20" t="n">
        <v>2.52229065</v>
      </c>
      <c r="I48" s="18" t="s">
        <v>431</v>
      </c>
      <c r="J48" s="20" t="s">
        <v>431</v>
      </c>
      <c r="K48" s="18" t="n">
        <v>1.36669655</v>
      </c>
      <c r="L48" s="20" t="n">
        <v>0.83246818</v>
      </c>
      <c r="M48" s="18" t="n">
        <v>0</v>
      </c>
      <c r="N48" s="20" t="n">
        <v>0</v>
      </c>
      <c r="O48" s="18" t="n">
        <v>0</v>
      </c>
      <c r="P48" s="20" t="n">
        <v>0</v>
      </c>
      <c r="Q48" s="18" t="n">
        <v>4.46566438</v>
      </c>
      <c r="R48" s="20" t="n">
        <v>0.99509496</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(4984.0/B50*100)</f>
        <v/>
      </c>
      <c r="D50" s="19" t="n">
        <v>653</v>
      </c>
      <c r="E50" s="18" t="n">
        <v>32.56214575</v>
      </c>
      <c r="F50" s="20" t="n">
        <v>2.65583919</v>
      </c>
      <c r="G50" s="18" t="n">
        <v>57.29804358</v>
      </c>
      <c r="H50" s="20" t="n">
        <v>2.46587696</v>
      </c>
      <c r="I50" s="18" t="s">
        <v>431</v>
      </c>
      <c r="J50" s="20" t="s">
        <v>431</v>
      </c>
      <c r="K50" s="18" t="n">
        <v>2.04588781</v>
      </c>
      <c r="L50" s="20" t="n">
        <v>0.79573701</v>
      </c>
      <c r="M50" s="18" t="n">
        <v>0.05000482</v>
      </c>
      <c r="N50" s="20" t="n">
        <v>0.05075573</v>
      </c>
      <c r="O50" s="18" t="n">
        <v>0</v>
      </c>
      <c r="P50" s="20" t="n">
        <v>0</v>
      </c>
      <c r="Q50" s="18" t="n">
        <v>8.04391805</v>
      </c>
      <c r="R50" s="20" t="n">
        <v>1.68638397</v>
      </c>
    </row>
    <row r="51" spans="1:18">
      <c r="A51" s="15" t="s">
        <v>475</v>
      </c>
      <c r="B51" s="17" t="n">
        <v>3372</v>
      </c>
      <c r="C51" s="18">
        <f>(3035.0/B51*100)</f>
        <v/>
      </c>
      <c r="D51" s="19" t="n">
        <v>337</v>
      </c>
      <c r="E51" s="18" t="n">
        <v>37.97161779</v>
      </c>
      <c r="F51" s="20" t="n">
        <v>2.66100257</v>
      </c>
      <c r="G51" s="18" t="n">
        <v>55.98907954</v>
      </c>
      <c r="H51" s="20" t="n">
        <v>2.69211878</v>
      </c>
      <c r="I51" s="18" t="s">
        <v>431</v>
      </c>
      <c r="J51" s="20" t="s">
        <v>431</v>
      </c>
      <c r="K51" s="18" t="n">
        <v>0.90800417</v>
      </c>
      <c r="L51" s="20" t="n">
        <v>0.60677289</v>
      </c>
      <c r="M51" s="18" t="n">
        <v>0</v>
      </c>
      <c r="N51" s="20" t="n">
        <v>0</v>
      </c>
      <c r="O51" s="18" t="n">
        <v>0</v>
      </c>
      <c r="P51" s="20" t="n">
        <v>0</v>
      </c>
      <c r="Q51" s="18" t="n">
        <v>5.1312985</v>
      </c>
      <c r="R51" s="20" t="n">
        <v>1.4284983</v>
      </c>
    </row>
    <row r="52" spans="1:18">
      <c r="A52" s="15" t="s">
        <v>476</v>
      </c>
      <c r="B52" s="17" t="n">
        <v>2796</v>
      </c>
      <c r="C52" s="18">
        <f>(2451.0/B52*100)</f>
        <v/>
      </c>
      <c r="D52" s="19" t="n">
        <v>345</v>
      </c>
      <c r="E52" s="18" t="n">
        <v>24.71834239</v>
      </c>
      <c r="F52" s="20" t="n">
        <v>2.40609244</v>
      </c>
      <c r="G52" s="18" t="n">
        <v>66.58456461999999</v>
      </c>
      <c r="H52" s="20" t="n">
        <v>2.49669417</v>
      </c>
      <c r="I52" s="18" t="s">
        <v>431</v>
      </c>
      <c r="J52" s="20" t="s">
        <v>431</v>
      </c>
      <c r="K52" s="18" t="n">
        <v>0.26573901</v>
      </c>
      <c r="L52" s="20" t="n">
        <v>0.26516424</v>
      </c>
      <c r="M52" s="18" t="n">
        <v>0</v>
      </c>
      <c r="N52" s="20" t="n">
        <v>0</v>
      </c>
      <c r="O52" s="18" t="n">
        <v>0</v>
      </c>
      <c r="P52" s="20" t="n">
        <v>0</v>
      </c>
      <c r="Q52" s="18" t="n">
        <v>8.431353980000001</v>
      </c>
      <c r="R52" s="20" t="n">
        <v>1.40068236</v>
      </c>
    </row>
    <row r="53" spans="1:18">
      <c r="A53" s="15" t="s">
        <v>477</v>
      </c>
      <c r="B53" s="17" t="n">
        <v>2811</v>
      </c>
      <c r="C53" s="18">
        <f>(2473.0/B53*100)</f>
        <v/>
      </c>
      <c r="D53" s="19" t="n">
        <v>338</v>
      </c>
      <c r="E53" s="18" t="n">
        <v>43.52930379</v>
      </c>
      <c r="F53" s="20" t="n">
        <v>2.96135917</v>
      </c>
      <c r="G53" s="18" t="n">
        <v>36.53635516</v>
      </c>
      <c r="H53" s="20" t="n">
        <v>2.77823683</v>
      </c>
      <c r="I53" s="18" t="s">
        <v>431</v>
      </c>
      <c r="J53" s="20" t="s">
        <v>431</v>
      </c>
      <c r="K53" s="18" t="n">
        <v>0.67469164</v>
      </c>
      <c r="L53" s="20" t="n">
        <v>0.50377814</v>
      </c>
      <c r="M53" s="18" t="n">
        <v>0</v>
      </c>
      <c r="N53" s="20" t="n">
        <v>0</v>
      </c>
      <c r="O53" s="18" t="n">
        <v>0</v>
      </c>
      <c r="P53" s="20" t="n">
        <v>0</v>
      </c>
      <c r="Q53" s="18" t="n">
        <v>19.25964941</v>
      </c>
      <c r="R53" s="20" t="n">
        <v>2.35649828</v>
      </c>
    </row>
    <row r="54" spans="1:18">
      <c r="A54" s="15" t="s">
        <v>478</v>
      </c>
      <c r="B54" s="17" t="n">
        <v>2266</v>
      </c>
      <c r="C54" s="18">
        <f>(1904.0/B54*100)</f>
        <v/>
      </c>
      <c r="D54" s="19" t="n">
        <v>362</v>
      </c>
      <c r="E54" s="18" t="n">
        <v>45.85944501</v>
      </c>
      <c r="F54" s="20" t="n">
        <v>2.77398796</v>
      </c>
      <c r="G54" s="18" t="n">
        <v>24.42835725</v>
      </c>
      <c r="H54" s="20" t="n">
        <v>2.52540162</v>
      </c>
      <c r="I54" s="18" t="s">
        <v>431</v>
      </c>
      <c r="J54" s="20" t="s">
        <v>431</v>
      </c>
      <c r="K54" s="18" t="n">
        <v>12.9302689</v>
      </c>
      <c r="L54" s="20" t="n">
        <v>1.9932676</v>
      </c>
      <c r="M54" s="18" t="n">
        <v>0.54803945</v>
      </c>
      <c r="N54" s="20" t="n">
        <v>0.42506858</v>
      </c>
      <c r="O54" s="18" t="n">
        <v>0</v>
      </c>
      <c r="P54" s="20" t="n">
        <v>0</v>
      </c>
      <c r="Q54" s="18" t="n">
        <v>16.23388939</v>
      </c>
      <c r="R54" s="20" t="n">
        <v>1.97303866</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(2344.0/B56*100)</f>
        <v/>
      </c>
      <c r="D56" s="19" t="n">
        <v>340</v>
      </c>
      <c r="E56" s="18" t="n">
        <v>15.53428434</v>
      </c>
      <c r="F56" s="20" t="n">
        <v>2.37528714</v>
      </c>
      <c r="G56" s="18" t="n">
        <v>82.77990294</v>
      </c>
      <c r="H56" s="20" t="n">
        <v>2.56469596</v>
      </c>
      <c r="I56" s="18" t="s">
        <v>431</v>
      </c>
      <c r="J56" s="20" t="s">
        <v>431</v>
      </c>
      <c r="K56" s="18" t="n">
        <v>0.51051879</v>
      </c>
      <c r="L56" s="20" t="n">
        <v>0.362592</v>
      </c>
      <c r="M56" s="18" t="n">
        <v>0</v>
      </c>
      <c r="N56" s="20" t="n">
        <v>0</v>
      </c>
      <c r="O56" s="18" t="n">
        <v>0</v>
      </c>
      <c r="P56" s="20" t="n">
        <v>0</v>
      </c>
      <c r="Q56" s="18" t="n">
        <v>1.17529393</v>
      </c>
      <c r="R56" s="20" t="n">
        <v>0.58321441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(2944.0/B61*100)</f>
        <v/>
      </c>
      <c r="D61" s="19" t="n">
        <v>380</v>
      </c>
      <c r="E61" s="18" t="n">
        <v>30.16455366</v>
      </c>
      <c r="F61" s="20" t="n">
        <v>2.51017337</v>
      </c>
      <c r="G61" s="18" t="n">
        <v>58.50349846</v>
      </c>
      <c r="H61" s="20" t="n">
        <v>2.33039917</v>
      </c>
      <c r="I61" s="18" t="s">
        <v>431</v>
      </c>
      <c r="J61" s="20" t="s">
        <v>431</v>
      </c>
      <c r="K61" s="18" t="n">
        <v>0.39126414</v>
      </c>
      <c r="L61" s="20" t="n">
        <v>0.34662687</v>
      </c>
      <c r="M61" s="18" t="n">
        <v>0</v>
      </c>
      <c r="N61" s="20" t="n">
        <v>0</v>
      </c>
      <c r="O61" s="18" t="n">
        <v>0</v>
      </c>
      <c r="P61" s="20" t="n">
        <v>0</v>
      </c>
      <c r="Q61" s="18" t="n">
        <v>10.94068374</v>
      </c>
      <c r="R61" s="20" t="n">
        <v>1.60533266</v>
      </c>
    </row>
    <row r="62" spans="1:18">
      <c r="A62" s="15" t="s">
        <v>486</v>
      </c>
      <c r="B62" s="17" t="n">
        <v>2246</v>
      </c>
      <c r="C62" s="18">
        <f>(1960.0/B62*100)</f>
        <v/>
      </c>
      <c r="D62" s="19" t="n">
        <v>286</v>
      </c>
      <c r="E62" s="18" t="n">
        <v>24.82041524</v>
      </c>
      <c r="F62" s="20" t="n">
        <v>2.5464433</v>
      </c>
      <c r="G62" s="18" t="n">
        <v>73.42228573</v>
      </c>
      <c r="H62" s="20" t="n">
        <v>2.69552845</v>
      </c>
      <c r="I62" s="18" t="s">
        <v>431</v>
      </c>
      <c r="J62" s="20" t="s">
        <v>431</v>
      </c>
      <c r="K62" s="18" t="n">
        <v>0.35938839</v>
      </c>
      <c r="L62" s="20" t="n">
        <v>0.3571246</v>
      </c>
      <c r="M62" s="18" t="n">
        <v>0</v>
      </c>
      <c r="N62" s="20" t="n">
        <v>0</v>
      </c>
      <c r="O62" s="18" t="n">
        <v>0</v>
      </c>
      <c r="P62" s="20" t="n">
        <v>0</v>
      </c>
      <c r="Q62" s="18" t="n">
        <v>1.39791064</v>
      </c>
      <c r="R62" s="20" t="n">
        <v>0.6851088400000001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(2548.0/B66*100)</f>
        <v/>
      </c>
      <c r="D66" s="19" t="n">
        <v>346</v>
      </c>
      <c r="E66" s="18" t="n">
        <v>26.43247542</v>
      </c>
      <c r="F66" s="20" t="n">
        <v>2.38149568</v>
      </c>
      <c r="G66" s="18" t="n">
        <v>47.30356967</v>
      </c>
      <c r="H66" s="20" t="n">
        <v>2.6163946</v>
      </c>
      <c r="I66" s="18" t="s">
        <v>431</v>
      </c>
      <c r="J66" s="20" t="s">
        <v>431</v>
      </c>
      <c r="K66" s="18" t="n">
        <v>2.81678753</v>
      </c>
      <c r="L66" s="20" t="n">
        <v>1.00648658</v>
      </c>
      <c r="M66" s="18" t="n">
        <v>0.75465657</v>
      </c>
      <c r="N66" s="20" t="n">
        <v>0.55505754</v>
      </c>
      <c r="O66" s="18" t="n">
        <v>0</v>
      </c>
      <c r="P66" s="20" t="n">
        <v>0</v>
      </c>
      <c r="Q66" s="18" t="n">
        <v>22.6925108</v>
      </c>
      <c r="R66" s="20" t="n">
        <v>2.23446002</v>
      </c>
    </row>
    <row r="67" spans="1:18">
      <c r="A67" s="15" t="s">
        <v>491</v>
      </c>
      <c r="B67" s="17" t="n">
        <v>3511</v>
      </c>
      <c r="C67" s="18">
        <f>(3137.0/B67*100)</f>
        <v/>
      </c>
      <c r="D67" s="19" t="n">
        <v>374</v>
      </c>
      <c r="E67" s="18" t="n">
        <v>41.86320876</v>
      </c>
      <c r="F67" s="20" t="n">
        <v>2.56035383</v>
      </c>
      <c r="G67" s="18" t="n">
        <v>50.59152121</v>
      </c>
      <c r="H67" s="20" t="n">
        <v>2.51994212</v>
      </c>
      <c r="I67" s="18" t="s">
        <v>431</v>
      </c>
      <c r="J67" s="20" t="s">
        <v>431</v>
      </c>
      <c r="K67" s="18" t="n">
        <v>0.42310537</v>
      </c>
      <c r="L67" s="20" t="n">
        <v>0.29753075</v>
      </c>
      <c r="M67" s="18" t="n">
        <v>0</v>
      </c>
      <c r="N67" s="20" t="n">
        <v>0</v>
      </c>
      <c r="O67" s="18" t="n">
        <v>0</v>
      </c>
      <c r="P67" s="20" t="n">
        <v>0</v>
      </c>
      <c r="Q67" s="18" t="n">
        <v>7.12216466</v>
      </c>
      <c r="R67" s="20" t="n">
        <v>1.45932163</v>
      </c>
    </row>
    <row r="68" spans="1:18">
      <c r="A68" s="15" t="s">
        <v>492</v>
      </c>
      <c r="B68" s="17" t="n">
        <v>6049</v>
      </c>
      <c r="C68" s="18">
        <f>(5036.0/B68*100)</f>
        <v/>
      </c>
      <c r="D68" s="19" t="n">
        <v>1013</v>
      </c>
      <c r="E68" s="18" t="n">
        <v>39.28861396</v>
      </c>
      <c r="F68" s="20" t="n">
        <v>1.51382498</v>
      </c>
      <c r="G68" s="18" t="n">
        <v>39.50556095</v>
      </c>
      <c r="H68" s="20" t="n">
        <v>1.4341586</v>
      </c>
      <c r="I68" s="18" t="s">
        <v>431</v>
      </c>
      <c r="J68" s="20" t="s">
        <v>431</v>
      </c>
      <c r="K68" s="18" t="n">
        <v>4.6277842</v>
      </c>
      <c r="L68" s="20" t="n">
        <v>0.7131164</v>
      </c>
      <c r="M68" s="18" t="n">
        <v>0.09502059</v>
      </c>
      <c r="N68" s="20" t="n">
        <v>0.09528637</v>
      </c>
      <c r="O68" s="18" t="n">
        <v>0</v>
      </c>
      <c r="P68" s="20" t="n">
        <v>0</v>
      </c>
      <c r="Q68" s="18" t="n">
        <v>16.4830203</v>
      </c>
      <c r="R68" s="20" t="n">
        <v>1.23436097</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(2579.0/B70*100)</f>
        <v/>
      </c>
      <c r="D70" s="19" t="n">
        <v>350</v>
      </c>
      <c r="E70" s="18" t="n">
        <v>19.83472075</v>
      </c>
      <c r="F70" s="20" t="n">
        <v>3.14072887</v>
      </c>
      <c r="G70" s="18" t="n">
        <v>73.87972173</v>
      </c>
      <c r="H70" s="20" t="n">
        <v>3.55794903</v>
      </c>
      <c r="I70" s="18" t="s">
        <v>431</v>
      </c>
      <c r="J70" s="20" t="s">
        <v>431</v>
      </c>
      <c r="K70" s="18" t="n">
        <v>0</v>
      </c>
      <c r="L70" s="20" t="n">
        <v>0</v>
      </c>
      <c r="M70" s="18" t="n">
        <v>0.19347491</v>
      </c>
      <c r="N70" s="20" t="n">
        <v>0.19475772</v>
      </c>
      <c r="O70" s="18" t="n">
        <v>0</v>
      </c>
      <c r="P70" s="20" t="n">
        <v>0</v>
      </c>
      <c r="Q70" s="18" t="n">
        <v>6.09208262</v>
      </c>
      <c r="R70" s="20" t="n">
        <v>1.94367294</v>
      </c>
    </row>
    <row r="71" spans="1:18">
      <c r="A71" s="15" t="s">
        <v>495</v>
      </c>
      <c r="B71" s="17" t="n">
        <v>3142</v>
      </c>
      <c r="C71" s="18">
        <f>(2753.0/B71*100)</f>
        <v/>
      </c>
      <c r="D71" s="19" t="n">
        <v>389</v>
      </c>
      <c r="E71" s="18" t="n">
        <v>22.035312</v>
      </c>
      <c r="F71" s="20" t="n">
        <v>2.0894691</v>
      </c>
      <c r="G71" s="18" t="n">
        <v>76.11942793999999</v>
      </c>
      <c r="H71" s="20" t="n">
        <v>2.16525568</v>
      </c>
      <c r="I71" s="18" t="s">
        <v>431</v>
      </c>
      <c r="J71" s="20" t="s">
        <v>431</v>
      </c>
      <c r="K71" s="18" t="n">
        <v>0.55437572</v>
      </c>
      <c r="L71" s="20" t="n">
        <v>0.4007702</v>
      </c>
      <c r="M71" s="18" t="n">
        <v>0</v>
      </c>
      <c r="N71" s="20" t="n">
        <v>0</v>
      </c>
      <c r="O71" s="18" t="n">
        <v>0</v>
      </c>
      <c r="P71" s="20" t="n">
        <v>0</v>
      </c>
      <c r="Q71" s="18" t="n">
        <v>1.29088433</v>
      </c>
      <c r="R71" s="20" t="n">
        <v>0.5423961899999999</v>
      </c>
    </row>
    <row r="72" spans="1:18">
      <c r="A72" s="15" t="s">
        <v>496</v>
      </c>
      <c r="B72" s="17" t="n">
        <v>3889</v>
      </c>
      <c r="C72" s="18">
        <f>(3408.0/B72*100)</f>
        <v/>
      </c>
      <c r="D72" s="19" t="n">
        <v>481</v>
      </c>
      <c r="E72" s="18" t="n">
        <v>23.35468414</v>
      </c>
      <c r="F72" s="20" t="n">
        <v>2.08041034</v>
      </c>
      <c r="G72" s="18" t="n">
        <v>71.49872569999999</v>
      </c>
      <c r="H72" s="20" t="n">
        <v>2.07755507</v>
      </c>
      <c r="I72" s="18" t="s">
        <v>431</v>
      </c>
      <c r="J72" s="20" t="s">
        <v>431</v>
      </c>
      <c r="K72" s="18" t="n">
        <v>0</v>
      </c>
      <c r="L72" s="20" t="n">
        <v>0</v>
      </c>
      <c r="M72" s="18" t="n">
        <v>0</v>
      </c>
      <c r="N72" s="20" t="n">
        <v>0</v>
      </c>
      <c r="O72" s="18" t="n">
        <v>0</v>
      </c>
      <c r="P72" s="20" t="n">
        <v>0</v>
      </c>
      <c r="Q72" s="18" t="n">
        <v>5.14659015</v>
      </c>
      <c r="R72" s="20" t="n">
        <v>0.87916703</v>
      </c>
    </row>
    <row r="73" spans="1:18">
      <c r="A73" s="15" t="s">
        <v>497</v>
      </c>
      <c r="B73" s="17" t="n">
        <v>3597</v>
      </c>
      <c r="C73" s="18">
        <f>(3174.0/B73*100)</f>
        <v/>
      </c>
      <c r="D73" s="19" t="n">
        <v>423</v>
      </c>
      <c r="E73" s="18" t="n">
        <v>54.40514464</v>
      </c>
      <c r="F73" s="20" t="n">
        <v>2.98305741</v>
      </c>
      <c r="G73" s="18" t="n">
        <v>44.20110285</v>
      </c>
      <c r="H73" s="20" t="n">
        <v>2.94054004</v>
      </c>
      <c r="I73" s="18" t="s">
        <v>431</v>
      </c>
      <c r="J73" s="20" t="s">
        <v>431</v>
      </c>
      <c r="K73" s="18" t="n">
        <v>0.34339748</v>
      </c>
      <c r="L73" s="20" t="n">
        <v>0.34226092</v>
      </c>
      <c r="M73" s="18" t="n">
        <v>0.0121829</v>
      </c>
      <c r="N73" s="20" t="n">
        <v>0.01233036</v>
      </c>
      <c r="O73" s="18" t="n">
        <v>0</v>
      </c>
      <c r="P73" s="20" t="n">
        <v>0</v>
      </c>
      <c r="Q73" s="18" t="n">
        <v>1.03817214</v>
      </c>
      <c r="R73" s="20" t="n">
        <v>0.57567461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(2136.0/B75*100)</f>
        <v/>
      </c>
      <c r="D75" s="19" t="n">
        <v>270</v>
      </c>
      <c r="E75" s="18" t="n">
        <v>40.64881379</v>
      </c>
      <c r="F75" s="20" t="n">
        <v>3.04568499</v>
      </c>
      <c r="G75" s="18" t="n">
        <v>30.52435567</v>
      </c>
      <c r="H75" s="20" t="n">
        <v>2.86053238</v>
      </c>
      <c r="I75" s="18" t="s">
        <v>431</v>
      </c>
      <c r="J75" s="20" t="s">
        <v>431</v>
      </c>
      <c r="K75" s="18" t="n">
        <v>2.9010749</v>
      </c>
      <c r="L75" s="20" t="n">
        <v>1.10802748</v>
      </c>
      <c r="M75" s="18" t="n">
        <v>0</v>
      </c>
      <c r="N75" s="20" t="n">
        <v>0</v>
      </c>
      <c r="O75" s="18" t="n">
        <v>0</v>
      </c>
      <c r="P75" s="20" t="n">
        <v>0</v>
      </c>
      <c r="Q75" s="18" t="n">
        <v>25.92575564</v>
      </c>
      <c r="R75" s="20" t="n">
        <v>2.77279911</v>
      </c>
    </row>
    <row r="76" spans="1:18">
      <c r="A76" s="15" t="s">
        <v>500</v>
      </c>
      <c r="B76" s="17" t="n">
        <v>7052</v>
      </c>
      <c r="C76" s="18">
        <f>(6197.0/B76*100)</f>
        <v/>
      </c>
      <c r="D76" s="19" t="n">
        <v>855</v>
      </c>
      <c r="E76" s="18" t="n">
        <v>45.9594047</v>
      </c>
      <c r="F76" s="20" t="n">
        <v>2.27890025</v>
      </c>
      <c r="G76" s="18" t="n">
        <v>43.7162897</v>
      </c>
      <c r="H76" s="20" t="n">
        <v>2.46342198</v>
      </c>
      <c r="I76" s="18" t="s">
        <v>431</v>
      </c>
      <c r="J76" s="20" t="s">
        <v>431</v>
      </c>
      <c r="K76" s="18" t="n">
        <v>1.33452458</v>
      </c>
      <c r="L76" s="20" t="n">
        <v>0.44536351</v>
      </c>
      <c r="M76" s="18" t="n">
        <v>0.06121133</v>
      </c>
      <c r="N76" s="20" t="n">
        <v>0.06170235</v>
      </c>
      <c r="O76" s="18" t="n">
        <v>0</v>
      </c>
      <c r="P76" s="20" t="n">
        <v>0</v>
      </c>
      <c r="Q76" s="18" t="n">
        <v>8.928569680000001</v>
      </c>
      <c r="R76" s="20" t="n">
        <v>1.08170918</v>
      </c>
    </row>
    <row r="77" spans="1:18">
      <c r="A77" s="15" t="s">
        <v>501</v>
      </c>
      <c r="B77" s="17" t="n">
        <v>2908</v>
      </c>
      <c r="C77" s="18">
        <f>(2548.0/B77*100)</f>
        <v/>
      </c>
      <c r="D77" s="19" t="n">
        <v>360</v>
      </c>
      <c r="E77" s="18" t="n">
        <v>27.85037185</v>
      </c>
      <c r="F77" s="20" t="n">
        <v>2.82981186</v>
      </c>
      <c r="G77" s="18" t="n">
        <v>53.14730691</v>
      </c>
      <c r="H77" s="20" t="n">
        <v>2.66266802</v>
      </c>
      <c r="I77" s="18" t="s">
        <v>431</v>
      </c>
      <c r="J77" s="20" t="s">
        <v>431</v>
      </c>
      <c r="K77" s="18" t="n">
        <v>2.82802718</v>
      </c>
      <c r="L77" s="20" t="n">
        <v>0.85916786</v>
      </c>
      <c r="M77" s="18" t="n">
        <v>0.16233847</v>
      </c>
      <c r="N77" s="20" t="n">
        <v>0.17592781</v>
      </c>
      <c r="O77" s="18" t="n">
        <v>0</v>
      </c>
      <c r="P77" s="20" t="n">
        <v>0</v>
      </c>
      <c r="Q77" s="18" t="n">
        <v>16.0119556</v>
      </c>
      <c r="R77" s="20" t="n">
        <v>2.35705349</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(3646.0/B81*100)</f>
        <v/>
      </c>
      <c r="D81" s="19" t="n">
        <v>517</v>
      </c>
      <c r="E81" s="18" t="n">
        <v>47.48836941</v>
      </c>
      <c r="F81" s="20" t="n">
        <v>2.96824387</v>
      </c>
      <c r="G81" s="18" t="n">
        <v>50.36388497</v>
      </c>
      <c r="H81" s="20" t="n">
        <v>2.97030926</v>
      </c>
      <c r="I81" s="18" t="s">
        <v>431</v>
      </c>
      <c r="J81" s="20" t="s">
        <v>431</v>
      </c>
      <c r="K81" s="18" t="n">
        <v>0.011348</v>
      </c>
      <c r="L81" s="20" t="n">
        <v>0.01129993</v>
      </c>
      <c r="M81" s="18" t="n">
        <v>0</v>
      </c>
      <c r="N81" s="20" t="n">
        <v>0</v>
      </c>
      <c r="O81" s="18" t="n">
        <v>0</v>
      </c>
      <c r="P81" s="20" t="n">
        <v>0</v>
      </c>
      <c r="Q81" s="18" t="n">
        <v>2.13639763</v>
      </c>
      <c r="R81" s="20" t="n">
        <v>0.79163655</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(6485.0/B7*100)</f>
        <v/>
      </c>
      <c r="D7" s="19" t="n">
        <v>882</v>
      </c>
      <c r="E7" s="18" t="n">
        <v>56.53699387</v>
      </c>
      <c r="F7" s="20" t="n">
        <v>1.92030526</v>
      </c>
      <c r="G7" s="18" t="n">
        <v>31.96656357</v>
      </c>
      <c r="H7" s="20" t="n">
        <v>1.83828876</v>
      </c>
      <c r="I7" s="18" t="s">
        <v>431</v>
      </c>
      <c r="J7" s="20" t="s">
        <v>431</v>
      </c>
      <c r="K7" s="18" t="n">
        <v>0.8261008399999999</v>
      </c>
      <c r="L7" s="20" t="n">
        <v>0.40106668</v>
      </c>
      <c r="M7" s="18" t="n">
        <v>0.09050474</v>
      </c>
      <c r="N7" s="20" t="n">
        <v>0.05653393</v>
      </c>
      <c r="O7" s="18" t="n">
        <v>0</v>
      </c>
      <c r="P7" s="20" t="n">
        <v>0</v>
      </c>
      <c r="Q7" s="18" t="n">
        <v>10.57983698</v>
      </c>
      <c r="R7" s="20" t="n">
        <v>1.07043101</v>
      </c>
    </row>
    <row r="8" spans="1:18">
      <c r="A8" s="15" t="s">
        <v>432</v>
      </c>
      <c r="B8" s="17" t="n">
        <v>3564</v>
      </c>
      <c r="C8" s="18">
        <f>(3117.0/B8*100)</f>
        <v/>
      </c>
      <c r="D8" s="19" t="n">
        <v>447</v>
      </c>
      <c r="E8" s="18" t="n">
        <v>59.74137949</v>
      </c>
      <c r="F8" s="20" t="n">
        <v>2.45300381</v>
      </c>
      <c r="G8" s="18" t="n">
        <v>21.07360768</v>
      </c>
      <c r="H8" s="20" t="n">
        <v>2.17336309</v>
      </c>
      <c r="I8" s="18" t="s">
        <v>431</v>
      </c>
      <c r="J8" s="20" t="s">
        <v>431</v>
      </c>
      <c r="K8" s="18" t="n">
        <v>0.67314964</v>
      </c>
      <c r="L8" s="20" t="n">
        <v>0.39240459</v>
      </c>
      <c r="M8" s="18" t="n">
        <v>0</v>
      </c>
      <c r="N8" s="20" t="n">
        <v>0</v>
      </c>
      <c r="O8" s="18" t="n">
        <v>0</v>
      </c>
      <c r="P8" s="20" t="n">
        <v>0</v>
      </c>
      <c r="Q8" s="18" t="n">
        <v>18.51186319</v>
      </c>
      <c r="R8" s="20" t="n">
        <v>1.71683498</v>
      </c>
    </row>
    <row r="9" spans="1:18">
      <c r="A9" s="15" t="s">
        <v>433</v>
      </c>
      <c r="B9" s="17" t="n">
        <v>4899</v>
      </c>
      <c r="C9" s="18">
        <f>(4326.0/B9*100)</f>
        <v/>
      </c>
      <c r="D9" s="19" t="n">
        <v>573</v>
      </c>
      <c r="E9" s="18" t="n">
        <v>50.22400376</v>
      </c>
      <c r="F9" s="20" t="n">
        <v>1.88570146</v>
      </c>
      <c r="G9" s="18" t="n">
        <v>32.7220891</v>
      </c>
      <c r="H9" s="20" t="n">
        <v>2.17064323</v>
      </c>
      <c r="I9" s="18" t="s">
        <v>431</v>
      </c>
      <c r="J9" s="20" t="s">
        <v>431</v>
      </c>
      <c r="K9" s="18" t="n">
        <v>1.7384647</v>
      </c>
      <c r="L9" s="20" t="n">
        <v>0.58427738</v>
      </c>
      <c r="M9" s="18" t="n">
        <v>0.15275767</v>
      </c>
      <c r="N9" s="20" t="n">
        <v>0.15776435</v>
      </c>
      <c r="O9" s="18" t="n">
        <v>0</v>
      </c>
      <c r="P9" s="20" t="n">
        <v>0</v>
      </c>
      <c r="Q9" s="18" t="n">
        <v>15.16268478</v>
      </c>
      <c r="R9" s="20" t="n">
        <v>1.74969909</v>
      </c>
    </row>
    <row r="10" spans="1:18">
      <c r="A10" s="15" t="s">
        <v>434</v>
      </c>
      <c r="B10" s="17" t="n">
        <v>10036</v>
      </c>
      <c r="C10" s="18">
        <f>(8756.0/B10*100)</f>
        <v/>
      </c>
      <c r="D10" s="19" t="n">
        <v>1280</v>
      </c>
      <c r="E10" s="18" t="n">
        <v>61.52380254</v>
      </c>
      <c r="F10" s="20" t="n">
        <v>1.8776208</v>
      </c>
      <c r="G10" s="18" t="n">
        <v>31.17217192</v>
      </c>
      <c r="H10" s="20" t="n">
        <v>1.74574274</v>
      </c>
      <c r="I10" s="18" t="s">
        <v>431</v>
      </c>
      <c r="J10" s="20" t="s">
        <v>431</v>
      </c>
      <c r="K10" s="18" t="n">
        <v>0.41714882</v>
      </c>
      <c r="L10" s="20" t="n">
        <v>0.23064652</v>
      </c>
      <c r="M10" s="18" t="n">
        <v>0.08393874</v>
      </c>
      <c r="N10" s="20" t="n">
        <v>0.08421720000000001</v>
      </c>
      <c r="O10" s="18" t="n">
        <v>0</v>
      </c>
      <c r="P10" s="20" t="n">
        <v>0</v>
      </c>
      <c r="Q10" s="18" t="n">
        <v>6.80293798</v>
      </c>
      <c r="R10" s="20" t="n">
        <v>1.13733803</v>
      </c>
    </row>
    <row r="11" spans="1:18">
      <c r="A11" s="15" t="s">
        <v>435</v>
      </c>
      <c r="B11" s="17" t="n">
        <v>3553</v>
      </c>
      <c r="C11" s="18">
        <f>(3159.0/B11*100)</f>
        <v/>
      </c>
      <c r="D11" s="19" t="n">
        <v>394</v>
      </c>
      <c r="E11" s="18" t="n">
        <v>69.62118758</v>
      </c>
      <c r="F11" s="20" t="n">
        <v>2.97325863</v>
      </c>
      <c r="G11" s="18" t="n">
        <v>14.04830203</v>
      </c>
      <c r="H11" s="20" t="n">
        <v>1.78339329</v>
      </c>
      <c r="I11" s="18" t="s">
        <v>431</v>
      </c>
      <c r="J11" s="20" t="s">
        <v>431</v>
      </c>
      <c r="K11" s="18" t="n">
        <v>1.95460622</v>
      </c>
      <c r="L11" s="20" t="n">
        <v>0.95950149</v>
      </c>
      <c r="M11" s="18" t="n">
        <v>0</v>
      </c>
      <c r="N11" s="20" t="n">
        <v>0</v>
      </c>
      <c r="O11" s="18" t="n">
        <v>0</v>
      </c>
      <c r="P11" s="20" t="n">
        <v>0</v>
      </c>
      <c r="Q11" s="18" t="n">
        <v>14.37590417</v>
      </c>
      <c r="R11" s="20" t="n">
        <v>2.32202598</v>
      </c>
    </row>
    <row r="12" spans="1:18">
      <c r="A12" s="15" t="s">
        <v>436</v>
      </c>
      <c r="B12" s="17" t="n">
        <v>3472</v>
      </c>
      <c r="C12" s="18">
        <f>(3043.0/B12*100)</f>
        <v/>
      </c>
      <c r="D12" s="19" t="n">
        <v>429</v>
      </c>
      <c r="E12" s="18" t="n">
        <v>54.8666266</v>
      </c>
      <c r="F12" s="20" t="n">
        <v>3.3674516</v>
      </c>
      <c r="G12" s="18" t="n">
        <v>25.53096693</v>
      </c>
      <c r="H12" s="20" t="n">
        <v>2.67636416</v>
      </c>
      <c r="I12" s="18" t="s">
        <v>431</v>
      </c>
      <c r="J12" s="20" t="s">
        <v>431</v>
      </c>
      <c r="K12" s="18" t="n">
        <v>0.3302163</v>
      </c>
      <c r="L12" s="20" t="n">
        <v>0.2423983</v>
      </c>
      <c r="M12" s="18" t="n">
        <v>0.1704918</v>
      </c>
      <c r="N12" s="20" t="n">
        <v>0.17004124</v>
      </c>
      <c r="O12" s="18" t="n">
        <v>0</v>
      </c>
      <c r="P12" s="20" t="n">
        <v>0</v>
      </c>
      <c r="Q12" s="18" t="n">
        <v>19.10169836</v>
      </c>
      <c r="R12" s="20" t="n">
        <v>2.31696571</v>
      </c>
    </row>
    <row r="13" spans="1:18">
      <c r="A13" s="15" t="s">
        <v>437</v>
      </c>
      <c r="B13" s="17" t="n">
        <v>3559</v>
      </c>
      <c r="C13" s="18">
        <f>(3129.0/B13*100)</f>
        <v/>
      </c>
      <c r="D13" s="19" t="n">
        <v>430</v>
      </c>
      <c r="E13" s="18" t="n">
        <v>69.978453</v>
      </c>
      <c r="F13" s="20" t="n">
        <v>2.62024517</v>
      </c>
      <c r="G13" s="18" t="n">
        <v>21.11787178</v>
      </c>
      <c r="H13" s="20" t="n">
        <v>2.11633106</v>
      </c>
      <c r="I13" s="18" t="s">
        <v>431</v>
      </c>
      <c r="J13" s="20" t="s">
        <v>431</v>
      </c>
      <c r="K13" s="18" t="n">
        <v>0.77192352</v>
      </c>
      <c r="L13" s="20" t="n">
        <v>0.39932811</v>
      </c>
      <c r="M13" s="18" t="n">
        <v>0</v>
      </c>
      <c r="N13" s="20" t="n">
        <v>0</v>
      </c>
      <c r="O13" s="18" t="n">
        <v>0</v>
      </c>
      <c r="P13" s="20" t="n">
        <v>0</v>
      </c>
      <c r="Q13" s="18" t="n">
        <v>8.131751700000001</v>
      </c>
      <c r="R13" s="20" t="n">
        <v>1.40884842</v>
      </c>
    </row>
    <row r="14" spans="1:18">
      <c r="A14" s="15" t="s">
        <v>438</v>
      </c>
      <c r="B14" s="17" t="n">
        <v>2799</v>
      </c>
      <c r="C14" s="18">
        <f>(2469.0/B14*100)</f>
        <v/>
      </c>
      <c r="D14" s="19" t="n">
        <v>330</v>
      </c>
      <c r="E14" s="18" t="n">
        <v>66.69613305</v>
      </c>
      <c r="F14" s="20" t="n">
        <v>3.03567522</v>
      </c>
      <c r="G14" s="18" t="n">
        <v>24.90524459</v>
      </c>
      <c r="H14" s="20" t="n">
        <v>2.76334416</v>
      </c>
      <c r="I14" s="18" t="s">
        <v>431</v>
      </c>
      <c r="J14" s="20" t="s">
        <v>431</v>
      </c>
      <c r="K14" s="18" t="n">
        <v>0.58314656</v>
      </c>
      <c r="L14" s="20" t="n">
        <v>0.40953465</v>
      </c>
      <c r="M14" s="18" t="n">
        <v>0</v>
      </c>
      <c r="N14" s="20" t="n">
        <v>0</v>
      </c>
      <c r="O14" s="18" t="n">
        <v>0</v>
      </c>
      <c r="P14" s="20" t="n">
        <v>0</v>
      </c>
      <c r="Q14" s="18" t="n">
        <v>7.8154758</v>
      </c>
      <c r="R14" s="20" t="n">
        <v>1.84590312</v>
      </c>
    </row>
    <row r="15" spans="1:18">
      <c r="A15" s="15" t="s">
        <v>439</v>
      </c>
      <c r="B15" s="17" t="n">
        <v>3019</v>
      </c>
      <c r="C15" s="18">
        <f>(2637.0/B15*100)</f>
        <v/>
      </c>
      <c r="D15" s="19" t="n">
        <v>382</v>
      </c>
      <c r="E15" s="18" t="n">
        <v>59.6089813</v>
      </c>
      <c r="F15" s="20" t="n">
        <v>2.33131633</v>
      </c>
      <c r="G15" s="18" t="n">
        <v>28.03285557</v>
      </c>
      <c r="H15" s="20" t="n">
        <v>2.23246918</v>
      </c>
      <c r="I15" s="18" t="s">
        <v>431</v>
      </c>
      <c r="J15" s="20" t="s">
        <v>431</v>
      </c>
      <c r="K15" s="18" t="n">
        <v>0.50562323</v>
      </c>
      <c r="L15" s="20" t="n">
        <v>0.35680476</v>
      </c>
      <c r="M15" s="18" t="n">
        <v>0</v>
      </c>
      <c r="N15" s="20" t="n">
        <v>0</v>
      </c>
      <c r="O15" s="18" t="n">
        <v>0</v>
      </c>
      <c r="P15" s="20" t="n">
        <v>0</v>
      </c>
      <c r="Q15" s="18" t="n">
        <v>11.85253991</v>
      </c>
      <c r="R15" s="20" t="n">
        <v>1.60634524</v>
      </c>
    </row>
    <row r="16" spans="1:18">
      <c r="A16" s="15" t="s">
        <v>440</v>
      </c>
      <c r="B16" s="17" t="n">
        <v>2997</v>
      </c>
      <c r="C16" s="18">
        <f>(2652.0/B16*100)</f>
        <v/>
      </c>
      <c r="D16" s="19" t="n">
        <v>345</v>
      </c>
      <c r="E16" s="18" t="n">
        <v>40.88697803</v>
      </c>
      <c r="F16" s="20" t="n">
        <v>2.71324033</v>
      </c>
      <c r="G16" s="18" t="n">
        <v>29.14182352</v>
      </c>
      <c r="H16" s="20" t="n">
        <v>2.20892849</v>
      </c>
      <c r="I16" s="18" t="s">
        <v>431</v>
      </c>
      <c r="J16" s="20" t="s">
        <v>431</v>
      </c>
      <c r="K16" s="18" t="n">
        <v>2.81027763</v>
      </c>
      <c r="L16" s="20" t="n">
        <v>0.79889436</v>
      </c>
      <c r="M16" s="18" t="n">
        <v>0</v>
      </c>
      <c r="N16" s="20" t="n">
        <v>0</v>
      </c>
      <c r="O16" s="18" t="n">
        <v>0</v>
      </c>
      <c r="P16" s="20" t="n">
        <v>0</v>
      </c>
      <c r="Q16" s="18" t="n">
        <v>27.16092083</v>
      </c>
      <c r="R16" s="20" t="n">
        <v>2.42915505</v>
      </c>
    </row>
    <row r="17" spans="1:18">
      <c r="A17" s="15" t="s">
        <v>441</v>
      </c>
      <c r="B17" s="17" t="n">
        <v>3307</v>
      </c>
      <c r="C17" s="18">
        <f>(2912.0/B17*100)</f>
        <v/>
      </c>
      <c r="D17" s="19" t="n">
        <v>395</v>
      </c>
      <c r="E17" s="18" t="n">
        <v>59.65349995</v>
      </c>
      <c r="F17" s="20" t="n">
        <v>2.46917858</v>
      </c>
      <c r="G17" s="18" t="n">
        <v>16.71538411</v>
      </c>
      <c r="H17" s="20" t="n">
        <v>1.64543607</v>
      </c>
      <c r="I17" s="18" t="s">
        <v>431</v>
      </c>
      <c r="J17" s="20" t="s">
        <v>431</v>
      </c>
      <c r="K17" s="18" t="n">
        <v>0.22620469</v>
      </c>
      <c r="L17" s="20" t="n">
        <v>0.22508113</v>
      </c>
      <c r="M17" s="18" t="n">
        <v>0</v>
      </c>
      <c r="N17" s="20" t="n">
        <v>0</v>
      </c>
      <c r="O17" s="18" t="n">
        <v>0</v>
      </c>
      <c r="P17" s="20" t="n">
        <v>0</v>
      </c>
      <c r="Q17" s="18" t="n">
        <v>23.40491126</v>
      </c>
      <c r="R17" s="20" t="n">
        <v>2.30744357</v>
      </c>
    </row>
    <row r="18" spans="1:18">
      <c r="A18" s="15" t="s">
        <v>442</v>
      </c>
      <c r="B18" s="17" t="n">
        <v>2826</v>
      </c>
      <c r="C18" s="18">
        <f>(2468.0/B18*100)</f>
        <v/>
      </c>
      <c r="D18" s="19" t="n">
        <v>358</v>
      </c>
      <c r="E18" s="18" t="n">
        <v>47.40602066</v>
      </c>
      <c r="F18" s="20" t="n">
        <v>3.69660789</v>
      </c>
      <c r="G18" s="18" t="n">
        <v>29.24272829</v>
      </c>
      <c r="H18" s="20" t="n">
        <v>3.14952573</v>
      </c>
      <c r="I18" s="18" t="s">
        <v>431</v>
      </c>
      <c r="J18" s="20" t="s">
        <v>431</v>
      </c>
      <c r="K18" s="18" t="n">
        <v>1.12095123</v>
      </c>
      <c r="L18" s="20" t="n">
        <v>0.68250237</v>
      </c>
      <c r="M18" s="18" t="n">
        <v>0</v>
      </c>
      <c r="N18" s="20" t="n">
        <v>0</v>
      </c>
      <c r="O18" s="18" t="n">
        <v>0</v>
      </c>
      <c r="P18" s="20" t="n">
        <v>0</v>
      </c>
      <c r="Q18" s="18" t="n">
        <v>22.23029982</v>
      </c>
      <c r="R18" s="20" t="n">
        <v>3.17595938</v>
      </c>
    </row>
    <row r="19" spans="1:18">
      <c r="A19" s="15" t="s">
        <v>443</v>
      </c>
      <c r="B19" s="17" t="n">
        <v>2808</v>
      </c>
      <c r="C19" s="18">
        <f>(2454.0/B19*100)</f>
        <v/>
      </c>
      <c r="D19" s="19" t="n">
        <v>354</v>
      </c>
      <c r="E19" s="18" t="n">
        <v>54.81332424</v>
      </c>
      <c r="F19" s="20" t="n">
        <v>3.36946863</v>
      </c>
      <c r="G19" s="18" t="n">
        <v>23.19538172</v>
      </c>
      <c r="H19" s="20" t="n">
        <v>2.24609017</v>
      </c>
      <c r="I19" s="18" t="s">
        <v>431</v>
      </c>
      <c r="J19" s="20" t="s">
        <v>431</v>
      </c>
      <c r="K19" s="18" t="n">
        <v>0.58172835</v>
      </c>
      <c r="L19" s="20" t="n">
        <v>0.63148647</v>
      </c>
      <c r="M19" s="18" t="n">
        <v>0.33661255</v>
      </c>
      <c r="N19" s="20" t="n">
        <v>0.35803711</v>
      </c>
      <c r="O19" s="18" t="n">
        <v>0</v>
      </c>
      <c r="P19" s="20" t="n">
        <v>0</v>
      </c>
      <c r="Q19" s="18" t="n">
        <v>21.07295314</v>
      </c>
      <c r="R19" s="20" t="n">
        <v>2.1976109</v>
      </c>
    </row>
    <row r="20" spans="1:18">
      <c r="A20" s="15" t="s">
        <v>444</v>
      </c>
      <c r="B20" s="17" t="n">
        <v>1630</v>
      </c>
      <c r="C20" s="18">
        <f>(1440.0/B20*100)</f>
        <v/>
      </c>
      <c r="D20" s="19" t="n">
        <v>190</v>
      </c>
      <c r="E20" s="18" t="n">
        <v>61.73410314</v>
      </c>
      <c r="F20" s="20" t="n">
        <v>3.70518472</v>
      </c>
      <c r="G20" s="18" t="n">
        <v>24.74698114</v>
      </c>
      <c r="H20" s="20" t="n">
        <v>3.07865909</v>
      </c>
      <c r="I20" s="18" t="s">
        <v>431</v>
      </c>
      <c r="J20" s="20" t="s">
        <v>431</v>
      </c>
      <c r="K20" s="18" t="n">
        <v>1.03534577</v>
      </c>
      <c r="L20" s="20" t="n">
        <v>0.71540978</v>
      </c>
      <c r="M20" s="18" t="n">
        <v>0</v>
      </c>
      <c r="N20" s="20" t="n">
        <v>0</v>
      </c>
      <c r="O20" s="18" t="n">
        <v>0</v>
      </c>
      <c r="P20" s="20" t="n">
        <v>0</v>
      </c>
      <c r="Q20" s="18" t="n">
        <v>12.48356995</v>
      </c>
      <c r="R20" s="20" t="n">
        <v>2.18897501</v>
      </c>
    </row>
    <row r="21" spans="1:18">
      <c r="A21" s="15" t="s">
        <v>445</v>
      </c>
      <c r="B21" s="17" t="n">
        <v>2908</v>
      </c>
      <c r="C21" s="18">
        <f>(2436.0/B21*100)</f>
        <v/>
      </c>
      <c r="D21" s="19" t="n">
        <v>472</v>
      </c>
      <c r="E21" s="18" t="n">
        <v>46.6072298</v>
      </c>
      <c r="F21" s="20" t="n">
        <v>1.98395525</v>
      </c>
      <c r="G21" s="18" t="n">
        <v>44.50540293</v>
      </c>
      <c r="H21" s="20" t="n">
        <v>2.11881447</v>
      </c>
      <c r="I21" s="18" t="s">
        <v>431</v>
      </c>
      <c r="J21" s="20" t="s">
        <v>431</v>
      </c>
      <c r="K21" s="18" t="n">
        <v>1.05226236</v>
      </c>
      <c r="L21" s="20" t="n">
        <v>0.48639187</v>
      </c>
      <c r="M21" s="18" t="n">
        <v>0</v>
      </c>
      <c r="N21" s="20" t="n">
        <v>0</v>
      </c>
      <c r="O21" s="18" t="n">
        <v>0</v>
      </c>
      <c r="P21" s="20" t="n">
        <v>0</v>
      </c>
      <c r="Q21" s="18" t="n">
        <v>7.83510491</v>
      </c>
      <c r="R21" s="20" t="n">
        <v>1.22458723</v>
      </c>
    </row>
    <row r="22" spans="1:18">
      <c r="A22" s="15" t="s">
        <v>446</v>
      </c>
      <c r="B22" s="17" t="n">
        <v>2931</v>
      </c>
      <c r="C22" s="18">
        <f>(2570.0/B22*100)</f>
        <v/>
      </c>
      <c r="D22" s="19" t="n">
        <v>361</v>
      </c>
      <c r="E22" s="18" t="n">
        <v>65.35294150999999</v>
      </c>
      <c r="F22" s="20" t="n">
        <v>2.40003894</v>
      </c>
      <c r="G22" s="18" t="n">
        <v>14.14407461</v>
      </c>
      <c r="H22" s="20" t="n">
        <v>2.16899371</v>
      </c>
      <c r="I22" s="18" t="s">
        <v>431</v>
      </c>
      <c r="J22" s="20" t="s">
        <v>431</v>
      </c>
      <c r="K22" s="18" t="n">
        <v>2.64645961</v>
      </c>
      <c r="L22" s="20" t="n">
        <v>0.8328839099999999</v>
      </c>
      <c r="M22" s="18" t="n">
        <v>0</v>
      </c>
      <c r="N22" s="20" t="n">
        <v>0</v>
      </c>
      <c r="O22" s="18" t="n">
        <v>0</v>
      </c>
      <c r="P22" s="20" t="n">
        <v>0</v>
      </c>
      <c r="Q22" s="18" t="n">
        <v>17.85652427</v>
      </c>
      <c r="R22" s="20" t="n">
        <v>2.27298901</v>
      </c>
    </row>
    <row r="23" spans="1:18">
      <c r="A23" s="15" t="s">
        <v>447</v>
      </c>
      <c r="B23" s="17" t="n">
        <v>5791</v>
      </c>
      <c r="C23" s="18">
        <f>(5077.0/B23*100)</f>
        <v/>
      </c>
      <c r="D23" s="19" t="n">
        <v>714</v>
      </c>
      <c r="E23" s="18" t="n">
        <v>55.66410279</v>
      </c>
      <c r="F23" s="20" t="n">
        <v>2.85041515</v>
      </c>
      <c r="G23" s="18" t="n">
        <v>20.43927772</v>
      </c>
      <c r="H23" s="20" t="n">
        <v>2.75586666</v>
      </c>
      <c r="I23" s="18" t="s">
        <v>431</v>
      </c>
      <c r="J23" s="20" t="s">
        <v>431</v>
      </c>
      <c r="K23" s="18" t="n">
        <v>0.64822579</v>
      </c>
      <c r="L23" s="20" t="n">
        <v>0.36185958</v>
      </c>
      <c r="M23" s="18" t="n">
        <v>0.19768504</v>
      </c>
      <c r="N23" s="20" t="n">
        <v>0.18499796</v>
      </c>
      <c r="O23" s="18" t="n">
        <v>0</v>
      </c>
      <c r="P23" s="20" t="n">
        <v>0</v>
      </c>
      <c r="Q23" s="18" t="n">
        <v>23.05070866</v>
      </c>
      <c r="R23" s="20" t="n">
        <v>2.47983041</v>
      </c>
    </row>
    <row r="24" spans="1:18">
      <c r="A24" s="15" t="s">
        <v>448</v>
      </c>
      <c r="B24" s="17" t="n">
        <v>3338</v>
      </c>
      <c r="C24" s="18">
        <f>(2943.0/B24*100)</f>
        <v/>
      </c>
      <c r="D24" s="19" t="n">
        <v>395</v>
      </c>
      <c r="E24" s="18" t="n">
        <v>36.06515466</v>
      </c>
      <c r="F24" s="20" t="n">
        <v>2.47269201</v>
      </c>
      <c r="G24" s="18" t="n">
        <v>40.9712212</v>
      </c>
      <c r="H24" s="20" t="n">
        <v>2.69447323</v>
      </c>
      <c r="I24" s="18" t="s">
        <v>431</v>
      </c>
      <c r="J24" s="20" t="s">
        <v>431</v>
      </c>
      <c r="K24" s="18" t="n">
        <v>0.85245096</v>
      </c>
      <c r="L24" s="20" t="n">
        <v>0.48242123</v>
      </c>
      <c r="M24" s="18" t="n">
        <v>0</v>
      </c>
      <c r="N24" s="20" t="n">
        <v>0</v>
      </c>
      <c r="O24" s="18" t="n">
        <v>0</v>
      </c>
      <c r="P24" s="20" t="n">
        <v>0</v>
      </c>
      <c r="Q24" s="18" t="n">
        <v>22.11117318</v>
      </c>
      <c r="R24" s="20" t="n">
        <v>2.33138034</v>
      </c>
    </row>
    <row r="25" spans="1:18">
      <c r="A25" s="15" t="s">
        <v>449</v>
      </c>
      <c r="B25" s="17" t="n">
        <v>2912</v>
      </c>
      <c r="C25" s="18">
        <f>(2540.0/B25*100)</f>
        <v/>
      </c>
      <c r="D25" s="19" t="n">
        <v>372</v>
      </c>
      <c r="E25" s="18" t="n">
        <v>61.71759226</v>
      </c>
      <c r="F25" s="20" t="n">
        <v>2.91049942</v>
      </c>
      <c r="G25" s="18" t="n">
        <v>19.84958962</v>
      </c>
      <c r="H25" s="20" t="n">
        <v>2.48271719</v>
      </c>
      <c r="I25" s="18" t="s">
        <v>431</v>
      </c>
      <c r="J25" s="20" t="s">
        <v>431</v>
      </c>
      <c r="K25" s="18" t="n">
        <v>0.50223064</v>
      </c>
      <c r="L25" s="20" t="n">
        <v>0.35563473</v>
      </c>
      <c r="M25" s="18" t="n">
        <v>0</v>
      </c>
      <c r="N25" s="20" t="n">
        <v>0</v>
      </c>
      <c r="O25" s="18" t="n">
        <v>0</v>
      </c>
      <c r="P25" s="20" t="n">
        <v>0</v>
      </c>
      <c r="Q25" s="18" t="n">
        <v>17.93058748</v>
      </c>
      <c r="R25" s="20" t="n">
        <v>2.43233433</v>
      </c>
    </row>
    <row r="26" spans="1:18">
      <c r="A26" s="15" t="s">
        <v>450</v>
      </c>
      <c r="B26" s="17" t="n">
        <v>2450</v>
      </c>
      <c r="C26" s="18">
        <f>(2136.0/B26*100)</f>
        <v/>
      </c>
      <c r="D26" s="19" t="n">
        <v>314</v>
      </c>
      <c r="E26" s="18" t="n">
        <v>70.62394293</v>
      </c>
      <c r="F26" s="20" t="n">
        <v>2.99291418</v>
      </c>
      <c r="G26" s="18" t="n">
        <v>17.60949744</v>
      </c>
      <c r="H26" s="20" t="n">
        <v>2.11632396</v>
      </c>
      <c r="I26" s="18" t="s">
        <v>431</v>
      </c>
      <c r="J26" s="20" t="s">
        <v>431</v>
      </c>
      <c r="K26" s="18" t="n">
        <v>0.20897649</v>
      </c>
      <c r="L26" s="20" t="n">
        <v>0.213423</v>
      </c>
      <c r="M26" s="18" t="n">
        <v>0.46878248</v>
      </c>
      <c r="N26" s="20" t="n">
        <v>0.32949834</v>
      </c>
      <c r="O26" s="18" t="n">
        <v>0</v>
      </c>
      <c r="P26" s="20" t="n">
        <v>0</v>
      </c>
      <c r="Q26" s="18" t="n">
        <v>11.08880065</v>
      </c>
      <c r="R26" s="20" t="n">
        <v>2.00966001</v>
      </c>
    </row>
    <row r="27" spans="1:18">
      <c r="A27" s="15" t="s">
        <v>451</v>
      </c>
      <c r="B27" s="17" t="n">
        <v>2616</v>
      </c>
      <c r="C27" s="18">
        <f>(2295.0/B27*100)</f>
        <v/>
      </c>
      <c r="D27" s="19" t="n">
        <v>321</v>
      </c>
      <c r="E27" s="18" t="n">
        <v>54.20097663</v>
      </c>
      <c r="F27" s="20" t="n">
        <v>2.59769118</v>
      </c>
      <c r="G27" s="18" t="n">
        <v>26.73911303</v>
      </c>
      <c r="H27" s="20" t="n">
        <v>2.38820962</v>
      </c>
      <c r="I27" s="18" t="s">
        <v>431</v>
      </c>
      <c r="J27" s="20" t="s">
        <v>431</v>
      </c>
      <c r="K27" s="18" t="n">
        <v>0.6251278</v>
      </c>
      <c r="L27" s="20" t="n">
        <v>0.44379902</v>
      </c>
      <c r="M27" s="18" t="n">
        <v>0</v>
      </c>
      <c r="N27" s="20" t="n">
        <v>0</v>
      </c>
      <c r="O27" s="18" t="n">
        <v>0</v>
      </c>
      <c r="P27" s="20" t="n">
        <v>0</v>
      </c>
      <c r="Q27" s="18" t="n">
        <v>18.43478255</v>
      </c>
      <c r="R27" s="20" t="n">
        <v>2.02261789</v>
      </c>
    </row>
    <row r="28" spans="1:18">
      <c r="A28" s="15" t="s">
        <v>452</v>
      </c>
      <c r="B28" s="17" t="n">
        <v>3765</v>
      </c>
      <c r="C28" s="18">
        <f>(3323.0/B28*100)</f>
        <v/>
      </c>
      <c r="D28" s="19" t="n">
        <v>442</v>
      </c>
      <c r="E28" s="18" t="n">
        <v>85.1796312</v>
      </c>
      <c r="F28" s="20" t="n">
        <v>1.55742523</v>
      </c>
      <c r="G28" s="18" t="n">
        <v>9.96214254</v>
      </c>
      <c r="H28" s="20" t="n">
        <v>1.18339483</v>
      </c>
      <c r="I28" s="18" t="s">
        <v>431</v>
      </c>
      <c r="J28" s="20" t="s">
        <v>431</v>
      </c>
      <c r="K28" s="18" t="n">
        <v>1.26669354</v>
      </c>
      <c r="L28" s="20" t="n">
        <v>0.64535331</v>
      </c>
      <c r="M28" s="18" t="n">
        <v>0</v>
      </c>
      <c r="N28" s="20" t="n">
        <v>0</v>
      </c>
      <c r="O28" s="18" t="n">
        <v>0</v>
      </c>
      <c r="P28" s="20" t="n">
        <v>0</v>
      </c>
      <c r="Q28" s="18" t="n">
        <v>3.59153271</v>
      </c>
      <c r="R28" s="20" t="n">
        <v>1.0326613</v>
      </c>
    </row>
    <row r="29" spans="1:18">
      <c r="A29" s="15" t="s">
        <v>453</v>
      </c>
      <c r="B29" s="17" t="n">
        <v>2685</v>
      </c>
      <c r="C29" s="18">
        <f>(2369.0/B29*100)</f>
        <v/>
      </c>
      <c r="D29" s="19" t="n">
        <v>316</v>
      </c>
      <c r="E29" s="18" t="n">
        <v>67.99404162</v>
      </c>
      <c r="F29" s="20" t="n">
        <v>2.52117795</v>
      </c>
      <c r="G29" s="18" t="n">
        <v>26.93790239</v>
      </c>
      <c r="H29" s="20" t="n">
        <v>2.32502585</v>
      </c>
      <c r="I29" s="18" t="s">
        <v>431</v>
      </c>
      <c r="J29" s="20" t="s">
        <v>431</v>
      </c>
      <c r="K29" s="18" t="n">
        <v>0</v>
      </c>
      <c r="L29" s="20" t="n">
        <v>0</v>
      </c>
      <c r="M29" s="18" t="n">
        <v>0</v>
      </c>
      <c r="N29" s="20" t="n">
        <v>0</v>
      </c>
      <c r="O29" s="18" t="n">
        <v>0</v>
      </c>
      <c r="P29" s="20" t="n">
        <v>0</v>
      </c>
      <c r="Q29" s="18" t="n">
        <v>5.068056</v>
      </c>
      <c r="R29" s="20" t="n">
        <v>1.11721278</v>
      </c>
    </row>
    <row r="30" spans="1:18">
      <c r="A30" s="15" t="s">
        <v>454</v>
      </c>
      <c r="B30" s="17" t="n">
        <v>2263</v>
      </c>
      <c r="C30" s="18">
        <f>(1993.0/B30*100)</f>
        <v/>
      </c>
      <c r="D30" s="19" t="n">
        <v>270</v>
      </c>
      <c r="E30" s="18" t="n">
        <v>48.39850799</v>
      </c>
      <c r="F30" s="20" t="n">
        <v>3.03856773</v>
      </c>
      <c r="G30" s="18" t="n">
        <v>37.52397666</v>
      </c>
      <c r="H30" s="20" t="n">
        <v>3.22334603</v>
      </c>
      <c r="I30" s="18" t="s">
        <v>431</v>
      </c>
      <c r="J30" s="20" t="s">
        <v>431</v>
      </c>
      <c r="K30" s="18" t="n">
        <v>1.68710071</v>
      </c>
      <c r="L30" s="20" t="n">
        <v>0.74712228</v>
      </c>
      <c r="M30" s="18" t="n">
        <v>0</v>
      </c>
      <c r="N30" s="20" t="n">
        <v>0</v>
      </c>
      <c r="O30" s="18" t="n">
        <v>0</v>
      </c>
      <c r="P30" s="20" t="n">
        <v>0</v>
      </c>
      <c r="Q30" s="18" t="n">
        <v>12.39041464</v>
      </c>
      <c r="R30" s="20" t="n">
        <v>1.82603453</v>
      </c>
    </row>
    <row r="31" spans="1:18">
      <c r="A31" s="15" t="s">
        <v>455</v>
      </c>
      <c r="B31" s="17" t="n">
        <v>2750</v>
      </c>
      <c r="C31" s="18">
        <f>(2420.0/B31*100)</f>
        <v/>
      </c>
      <c r="D31" s="19" t="n">
        <v>330</v>
      </c>
      <c r="E31" s="18" t="n">
        <v>49.14773135</v>
      </c>
      <c r="F31" s="20" t="n">
        <v>3.04170707</v>
      </c>
      <c r="G31" s="18" t="n">
        <v>37.07945509</v>
      </c>
      <c r="H31" s="20" t="n">
        <v>2.59748525</v>
      </c>
      <c r="I31" s="18" t="s">
        <v>431</v>
      </c>
      <c r="J31" s="20" t="s">
        <v>431</v>
      </c>
      <c r="K31" s="18" t="n">
        <v>1.79163261</v>
      </c>
      <c r="L31" s="20" t="n">
        <v>0.72812344</v>
      </c>
      <c r="M31" s="18" t="n">
        <v>0</v>
      </c>
      <c r="N31" s="20" t="n">
        <v>0</v>
      </c>
      <c r="O31" s="18" t="n">
        <v>0</v>
      </c>
      <c r="P31" s="20" t="n">
        <v>0</v>
      </c>
      <c r="Q31" s="18" t="n">
        <v>11.98118095</v>
      </c>
      <c r="R31" s="20" t="n">
        <v>1.70583138</v>
      </c>
    </row>
    <row r="32" spans="1:18">
      <c r="A32" s="15" t="s">
        <v>456</v>
      </c>
      <c r="B32" s="17" t="n">
        <v>2269</v>
      </c>
      <c r="C32" s="18">
        <f>(1901.0/B32*100)</f>
        <v/>
      </c>
      <c r="D32" s="19" t="n">
        <v>368</v>
      </c>
      <c r="E32" s="18" t="n">
        <v>57.64804039</v>
      </c>
      <c r="F32" s="20" t="n">
        <v>2.41891822</v>
      </c>
      <c r="G32" s="18" t="n">
        <v>27.08211566</v>
      </c>
      <c r="H32" s="20" t="n">
        <v>2.38876742</v>
      </c>
      <c r="I32" s="18" t="s">
        <v>431</v>
      </c>
      <c r="J32" s="20" t="s">
        <v>431</v>
      </c>
      <c r="K32" s="18" t="n">
        <v>0.72904663</v>
      </c>
      <c r="L32" s="20" t="n">
        <v>0.23447458</v>
      </c>
      <c r="M32" s="18" t="n">
        <v>0</v>
      </c>
      <c r="N32" s="20" t="n">
        <v>0</v>
      </c>
      <c r="O32" s="18" t="n">
        <v>0</v>
      </c>
      <c r="P32" s="20" t="n">
        <v>0</v>
      </c>
      <c r="Q32" s="18" t="n">
        <v>14.54079732</v>
      </c>
      <c r="R32" s="20" t="n">
        <v>1.8584903</v>
      </c>
    </row>
    <row r="33" spans="1:18">
      <c r="A33" s="15" t="s">
        <v>457</v>
      </c>
      <c r="B33" s="17" t="n">
        <v>3674</v>
      </c>
      <c r="C33" s="18">
        <f>(3235.0/B33*100)</f>
        <v/>
      </c>
      <c r="D33" s="19" t="n">
        <v>439</v>
      </c>
      <c r="E33" s="18" t="n">
        <v>48.72224475</v>
      </c>
      <c r="F33" s="20" t="n">
        <v>3.0268582</v>
      </c>
      <c r="G33" s="18" t="n">
        <v>34.97508772</v>
      </c>
      <c r="H33" s="20" t="n">
        <v>3.02971912</v>
      </c>
      <c r="I33" s="18" t="s">
        <v>431</v>
      </c>
      <c r="J33" s="20" t="s">
        <v>431</v>
      </c>
      <c r="K33" s="18" t="n">
        <v>0.08630198</v>
      </c>
      <c r="L33" s="20" t="n">
        <v>0.05313173</v>
      </c>
      <c r="M33" s="18" t="n">
        <v>0</v>
      </c>
      <c r="N33" s="20" t="n">
        <v>0</v>
      </c>
      <c r="O33" s="18" t="n">
        <v>0</v>
      </c>
      <c r="P33" s="20" t="n">
        <v>0</v>
      </c>
      <c r="Q33" s="18" t="n">
        <v>16.21636555</v>
      </c>
      <c r="R33" s="20" t="n">
        <v>2.01718129</v>
      </c>
    </row>
    <row r="34" spans="1:18">
      <c r="A34" s="15" t="s">
        <v>458</v>
      </c>
      <c r="B34" s="17" t="n">
        <v>3315</v>
      </c>
      <c r="C34" s="18">
        <f>(2938.0/B34*100)</f>
        <v/>
      </c>
      <c r="D34" s="19" t="n">
        <v>377</v>
      </c>
      <c r="E34" s="18" t="n">
        <v>62.5668304</v>
      </c>
      <c r="F34" s="20" t="n">
        <v>2.50596198</v>
      </c>
      <c r="G34" s="18" t="n">
        <v>16.0466894</v>
      </c>
      <c r="H34" s="20" t="n">
        <v>2.02957275</v>
      </c>
      <c r="I34" s="18" t="s">
        <v>431</v>
      </c>
      <c r="J34" s="20" t="s">
        <v>431</v>
      </c>
      <c r="K34" s="18" t="n">
        <v>0.08624766</v>
      </c>
      <c r="L34" s="20" t="n">
        <v>0.08688298999999999</v>
      </c>
      <c r="M34" s="18" t="n">
        <v>0.17644904</v>
      </c>
      <c r="N34" s="20" t="n">
        <v>0.1768956</v>
      </c>
      <c r="O34" s="18" t="n">
        <v>0</v>
      </c>
      <c r="P34" s="20" t="n">
        <v>0</v>
      </c>
      <c r="Q34" s="18" t="n">
        <v>21.1237835</v>
      </c>
      <c r="R34" s="20" t="n">
        <v>1.81840052</v>
      </c>
    </row>
    <row r="35" spans="1:18">
      <c r="A35" s="15" t="s">
        <v>459</v>
      </c>
      <c r="B35" s="17" t="n">
        <v>3505</v>
      </c>
      <c r="C35" s="18">
        <f>(3099.0/B35*100)</f>
        <v/>
      </c>
      <c r="D35" s="19" t="n">
        <v>406</v>
      </c>
      <c r="E35" s="18" t="n">
        <v>61.53527598</v>
      </c>
      <c r="F35" s="20" t="n">
        <v>2.97600809</v>
      </c>
      <c r="G35" s="18" t="n">
        <v>22.68245728</v>
      </c>
      <c r="H35" s="20" t="n">
        <v>2.80363023</v>
      </c>
      <c r="I35" s="18" t="s">
        <v>431</v>
      </c>
      <c r="J35" s="20" t="s">
        <v>431</v>
      </c>
      <c r="K35" s="18" t="n">
        <v>1.48727894</v>
      </c>
      <c r="L35" s="20" t="n">
        <v>0.70493828</v>
      </c>
      <c r="M35" s="18" t="n">
        <v>0.45672522</v>
      </c>
      <c r="N35" s="20" t="n">
        <v>0.45506556</v>
      </c>
      <c r="O35" s="18" t="n">
        <v>0</v>
      </c>
      <c r="P35" s="20" t="n">
        <v>0</v>
      </c>
      <c r="Q35" s="18" t="n">
        <v>13.83826258</v>
      </c>
      <c r="R35" s="20" t="n">
        <v>1.79876293</v>
      </c>
    </row>
    <row r="36" spans="1:18">
      <c r="A36" s="15" t="s">
        <v>460</v>
      </c>
      <c r="B36" s="17" t="n">
        <v>3332</v>
      </c>
      <c r="C36" s="18">
        <f>(2926.0/B36*100)</f>
        <v/>
      </c>
      <c r="D36" s="19" t="n">
        <v>406</v>
      </c>
      <c r="E36" s="18" t="n">
        <v>49.68538977</v>
      </c>
      <c r="F36" s="20" t="n">
        <v>2.25592807</v>
      </c>
      <c r="G36" s="18" t="n">
        <v>34.46410315</v>
      </c>
      <c r="H36" s="20" t="n">
        <v>2.68894815</v>
      </c>
      <c r="I36" s="18" t="s">
        <v>431</v>
      </c>
      <c r="J36" s="20" t="s">
        <v>431</v>
      </c>
      <c r="K36" s="18" t="n">
        <v>1.60576822</v>
      </c>
      <c r="L36" s="20" t="n">
        <v>0.66998152</v>
      </c>
      <c r="M36" s="18" t="n">
        <v>0</v>
      </c>
      <c r="N36" s="20" t="n">
        <v>0</v>
      </c>
      <c r="O36" s="18" t="n">
        <v>0</v>
      </c>
      <c r="P36" s="20" t="n">
        <v>0</v>
      </c>
      <c r="Q36" s="18" t="n">
        <v>14.24473887</v>
      </c>
      <c r="R36" s="20" t="n">
        <v>1.62172702</v>
      </c>
    </row>
    <row r="37" spans="1:18">
      <c r="A37" s="15" t="s">
        <v>461</v>
      </c>
      <c r="B37" s="17" t="n">
        <v>2727</v>
      </c>
      <c r="C37" s="18">
        <f>(2389.0/B37*100)</f>
        <v/>
      </c>
      <c r="D37" s="19" t="n">
        <v>338</v>
      </c>
      <c r="E37" s="18" t="n">
        <v>59.86007166</v>
      </c>
      <c r="F37" s="20" t="n">
        <v>2.5951979</v>
      </c>
      <c r="G37" s="18" t="n">
        <v>21.13132513</v>
      </c>
      <c r="H37" s="20" t="n">
        <v>2.04035485</v>
      </c>
      <c r="I37" s="18" t="s">
        <v>431</v>
      </c>
      <c r="J37" s="20" t="s">
        <v>431</v>
      </c>
      <c r="K37" s="18" t="n">
        <v>2.45552421</v>
      </c>
      <c r="L37" s="20" t="n">
        <v>0.83316117</v>
      </c>
      <c r="M37" s="18" t="n">
        <v>0.236098</v>
      </c>
      <c r="N37" s="20" t="n">
        <v>0.23679756</v>
      </c>
      <c r="O37" s="18" t="n">
        <v>0</v>
      </c>
      <c r="P37" s="20" t="n">
        <v>0</v>
      </c>
      <c r="Q37" s="18" t="n">
        <v>16.316981</v>
      </c>
      <c r="R37" s="20" t="n">
        <v>1.95805178</v>
      </c>
    </row>
    <row r="38" spans="1:18">
      <c r="A38" s="15" t="s">
        <v>462</v>
      </c>
      <c r="B38" s="17" t="n">
        <v>3053</v>
      </c>
      <c r="C38" s="18">
        <f>(2538.0/B38*100)</f>
        <v/>
      </c>
      <c r="D38" s="19" t="n">
        <v>515</v>
      </c>
      <c r="E38" s="18" t="n">
        <v>63.39241378</v>
      </c>
      <c r="F38" s="20" t="n">
        <v>2.43190765</v>
      </c>
      <c r="G38" s="18" t="n">
        <v>16.51745873</v>
      </c>
      <c r="H38" s="20" t="n">
        <v>1.7511337</v>
      </c>
      <c r="I38" s="18" t="s">
        <v>431</v>
      </c>
      <c r="J38" s="20" t="s">
        <v>431</v>
      </c>
      <c r="K38" s="18" t="n">
        <v>1.60122531</v>
      </c>
      <c r="L38" s="20" t="n">
        <v>0.6892415200000001</v>
      </c>
      <c r="M38" s="18" t="n">
        <v>0</v>
      </c>
      <c r="N38" s="20" t="n">
        <v>0</v>
      </c>
      <c r="O38" s="18" t="n">
        <v>0</v>
      </c>
      <c r="P38" s="20" t="n">
        <v>0</v>
      </c>
      <c r="Q38" s="18" t="n">
        <v>18.48890218</v>
      </c>
      <c r="R38" s="20" t="n">
        <v>2.07169894</v>
      </c>
    </row>
    <row r="39" spans="1:18">
      <c r="A39" s="15" t="s">
        <v>463</v>
      </c>
      <c r="B39" s="17" t="n">
        <v>2957</v>
      </c>
      <c r="C39" s="18">
        <f>(2594.0/B39*100)</f>
        <v/>
      </c>
      <c r="D39" s="19" t="n">
        <v>363</v>
      </c>
      <c r="E39" s="18" t="n">
        <v>68.05214392000001</v>
      </c>
      <c r="F39" s="20" t="n">
        <v>2.53277778</v>
      </c>
      <c r="G39" s="18" t="n">
        <v>14.20848223</v>
      </c>
      <c r="H39" s="20" t="n">
        <v>2.10264812</v>
      </c>
      <c r="I39" s="18" t="s">
        <v>431</v>
      </c>
      <c r="J39" s="20" t="s">
        <v>431</v>
      </c>
      <c r="K39" s="18" t="n">
        <v>0.19499478</v>
      </c>
      <c r="L39" s="20" t="n">
        <v>0.19743281</v>
      </c>
      <c r="M39" s="18" t="n">
        <v>0.12278317</v>
      </c>
      <c r="N39" s="20" t="n">
        <v>0.08778746</v>
      </c>
      <c r="O39" s="18" t="n">
        <v>0</v>
      </c>
      <c r="P39" s="20" t="n">
        <v>0</v>
      </c>
      <c r="Q39" s="18" t="n">
        <v>17.4215959</v>
      </c>
      <c r="R39" s="20" t="n">
        <v>1.74524947</v>
      </c>
    </row>
    <row r="40" spans="1:18">
      <c r="A40" s="15" t="s">
        <v>464</v>
      </c>
      <c r="B40" s="17" t="n">
        <v>7235</v>
      </c>
      <c r="C40" s="18">
        <f>(6380.0/B40*100)</f>
        <v/>
      </c>
      <c r="D40" s="19" t="n">
        <v>855</v>
      </c>
      <c r="E40" s="18" t="n">
        <v>55.23759447</v>
      </c>
      <c r="F40" s="20" t="n">
        <v>2.74917724</v>
      </c>
      <c r="G40" s="18" t="n">
        <v>28.63045419</v>
      </c>
      <c r="H40" s="20" t="n">
        <v>2.69404877</v>
      </c>
      <c r="I40" s="18" t="s">
        <v>431</v>
      </c>
      <c r="J40" s="20" t="s">
        <v>431</v>
      </c>
      <c r="K40" s="18" t="n">
        <v>1.22334728</v>
      </c>
      <c r="L40" s="20" t="n">
        <v>0.69633556</v>
      </c>
      <c r="M40" s="18" t="n">
        <v>0.49023644</v>
      </c>
      <c r="N40" s="20" t="n">
        <v>0.43506037</v>
      </c>
      <c r="O40" s="18" t="n">
        <v>0</v>
      </c>
      <c r="P40" s="20" t="n">
        <v>0</v>
      </c>
      <c r="Q40" s="18" t="n">
        <v>14.41836763</v>
      </c>
      <c r="R40" s="20" t="n">
        <v>1.84860364</v>
      </c>
    </row>
    <row r="41" spans="1:18">
      <c r="A41" s="15" t="s">
        <v>465</v>
      </c>
      <c r="B41" s="17" t="n">
        <v>2858</v>
      </c>
      <c r="C41" s="18">
        <f>(2514.0/B41*100)</f>
        <v/>
      </c>
      <c r="D41" s="19" t="n">
        <v>344</v>
      </c>
      <c r="E41" s="18" t="n">
        <v>53.64954486</v>
      </c>
      <c r="F41" s="20" t="n">
        <v>2.43042768</v>
      </c>
      <c r="G41" s="18" t="n">
        <v>41.88843597</v>
      </c>
      <c r="H41" s="20" t="n">
        <v>2.34546183</v>
      </c>
      <c r="I41" s="18" t="s">
        <v>431</v>
      </c>
      <c r="J41" s="20" t="s">
        <v>431</v>
      </c>
      <c r="K41" s="18" t="n">
        <v>0.3023093</v>
      </c>
      <c r="L41" s="20" t="n">
        <v>0.30827114</v>
      </c>
      <c r="M41" s="18" t="n">
        <v>0</v>
      </c>
      <c r="N41" s="20" t="n">
        <v>0</v>
      </c>
      <c r="O41" s="18" t="n">
        <v>0</v>
      </c>
      <c r="P41" s="20" t="n">
        <v>0</v>
      </c>
      <c r="Q41" s="18" t="n">
        <v>4.15970988</v>
      </c>
      <c r="R41" s="20" t="n">
        <v>1.04138696</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(9999.0/B46*100)</f>
        <v/>
      </c>
      <c r="D46" s="19" t="n">
        <v>1069</v>
      </c>
      <c r="E46" s="18" t="n">
        <v>62.54416605</v>
      </c>
      <c r="F46" s="20" t="n">
        <v>2.12710772</v>
      </c>
      <c r="G46" s="18" t="n">
        <v>16.80724265</v>
      </c>
      <c r="H46" s="20" t="n">
        <v>1.60318624</v>
      </c>
      <c r="I46" s="18" t="s">
        <v>431</v>
      </c>
      <c r="J46" s="20" t="s">
        <v>431</v>
      </c>
      <c r="K46" s="18" t="n">
        <v>1.86151151</v>
      </c>
      <c r="L46" s="20" t="n">
        <v>0.59435455</v>
      </c>
      <c r="M46" s="18" t="n">
        <v>0.26442215</v>
      </c>
      <c r="N46" s="20" t="n">
        <v>0.16086827</v>
      </c>
      <c r="O46" s="18" t="n">
        <v>0</v>
      </c>
      <c r="P46" s="20" t="n">
        <v>0</v>
      </c>
      <c r="Q46" s="18" t="n">
        <v>18.52265763</v>
      </c>
      <c r="R46" s="20" t="n">
        <v>1.57443952</v>
      </c>
    </row>
    <row r="47" spans="1:18">
      <c r="A47" s="15" t="s">
        <v>471</v>
      </c>
      <c r="B47" s="17" t="n">
        <v>3105</v>
      </c>
      <c r="C47" s="18">
        <f>(2763.0/B47*100)</f>
        <v/>
      </c>
      <c r="D47" s="19" t="n">
        <v>342</v>
      </c>
      <c r="E47" s="18" t="n">
        <v>38.79428287</v>
      </c>
      <c r="F47" s="20" t="n">
        <v>2.33853622</v>
      </c>
      <c r="G47" s="18" t="n">
        <v>27.93771121</v>
      </c>
      <c r="H47" s="20" t="n">
        <v>2.45395094</v>
      </c>
      <c r="I47" s="18" t="s">
        <v>431</v>
      </c>
      <c r="J47" s="20" t="s">
        <v>431</v>
      </c>
      <c r="K47" s="18" t="n">
        <v>0.30596414</v>
      </c>
      <c r="L47" s="20" t="n">
        <v>0.30522978</v>
      </c>
      <c r="M47" s="18" t="n">
        <v>0</v>
      </c>
      <c r="N47" s="20" t="n">
        <v>0</v>
      </c>
      <c r="O47" s="18" t="n">
        <v>0</v>
      </c>
      <c r="P47" s="20" t="n">
        <v>0</v>
      </c>
      <c r="Q47" s="18" t="n">
        <v>32.96204177</v>
      </c>
      <c r="R47" s="20" t="n">
        <v>2.25360794</v>
      </c>
    </row>
    <row r="48" spans="1:18">
      <c r="A48" s="15" t="s">
        <v>472</v>
      </c>
      <c r="B48" s="17" t="n">
        <v>5159</v>
      </c>
      <c r="C48" s="18">
        <f>(4525.0/B48*100)</f>
        <v/>
      </c>
      <c r="D48" s="19" t="n">
        <v>634</v>
      </c>
      <c r="E48" s="18" t="n">
        <v>39.56431103</v>
      </c>
      <c r="F48" s="20" t="n">
        <v>2.55497674</v>
      </c>
      <c r="G48" s="18" t="n">
        <v>50.19283148</v>
      </c>
      <c r="H48" s="20" t="n">
        <v>2.60144366</v>
      </c>
      <c r="I48" s="18" t="s">
        <v>431</v>
      </c>
      <c r="J48" s="20" t="s">
        <v>431</v>
      </c>
      <c r="K48" s="18" t="n">
        <v>1.36669655</v>
      </c>
      <c r="L48" s="20" t="n">
        <v>0.83246818</v>
      </c>
      <c r="M48" s="18" t="n">
        <v>0</v>
      </c>
      <c r="N48" s="20" t="n">
        <v>0</v>
      </c>
      <c r="O48" s="18" t="n">
        <v>0</v>
      </c>
      <c r="P48" s="20" t="n">
        <v>0</v>
      </c>
      <c r="Q48" s="18" t="n">
        <v>8.876160949999999</v>
      </c>
      <c r="R48" s="20" t="n">
        <v>1.58698776</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(4984.0/B50*100)</f>
        <v/>
      </c>
      <c r="D50" s="19" t="n">
        <v>653</v>
      </c>
      <c r="E50" s="18" t="n">
        <v>60.65938734</v>
      </c>
      <c r="F50" s="20" t="n">
        <v>2.5951126</v>
      </c>
      <c r="G50" s="18" t="n">
        <v>26.1905863</v>
      </c>
      <c r="H50" s="20" t="n">
        <v>2.52500008</v>
      </c>
      <c r="I50" s="18" t="s">
        <v>431</v>
      </c>
      <c r="J50" s="20" t="s">
        <v>431</v>
      </c>
      <c r="K50" s="18" t="n">
        <v>2.08617611</v>
      </c>
      <c r="L50" s="20" t="n">
        <v>0.79685183</v>
      </c>
      <c r="M50" s="18" t="n">
        <v>0.05000482</v>
      </c>
      <c r="N50" s="20" t="n">
        <v>0.05075573</v>
      </c>
      <c r="O50" s="18" t="n">
        <v>0</v>
      </c>
      <c r="P50" s="20" t="n">
        <v>0</v>
      </c>
      <c r="Q50" s="18" t="n">
        <v>11.01384543</v>
      </c>
      <c r="R50" s="20" t="n">
        <v>1.76086247</v>
      </c>
    </row>
    <row r="51" spans="1:18">
      <c r="A51" s="15" t="s">
        <v>475</v>
      </c>
      <c r="B51" s="17" t="n">
        <v>3372</v>
      </c>
      <c r="C51" s="18">
        <f>(3035.0/B51*100)</f>
        <v/>
      </c>
      <c r="D51" s="19" t="n">
        <v>337</v>
      </c>
      <c r="E51" s="18" t="n">
        <v>71.70233758000001</v>
      </c>
      <c r="F51" s="20" t="n">
        <v>2.46505259</v>
      </c>
      <c r="G51" s="18" t="n">
        <v>21.64517879</v>
      </c>
      <c r="H51" s="20" t="n">
        <v>2.16697254</v>
      </c>
      <c r="I51" s="18" t="s">
        <v>431</v>
      </c>
      <c r="J51" s="20" t="s">
        <v>431</v>
      </c>
      <c r="K51" s="18" t="n">
        <v>0.90800417</v>
      </c>
      <c r="L51" s="20" t="n">
        <v>0.60677289</v>
      </c>
      <c r="M51" s="18" t="n">
        <v>0</v>
      </c>
      <c r="N51" s="20" t="n">
        <v>0</v>
      </c>
      <c r="O51" s="18" t="n">
        <v>0</v>
      </c>
      <c r="P51" s="20" t="n">
        <v>0</v>
      </c>
      <c r="Q51" s="18" t="n">
        <v>5.74447946</v>
      </c>
      <c r="R51" s="20" t="n">
        <v>1.43902176</v>
      </c>
    </row>
    <row r="52" spans="1:18">
      <c r="A52" s="15" t="s">
        <v>476</v>
      </c>
      <c r="B52" s="17" t="n">
        <v>2796</v>
      </c>
      <c r="C52" s="18">
        <f>(2451.0/B52*100)</f>
        <v/>
      </c>
      <c r="D52" s="19" t="n">
        <v>345</v>
      </c>
      <c r="E52" s="18" t="n">
        <v>47.99712562</v>
      </c>
      <c r="F52" s="20" t="n">
        <v>2.46582032</v>
      </c>
      <c r="G52" s="18" t="n">
        <v>29.32096104</v>
      </c>
      <c r="H52" s="20" t="n">
        <v>2.34545174</v>
      </c>
      <c r="I52" s="18" t="s">
        <v>431</v>
      </c>
      <c r="J52" s="20" t="s">
        <v>431</v>
      </c>
      <c r="K52" s="18" t="n">
        <v>0.26573901</v>
      </c>
      <c r="L52" s="20" t="n">
        <v>0.26516424</v>
      </c>
      <c r="M52" s="18" t="n">
        <v>0</v>
      </c>
      <c r="N52" s="20" t="n">
        <v>0</v>
      </c>
      <c r="O52" s="18" t="n">
        <v>0</v>
      </c>
      <c r="P52" s="20" t="n">
        <v>0</v>
      </c>
      <c r="Q52" s="18" t="n">
        <v>22.41617433</v>
      </c>
      <c r="R52" s="20" t="n">
        <v>2.30324564</v>
      </c>
    </row>
    <row r="53" spans="1:18">
      <c r="A53" s="15" t="s">
        <v>477</v>
      </c>
      <c r="B53" s="17" t="n">
        <v>2811</v>
      </c>
      <c r="C53" s="18">
        <f>(2473.0/B53*100)</f>
        <v/>
      </c>
      <c r="D53" s="19" t="n">
        <v>338</v>
      </c>
      <c r="E53" s="18" t="n">
        <v>51.2562439</v>
      </c>
      <c r="F53" s="20" t="n">
        <v>2.68727274</v>
      </c>
      <c r="G53" s="18" t="n">
        <v>17.57993684</v>
      </c>
      <c r="H53" s="20" t="n">
        <v>2.09687495</v>
      </c>
      <c r="I53" s="18" t="s">
        <v>431</v>
      </c>
      <c r="J53" s="20" t="s">
        <v>431</v>
      </c>
      <c r="K53" s="18" t="n">
        <v>0.99775957</v>
      </c>
      <c r="L53" s="20" t="n">
        <v>0.5950223100000001</v>
      </c>
      <c r="M53" s="18" t="n">
        <v>0</v>
      </c>
      <c r="N53" s="20" t="n">
        <v>0</v>
      </c>
      <c r="O53" s="18" t="n">
        <v>0</v>
      </c>
      <c r="P53" s="20" t="n">
        <v>0</v>
      </c>
      <c r="Q53" s="18" t="n">
        <v>30.16605969</v>
      </c>
      <c r="R53" s="20" t="n">
        <v>2.29010682</v>
      </c>
    </row>
    <row r="54" spans="1:18">
      <c r="A54" s="15" t="s">
        <v>478</v>
      </c>
      <c r="B54" s="17" t="n">
        <v>2266</v>
      </c>
      <c r="C54" s="18">
        <f>(1904.0/B54*100)</f>
        <v/>
      </c>
      <c r="D54" s="19" t="n">
        <v>362</v>
      </c>
      <c r="E54" s="18" t="n">
        <v>54.16670178</v>
      </c>
      <c r="F54" s="20" t="n">
        <v>2.83540226</v>
      </c>
      <c r="G54" s="18" t="n">
        <v>13.00013824</v>
      </c>
      <c r="H54" s="20" t="n">
        <v>1.53010912</v>
      </c>
      <c r="I54" s="18" t="s">
        <v>431</v>
      </c>
      <c r="J54" s="20" t="s">
        <v>431</v>
      </c>
      <c r="K54" s="18" t="n">
        <v>13.88317667</v>
      </c>
      <c r="L54" s="20" t="n">
        <v>2.00140702</v>
      </c>
      <c r="M54" s="18" t="n">
        <v>0.54803945</v>
      </c>
      <c r="N54" s="20" t="n">
        <v>0.42506858</v>
      </c>
      <c r="O54" s="18" t="n">
        <v>0</v>
      </c>
      <c r="P54" s="20" t="n">
        <v>0</v>
      </c>
      <c r="Q54" s="18" t="n">
        <v>18.40194386</v>
      </c>
      <c r="R54" s="20" t="n">
        <v>2.05650102</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(2344.0/B56*100)</f>
        <v/>
      </c>
      <c r="D56" s="19" t="n">
        <v>340</v>
      </c>
      <c r="E56" s="18" t="n">
        <v>31.84815573</v>
      </c>
      <c r="F56" s="20" t="n">
        <v>2.90040694</v>
      </c>
      <c r="G56" s="18" t="n">
        <v>61.35634424</v>
      </c>
      <c r="H56" s="20" t="n">
        <v>3.22012205</v>
      </c>
      <c r="I56" s="18" t="s">
        <v>431</v>
      </c>
      <c r="J56" s="20" t="s">
        <v>431</v>
      </c>
      <c r="K56" s="18" t="n">
        <v>0.77544072</v>
      </c>
      <c r="L56" s="20" t="n">
        <v>0.45100721</v>
      </c>
      <c r="M56" s="18" t="n">
        <v>0</v>
      </c>
      <c r="N56" s="20" t="n">
        <v>0</v>
      </c>
      <c r="O56" s="18" t="n">
        <v>0</v>
      </c>
      <c r="P56" s="20" t="n">
        <v>0</v>
      </c>
      <c r="Q56" s="18" t="n">
        <v>6.02005931</v>
      </c>
      <c r="R56" s="20" t="n">
        <v>1.39126454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(2944.0/B61*100)</f>
        <v/>
      </c>
      <c r="D61" s="19" t="n">
        <v>380</v>
      </c>
      <c r="E61" s="18" t="n">
        <v>57.861489</v>
      </c>
      <c r="F61" s="20" t="n">
        <v>2.92663</v>
      </c>
      <c r="G61" s="18" t="n">
        <v>22.09198821</v>
      </c>
      <c r="H61" s="20" t="n">
        <v>2.28573167</v>
      </c>
      <c r="I61" s="18" t="s">
        <v>431</v>
      </c>
      <c r="J61" s="20" t="s">
        <v>431</v>
      </c>
      <c r="K61" s="18" t="n">
        <v>0.39126414</v>
      </c>
      <c r="L61" s="20" t="n">
        <v>0.34662687</v>
      </c>
      <c r="M61" s="18" t="n">
        <v>0</v>
      </c>
      <c r="N61" s="20" t="n">
        <v>0</v>
      </c>
      <c r="O61" s="18" t="n">
        <v>0</v>
      </c>
      <c r="P61" s="20" t="n">
        <v>0</v>
      </c>
      <c r="Q61" s="18" t="n">
        <v>19.65525865</v>
      </c>
      <c r="R61" s="20" t="n">
        <v>2.24842429</v>
      </c>
    </row>
    <row r="62" spans="1:18">
      <c r="A62" s="15" t="s">
        <v>486</v>
      </c>
      <c r="B62" s="17" t="n">
        <v>2246</v>
      </c>
      <c r="C62" s="18">
        <f>(1960.0/B62*100)</f>
        <v/>
      </c>
      <c r="D62" s="19" t="n">
        <v>286</v>
      </c>
      <c r="E62" s="18" t="n">
        <v>69.85738623</v>
      </c>
      <c r="F62" s="20" t="n">
        <v>2.74504841</v>
      </c>
      <c r="G62" s="18" t="n">
        <v>24.52492939</v>
      </c>
      <c r="H62" s="20" t="n">
        <v>2.4684091</v>
      </c>
      <c r="I62" s="18" t="s">
        <v>431</v>
      </c>
      <c r="J62" s="20" t="s">
        <v>431</v>
      </c>
      <c r="K62" s="18" t="n">
        <v>0.35938839</v>
      </c>
      <c r="L62" s="20" t="n">
        <v>0.3571246</v>
      </c>
      <c r="M62" s="18" t="n">
        <v>0</v>
      </c>
      <c r="N62" s="20" t="n">
        <v>0</v>
      </c>
      <c r="O62" s="18" t="n">
        <v>0</v>
      </c>
      <c r="P62" s="20" t="n">
        <v>0</v>
      </c>
      <c r="Q62" s="18" t="n">
        <v>5.25829599</v>
      </c>
      <c r="R62" s="20" t="n">
        <v>1.35295176</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(2548.0/B66*100)</f>
        <v/>
      </c>
      <c r="D66" s="19" t="n">
        <v>346</v>
      </c>
      <c r="E66" s="18" t="n">
        <v>44.42584008</v>
      </c>
      <c r="F66" s="20" t="n">
        <v>2.9335376</v>
      </c>
      <c r="G66" s="18" t="n">
        <v>13.25763261</v>
      </c>
      <c r="H66" s="20" t="n">
        <v>1.84269661</v>
      </c>
      <c r="I66" s="18" t="s">
        <v>431</v>
      </c>
      <c r="J66" s="20" t="s">
        <v>431</v>
      </c>
      <c r="K66" s="18" t="n">
        <v>3.07226413</v>
      </c>
      <c r="L66" s="20" t="n">
        <v>1.03076684</v>
      </c>
      <c r="M66" s="18" t="n">
        <v>0.75465657</v>
      </c>
      <c r="N66" s="20" t="n">
        <v>0.55505754</v>
      </c>
      <c r="O66" s="18" t="n">
        <v>0</v>
      </c>
      <c r="P66" s="20" t="n">
        <v>0</v>
      </c>
      <c r="Q66" s="18" t="n">
        <v>38.48960661</v>
      </c>
      <c r="R66" s="20" t="n">
        <v>2.37726216</v>
      </c>
    </row>
    <row r="67" spans="1:18">
      <c r="A67" s="15" t="s">
        <v>491</v>
      </c>
      <c r="B67" s="17" t="n">
        <v>3511</v>
      </c>
      <c r="C67" s="18">
        <f>(3137.0/B67*100)</f>
        <v/>
      </c>
      <c r="D67" s="19" t="n">
        <v>374</v>
      </c>
      <c r="E67" s="18" t="n">
        <v>78.82982774</v>
      </c>
      <c r="F67" s="20" t="n">
        <v>2.09572637</v>
      </c>
      <c r="G67" s="18" t="n">
        <v>12.65318127</v>
      </c>
      <c r="H67" s="20" t="n">
        <v>1.75151712</v>
      </c>
      <c r="I67" s="18" t="s">
        <v>431</v>
      </c>
      <c r="J67" s="20" t="s">
        <v>431</v>
      </c>
      <c r="K67" s="18" t="n">
        <v>0.42310537</v>
      </c>
      <c r="L67" s="20" t="n">
        <v>0.29753075</v>
      </c>
      <c r="M67" s="18" t="n">
        <v>0</v>
      </c>
      <c r="N67" s="20" t="n">
        <v>0</v>
      </c>
      <c r="O67" s="18" t="n">
        <v>0</v>
      </c>
      <c r="P67" s="20" t="n">
        <v>0</v>
      </c>
      <c r="Q67" s="18" t="n">
        <v>8.09388562</v>
      </c>
      <c r="R67" s="20" t="n">
        <v>1.35228528</v>
      </c>
    </row>
    <row r="68" spans="1:18">
      <c r="A68" s="15" t="s">
        <v>492</v>
      </c>
      <c r="B68" s="17" t="n">
        <v>6049</v>
      </c>
      <c r="C68" s="18">
        <f>(5037.0/B68*100)</f>
        <v/>
      </c>
      <c r="D68" s="19" t="n">
        <v>1012</v>
      </c>
      <c r="E68" s="18" t="n">
        <v>62.94562704</v>
      </c>
      <c r="F68" s="20" t="n">
        <v>1.67138235</v>
      </c>
      <c r="G68" s="18" t="n">
        <v>11.21261668</v>
      </c>
      <c r="H68" s="20" t="n">
        <v>0.85934952</v>
      </c>
      <c r="I68" s="18" t="s">
        <v>431</v>
      </c>
      <c r="J68" s="20" t="s">
        <v>431</v>
      </c>
      <c r="K68" s="18" t="n">
        <v>5.76627645</v>
      </c>
      <c r="L68" s="20" t="n">
        <v>0.77077944</v>
      </c>
      <c r="M68" s="18" t="n">
        <v>0.09511028000000001</v>
      </c>
      <c r="N68" s="20" t="n">
        <v>0.09537494000000001</v>
      </c>
      <c r="O68" s="18" t="n">
        <v>0</v>
      </c>
      <c r="P68" s="20" t="n">
        <v>0</v>
      </c>
      <c r="Q68" s="18" t="n">
        <v>19.98036956</v>
      </c>
      <c r="R68" s="20" t="n">
        <v>1.3789922</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(2579.0/B70*100)</f>
        <v/>
      </c>
      <c r="D70" s="19" t="n">
        <v>350</v>
      </c>
      <c r="E70" s="18" t="n">
        <v>56.39899026</v>
      </c>
      <c r="F70" s="20" t="n">
        <v>3.01603094</v>
      </c>
      <c r="G70" s="18" t="n">
        <v>24.85512386</v>
      </c>
      <c r="H70" s="20" t="n">
        <v>2.18949111</v>
      </c>
      <c r="I70" s="18" t="s">
        <v>431</v>
      </c>
      <c r="J70" s="20" t="s">
        <v>431</v>
      </c>
      <c r="K70" s="18" t="n">
        <v>0</v>
      </c>
      <c r="L70" s="20" t="n">
        <v>0</v>
      </c>
      <c r="M70" s="18" t="n">
        <v>0.38636899</v>
      </c>
      <c r="N70" s="20" t="n">
        <v>0.2520375</v>
      </c>
      <c r="O70" s="18" t="n">
        <v>0</v>
      </c>
      <c r="P70" s="20" t="n">
        <v>0</v>
      </c>
      <c r="Q70" s="18" t="n">
        <v>18.35951689</v>
      </c>
      <c r="R70" s="20" t="n">
        <v>2.51506032</v>
      </c>
    </row>
    <row r="71" spans="1:18">
      <c r="A71" s="15" t="s">
        <v>495</v>
      </c>
      <c r="B71" s="17" t="n">
        <v>3142</v>
      </c>
      <c r="C71" s="18">
        <f>(2753.0/B71*100)</f>
        <v/>
      </c>
      <c r="D71" s="19" t="n">
        <v>389</v>
      </c>
      <c r="E71" s="18" t="n">
        <v>47.11605281</v>
      </c>
      <c r="F71" s="20" t="n">
        <v>2.50647153</v>
      </c>
      <c r="G71" s="18" t="n">
        <v>48.1804609</v>
      </c>
      <c r="H71" s="20" t="n">
        <v>2.49081712</v>
      </c>
      <c r="I71" s="18" t="s">
        <v>431</v>
      </c>
      <c r="J71" s="20" t="s">
        <v>431</v>
      </c>
      <c r="K71" s="18" t="n">
        <v>0.55437572</v>
      </c>
      <c r="L71" s="20" t="n">
        <v>0.4007702</v>
      </c>
      <c r="M71" s="18" t="n">
        <v>0</v>
      </c>
      <c r="N71" s="20" t="n">
        <v>0</v>
      </c>
      <c r="O71" s="18" t="n">
        <v>0</v>
      </c>
      <c r="P71" s="20" t="n">
        <v>0</v>
      </c>
      <c r="Q71" s="18" t="n">
        <v>4.14911057</v>
      </c>
      <c r="R71" s="20" t="n">
        <v>1.11136349</v>
      </c>
    </row>
    <row r="72" spans="1:18">
      <c r="A72" s="15" t="s">
        <v>496</v>
      </c>
      <c r="B72" s="17" t="n">
        <v>3889</v>
      </c>
      <c r="C72" s="18">
        <f>(3408.0/B72*100)</f>
        <v/>
      </c>
      <c r="D72" s="19" t="n">
        <v>481</v>
      </c>
      <c r="E72" s="18" t="n">
        <v>38.12649319</v>
      </c>
      <c r="F72" s="20" t="n">
        <v>2.29595237</v>
      </c>
      <c r="G72" s="18" t="n">
        <v>52.84523309</v>
      </c>
      <c r="H72" s="20" t="n">
        <v>2.51068356</v>
      </c>
      <c r="I72" s="18" t="s">
        <v>431</v>
      </c>
      <c r="J72" s="20" t="s">
        <v>431</v>
      </c>
      <c r="K72" s="18" t="n">
        <v>0</v>
      </c>
      <c r="L72" s="20" t="n">
        <v>0</v>
      </c>
      <c r="M72" s="18" t="n">
        <v>0</v>
      </c>
      <c r="N72" s="20" t="n">
        <v>0</v>
      </c>
      <c r="O72" s="18" t="n">
        <v>0</v>
      </c>
      <c r="P72" s="20" t="n">
        <v>0</v>
      </c>
      <c r="Q72" s="18" t="n">
        <v>9.02827372</v>
      </c>
      <c r="R72" s="20" t="n">
        <v>1.24318096</v>
      </c>
    </row>
    <row r="73" spans="1:18">
      <c r="A73" s="15" t="s">
        <v>497</v>
      </c>
      <c r="B73" s="17" t="n">
        <v>3597</v>
      </c>
      <c r="C73" s="18">
        <f>(3174.0/B73*100)</f>
        <v/>
      </c>
      <c r="D73" s="19" t="n">
        <v>423</v>
      </c>
      <c r="E73" s="18" t="n">
        <v>82.55164065</v>
      </c>
      <c r="F73" s="20" t="n">
        <v>2.22239515</v>
      </c>
      <c r="G73" s="18" t="n">
        <v>14.48514376</v>
      </c>
      <c r="H73" s="20" t="n">
        <v>2.2282943</v>
      </c>
      <c r="I73" s="18" t="s">
        <v>431</v>
      </c>
      <c r="J73" s="20" t="s">
        <v>431</v>
      </c>
      <c r="K73" s="18" t="n">
        <v>0.6759374500000001</v>
      </c>
      <c r="L73" s="20" t="n">
        <v>0.48310835</v>
      </c>
      <c r="M73" s="18" t="n">
        <v>0.0121829</v>
      </c>
      <c r="N73" s="20" t="n">
        <v>0.01233036</v>
      </c>
      <c r="O73" s="18" t="n">
        <v>0</v>
      </c>
      <c r="P73" s="20" t="n">
        <v>0</v>
      </c>
      <c r="Q73" s="18" t="n">
        <v>2.27509525</v>
      </c>
      <c r="R73" s="20" t="n">
        <v>0.93440243</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(2136.0/B75*100)</f>
        <v/>
      </c>
      <c r="D75" s="19" t="n">
        <v>270</v>
      </c>
      <c r="E75" s="18" t="n">
        <v>53.54537258</v>
      </c>
      <c r="F75" s="20" t="n">
        <v>3.31349987</v>
      </c>
      <c r="G75" s="18" t="n">
        <v>12.35754343</v>
      </c>
      <c r="H75" s="20" t="n">
        <v>2.31407282</v>
      </c>
      <c r="I75" s="18" t="s">
        <v>431</v>
      </c>
      <c r="J75" s="20" t="s">
        <v>431</v>
      </c>
      <c r="K75" s="18" t="n">
        <v>2.9010749</v>
      </c>
      <c r="L75" s="20" t="n">
        <v>1.10802748</v>
      </c>
      <c r="M75" s="18" t="n">
        <v>0</v>
      </c>
      <c r="N75" s="20" t="n">
        <v>0</v>
      </c>
      <c r="O75" s="18" t="n">
        <v>0</v>
      </c>
      <c r="P75" s="20" t="n">
        <v>0</v>
      </c>
      <c r="Q75" s="18" t="n">
        <v>31.19600909</v>
      </c>
      <c r="R75" s="20" t="n">
        <v>3.09710004</v>
      </c>
    </row>
    <row r="76" spans="1:18">
      <c r="A76" s="15" t="s">
        <v>500</v>
      </c>
      <c r="B76" s="17" t="n">
        <v>7052</v>
      </c>
      <c r="C76" s="18">
        <f>(6197.0/B76*100)</f>
        <v/>
      </c>
      <c r="D76" s="19" t="n">
        <v>855</v>
      </c>
      <c r="E76" s="18" t="n">
        <v>70.42593519</v>
      </c>
      <c r="F76" s="20" t="n">
        <v>1.78812914</v>
      </c>
      <c r="G76" s="18" t="n">
        <v>16.20235945</v>
      </c>
      <c r="H76" s="20" t="n">
        <v>1.44905378</v>
      </c>
      <c r="I76" s="18" t="s">
        <v>431</v>
      </c>
      <c r="J76" s="20" t="s">
        <v>431</v>
      </c>
      <c r="K76" s="18" t="n">
        <v>1.60173931</v>
      </c>
      <c r="L76" s="20" t="n">
        <v>0.53894007</v>
      </c>
      <c r="M76" s="18" t="n">
        <v>0.06121133</v>
      </c>
      <c r="N76" s="20" t="n">
        <v>0.06170235</v>
      </c>
      <c r="O76" s="18" t="n">
        <v>0</v>
      </c>
      <c r="P76" s="20" t="n">
        <v>0</v>
      </c>
      <c r="Q76" s="18" t="n">
        <v>11.70875473</v>
      </c>
      <c r="R76" s="20" t="n">
        <v>1.31496348</v>
      </c>
    </row>
    <row r="77" spans="1:18">
      <c r="A77" s="15" t="s">
        <v>501</v>
      </c>
      <c r="B77" s="17" t="n">
        <v>2908</v>
      </c>
      <c r="C77" s="18">
        <f>(2549.0/B77*100)</f>
        <v/>
      </c>
      <c r="D77" s="19" t="n">
        <v>359</v>
      </c>
      <c r="E77" s="18" t="n">
        <v>52.21982225</v>
      </c>
      <c r="F77" s="20" t="n">
        <v>2.95065522</v>
      </c>
      <c r="G77" s="18" t="n">
        <v>20.27504827</v>
      </c>
      <c r="H77" s="20" t="n">
        <v>2.27587101</v>
      </c>
      <c r="I77" s="18" t="s">
        <v>431</v>
      </c>
      <c r="J77" s="20" t="s">
        <v>431</v>
      </c>
      <c r="K77" s="18" t="n">
        <v>3.38303359</v>
      </c>
      <c r="L77" s="20" t="n">
        <v>0.95950972</v>
      </c>
      <c r="M77" s="18" t="n">
        <v>0.16259469</v>
      </c>
      <c r="N77" s="20" t="n">
        <v>0.17622321</v>
      </c>
      <c r="O77" s="18" t="n">
        <v>0</v>
      </c>
      <c r="P77" s="20" t="n">
        <v>0</v>
      </c>
      <c r="Q77" s="18" t="n">
        <v>23.95950121</v>
      </c>
      <c r="R77" s="20" t="n">
        <v>2.54926318</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(3646.0/B81*100)</f>
        <v/>
      </c>
      <c r="D81" s="19" t="n">
        <v>517</v>
      </c>
      <c r="E81" s="18" t="n">
        <v>77.44034261</v>
      </c>
      <c r="F81" s="20" t="n">
        <v>1.79706627</v>
      </c>
      <c r="G81" s="18" t="n">
        <v>16.74099645</v>
      </c>
      <c r="H81" s="20" t="n">
        <v>1.64363158</v>
      </c>
      <c r="I81" s="18" t="s">
        <v>431</v>
      </c>
      <c r="J81" s="20" t="s">
        <v>431</v>
      </c>
      <c r="K81" s="18" t="n">
        <v>0.0281484</v>
      </c>
      <c r="L81" s="20" t="n">
        <v>0.02052895</v>
      </c>
      <c r="M81" s="18" t="n">
        <v>0</v>
      </c>
      <c r="N81" s="20" t="n">
        <v>0</v>
      </c>
      <c r="O81" s="18" t="n">
        <v>0</v>
      </c>
      <c r="P81" s="20" t="n">
        <v>0</v>
      </c>
      <c r="Q81" s="18" t="n">
        <v>5.79051254</v>
      </c>
      <c r="R81" s="20" t="n">
        <v>1.30532594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(6505.0/B7*100)</f>
        <v/>
      </c>
      <c r="D7" s="19" t="n">
        <v>862</v>
      </c>
      <c r="E7" s="18" t="n">
        <v>50.39707515</v>
      </c>
      <c r="F7" s="20" t="n">
        <v>1.53478294</v>
      </c>
      <c r="G7" s="18" t="n">
        <v>42.96269796</v>
      </c>
      <c r="H7" s="20" t="n">
        <v>1.75408408</v>
      </c>
      <c r="I7" s="18" t="s">
        <v>431</v>
      </c>
      <c r="J7" s="20" t="s">
        <v>431</v>
      </c>
      <c r="K7" s="18" t="n">
        <v>0.84341442</v>
      </c>
      <c r="L7" s="20" t="n">
        <v>0.40933448</v>
      </c>
      <c r="M7" s="18" t="n">
        <v>0.05977749</v>
      </c>
      <c r="N7" s="20" t="n">
        <v>0.04708753</v>
      </c>
      <c r="O7" s="18" t="n">
        <v>0</v>
      </c>
      <c r="P7" s="20" t="n">
        <v>0</v>
      </c>
      <c r="Q7" s="18" t="n">
        <v>5.73703497</v>
      </c>
      <c r="R7" s="20" t="n">
        <v>0.83756243</v>
      </c>
    </row>
    <row r="8" spans="1:18">
      <c r="A8" s="15" t="s">
        <v>432</v>
      </c>
      <c r="B8" s="17" t="n">
        <v>3564</v>
      </c>
      <c r="C8" s="18">
        <f>(3115.0/B8*100)</f>
        <v/>
      </c>
      <c r="D8" s="19" t="n">
        <v>449</v>
      </c>
      <c r="E8" s="18" t="n">
        <v>58.41152357</v>
      </c>
      <c r="F8" s="20" t="n">
        <v>2.61246655</v>
      </c>
      <c r="G8" s="18" t="n">
        <v>31.49197487</v>
      </c>
      <c r="H8" s="20" t="n">
        <v>2.532917</v>
      </c>
      <c r="I8" s="18" t="s">
        <v>431</v>
      </c>
      <c r="J8" s="20" t="s">
        <v>431</v>
      </c>
      <c r="K8" s="18" t="n">
        <v>0.96985253</v>
      </c>
      <c r="L8" s="20" t="n">
        <v>0.48858822</v>
      </c>
      <c r="M8" s="18" t="n">
        <v>0</v>
      </c>
      <c r="N8" s="20" t="n">
        <v>0</v>
      </c>
      <c r="O8" s="18" t="n">
        <v>0</v>
      </c>
      <c r="P8" s="20" t="n">
        <v>0</v>
      </c>
      <c r="Q8" s="18" t="n">
        <v>9.12664904</v>
      </c>
      <c r="R8" s="20" t="n">
        <v>1.59724833</v>
      </c>
    </row>
    <row r="9" spans="1:18">
      <c r="A9" s="15" t="s">
        <v>433</v>
      </c>
      <c r="B9" s="17" t="n">
        <v>4899</v>
      </c>
      <c r="C9" s="18">
        <f>(4170.0/B9*100)</f>
        <v/>
      </c>
      <c r="D9" s="19" t="n">
        <v>729</v>
      </c>
      <c r="E9" s="18" t="n">
        <v>54.77331481</v>
      </c>
      <c r="F9" s="20" t="n">
        <v>1.81964625</v>
      </c>
      <c r="G9" s="18" t="n">
        <v>29.87688167</v>
      </c>
      <c r="H9" s="20" t="n">
        <v>1.88533371</v>
      </c>
      <c r="I9" s="18" t="s">
        <v>431</v>
      </c>
      <c r="J9" s="20" t="s">
        <v>431</v>
      </c>
      <c r="K9" s="18" t="n">
        <v>2.39358344</v>
      </c>
      <c r="L9" s="20" t="n">
        <v>0.56694171</v>
      </c>
      <c r="M9" s="18" t="n">
        <v>0.11242438</v>
      </c>
      <c r="N9" s="20" t="n">
        <v>0.11618546</v>
      </c>
      <c r="O9" s="18" t="n">
        <v>0</v>
      </c>
      <c r="P9" s="20" t="n">
        <v>0</v>
      </c>
      <c r="Q9" s="18" t="n">
        <v>12.8437957</v>
      </c>
      <c r="R9" s="20" t="n">
        <v>1.51897048</v>
      </c>
    </row>
    <row r="10" spans="1:18">
      <c r="A10" s="15" t="s">
        <v>434</v>
      </c>
      <c r="B10" s="17" t="n">
        <v>10036</v>
      </c>
      <c r="C10" s="18">
        <f>(8762.0/B10*100)</f>
        <v/>
      </c>
      <c r="D10" s="19" t="n">
        <v>1274</v>
      </c>
      <c r="E10" s="18" t="n">
        <v>49.064224</v>
      </c>
      <c r="F10" s="20" t="n">
        <v>2.00738047</v>
      </c>
      <c r="G10" s="18" t="n">
        <v>45.87346688</v>
      </c>
      <c r="H10" s="20" t="n">
        <v>1.96714279</v>
      </c>
      <c r="I10" s="18" t="s">
        <v>431</v>
      </c>
      <c r="J10" s="20" t="s">
        <v>431</v>
      </c>
      <c r="K10" s="18" t="n">
        <v>0.55098272</v>
      </c>
      <c r="L10" s="20" t="n">
        <v>0.2510796</v>
      </c>
      <c r="M10" s="18" t="n">
        <v>0.08444896</v>
      </c>
      <c r="N10" s="20" t="n">
        <v>0.08473255</v>
      </c>
      <c r="O10" s="18" t="n">
        <v>0</v>
      </c>
      <c r="P10" s="20" t="n">
        <v>0</v>
      </c>
      <c r="Q10" s="18" t="n">
        <v>4.42687745</v>
      </c>
      <c r="R10" s="20" t="n">
        <v>0.84561157</v>
      </c>
    </row>
    <row r="11" spans="1:18">
      <c r="A11" s="15" t="s">
        <v>435</v>
      </c>
      <c r="B11" s="17" t="n">
        <v>3553</v>
      </c>
      <c r="C11" s="18">
        <f>(3172.0/B11*100)</f>
        <v/>
      </c>
      <c r="D11" s="19" t="n">
        <v>381</v>
      </c>
      <c r="E11" s="18" t="n">
        <v>61.12686515</v>
      </c>
      <c r="F11" s="20" t="n">
        <v>2.80157318</v>
      </c>
      <c r="G11" s="18" t="n">
        <v>25.8873981</v>
      </c>
      <c r="H11" s="20" t="n">
        <v>2.70530704</v>
      </c>
      <c r="I11" s="18" t="s">
        <v>431</v>
      </c>
      <c r="J11" s="20" t="s">
        <v>431</v>
      </c>
      <c r="K11" s="18" t="n">
        <v>2.40278851</v>
      </c>
      <c r="L11" s="20" t="n">
        <v>1.06460357</v>
      </c>
      <c r="M11" s="18" t="n">
        <v>0.97798579</v>
      </c>
      <c r="N11" s="20" t="n">
        <v>0.63227577</v>
      </c>
      <c r="O11" s="18" t="n">
        <v>0</v>
      </c>
      <c r="P11" s="20" t="n">
        <v>0</v>
      </c>
      <c r="Q11" s="18" t="n">
        <v>9.60496245</v>
      </c>
      <c r="R11" s="20" t="n">
        <v>2.09437181</v>
      </c>
    </row>
    <row r="12" spans="1:18">
      <c r="A12" s="15" t="s">
        <v>436</v>
      </c>
      <c r="B12" s="17" t="n">
        <v>3472</v>
      </c>
      <c r="C12" s="18">
        <f>(3005.0/B12*100)</f>
        <v/>
      </c>
      <c r="D12" s="19" t="n">
        <v>467</v>
      </c>
      <c r="E12" s="18" t="n">
        <v>61.71236325</v>
      </c>
      <c r="F12" s="20" t="n">
        <v>2.23038214</v>
      </c>
      <c r="G12" s="18" t="n">
        <v>25.04674483</v>
      </c>
      <c r="H12" s="20" t="n">
        <v>1.91432575</v>
      </c>
      <c r="I12" s="18" t="s">
        <v>431</v>
      </c>
      <c r="J12" s="20" t="s">
        <v>431</v>
      </c>
      <c r="K12" s="18" t="n">
        <v>0.27897036</v>
      </c>
      <c r="L12" s="20" t="n">
        <v>0.20493814</v>
      </c>
      <c r="M12" s="18" t="n">
        <v>0.32043688</v>
      </c>
      <c r="N12" s="20" t="n">
        <v>0.2206003</v>
      </c>
      <c r="O12" s="18" t="n">
        <v>0</v>
      </c>
      <c r="P12" s="20" t="n">
        <v>0</v>
      </c>
      <c r="Q12" s="18" t="n">
        <v>12.64148469</v>
      </c>
      <c r="R12" s="20" t="n">
        <v>1.7586568</v>
      </c>
    </row>
    <row r="13" spans="1:18">
      <c r="A13" s="15" t="s">
        <v>437</v>
      </c>
      <c r="B13" s="17" t="n">
        <v>3559</v>
      </c>
      <c r="C13" s="18">
        <f>(2938.0/B13*100)</f>
        <v/>
      </c>
      <c r="D13" s="19" t="n">
        <v>621</v>
      </c>
      <c r="E13" s="18" t="n">
        <v>53.15712376</v>
      </c>
      <c r="F13" s="20" t="n">
        <v>2.36256483</v>
      </c>
      <c r="G13" s="18" t="n">
        <v>39.92506985</v>
      </c>
      <c r="H13" s="20" t="n">
        <v>2.26858851</v>
      </c>
      <c r="I13" s="18" t="s">
        <v>431</v>
      </c>
      <c r="J13" s="20" t="s">
        <v>431</v>
      </c>
      <c r="K13" s="18" t="n">
        <v>0.8928299</v>
      </c>
      <c r="L13" s="20" t="n">
        <v>0.3382115</v>
      </c>
      <c r="M13" s="18" t="n">
        <v>0</v>
      </c>
      <c r="N13" s="20" t="n">
        <v>0</v>
      </c>
      <c r="O13" s="18" t="n">
        <v>0</v>
      </c>
      <c r="P13" s="20" t="n">
        <v>0</v>
      </c>
      <c r="Q13" s="18" t="n">
        <v>6.02497649</v>
      </c>
      <c r="R13" s="20" t="n">
        <v>1.08726445</v>
      </c>
    </row>
    <row r="14" spans="1:18">
      <c r="A14" s="15" t="s">
        <v>438</v>
      </c>
      <c r="B14" s="17" t="n">
        <v>2799</v>
      </c>
      <c r="C14" s="18">
        <f>(2474.0/B14*100)</f>
        <v/>
      </c>
      <c r="D14" s="19" t="n">
        <v>325</v>
      </c>
      <c r="E14" s="18" t="n">
        <v>76.65964866</v>
      </c>
      <c r="F14" s="20" t="n">
        <v>2.52219814</v>
      </c>
      <c r="G14" s="18" t="n">
        <v>17.90440101</v>
      </c>
      <c r="H14" s="20" t="n">
        <v>2.2693233</v>
      </c>
      <c r="I14" s="18" t="s">
        <v>431</v>
      </c>
      <c r="J14" s="20" t="s">
        <v>431</v>
      </c>
      <c r="K14" s="18" t="n">
        <v>0.59018063</v>
      </c>
      <c r="L14" s="20" t="n">
        <v>0.41461949</v>
      </c>
      <c r="M14" s="18" t="n">
        <v>0.2438555</v>
      </c>
      <c r="N14" s="20" t="n">
        <v>0.24342152</v>
      </c>
      <c r="O14" s="18" t="n">
        <v>0</v>
      </c>
      <c r="P14" s="20" t="n">
        <v>0</v>
      </c>
      <c r="Q14" s="18" t="n">
        <v>4.6019142</v>
      </c>
      <c r="R14" s="20" t="n">
        <v>1.14473783</v>
      </c>
    </row>
    <row r="15" spans="1:18">
      <c r="A15" s="15" t="s">
        <v>439</v>
      </c>
      <c r="B15" s="17" t="n">
        <v>3019</v>
      </c>
      <c r="C15" s="18">
        <f>(2620.0/B15*100)</f>
        <v/>
      </c>
      <c r="D15" s="19" t="n">
        <v>399</v>
      </c>
      <c r="E15" s="18" t="n">
        <v>60.00510786</v>
      </c>
      <c r="F15" s="20" t="n">
        <v>2.41982687</v>
      </c>
      <c r="G15" s="18" t="n">
        <v>31.30933436</v>
      </c>
      <c r="H15" s="20" t="n">
        <v>2.48079387</v>
      </c>
      <c r="I15" s="18" t="s">
        <v>431</v>
      </c>
      <c r="J15" s="20" t="s">
        <v>431</v>
      </c>
      <c r="K15" s="18" t="n">
        <v>0.68927244</v>
      </c>
      <c r="L15" s="20" t="n">
        <v>0.39895514</v>
      </c>
      <c r="M15" s="18" t="n">
        <v>0</v>
      </c>
      <c r="N15" s="20" t="n">
        <v>0</v>
      </c>
      <c r="O15" s="18" t="n">
        <v>0</v>
      </c>
      <c r="P15" s="20" t="n">
        <v>0</v>
      </c>
      <c r="Q15" s="18" t="n">
        <v>7.99628534</v>
      </c>
      <c r="R15" s="20" t="n">
        <v>1.53853066</v>
      </c>
    </row>
    <row r="16" spans="1:18">
      <c r="A16" s="15" t="s">
        <v>440</v>
      </c>
      <c r="B16" s="17" t="n">
        <v>2997</v>
      </c>
      <c r="C16" s="18">
        <f>(2660.0/B16*100)</f>
        <v/>
      </c>
      <c r="D16" s="19" t="n">
        <v>337</v>
      </c>
      <c r="E16" s="18" t="n">
        <v>47.76108837</v>
      </c>
      <c r="F16" s="20" t="n">
        <v>2.90093915</v>
      </c>
      <c r="G16" s="18" t="n">
        <v>34.41911095</v>
      </c>
      <c r="H16" s="20" t="n">
        <v>2.95075537</v>
      </c>
      <c r="I16" s="18" t="s">
        <v>431</v>
      </c>
      <c r="J16" s="20" t="s">
        <v>431</v>
      </c>
      <c r="K16" s="18" t="n">
        <v>2.87268983</v>
      </c>
      <c r="L16" s="20" t="n">
        <v>0.81960138</v>
      </c>
      <c r="M16" s="18" t="n">
        <v>0</v>
      </c>
      <c r="N16" s="20" t="n">
        <v>0</v>
      </c>
      <c r="O16" s="18" t="n">
        <v>0</v>
      </c>
      <c r="P16" s="20" t="n">
        <v>0</v>
      </c>
      <c r="Q16" s="18" t="n">
        <v>14.94711085</v>
      </c>
      <c r="R16" s="20" t="n">
        <v>2.23506658</v>
      </c>
    </row>
    <row r="17" spans="1:18">
      <c r="A17" s="15" t="s">
        <v>441</v>
      </c>
      <c r="B17" s="17" t="n">
        <v>3307</v>
      </c>
      <c r="C17" s="18">
        <f>(2835.0/B17*100)</f>
        <v/>
      </c>
      <c r="D17" s="19" t="n">
        <v>472</v>
      </c>
      <c r="E17" s="18" t="n">
        <v>61.06992211</v>
      </c>
      <c r="F17" s="20" t="n">
        <v>1.98627141</v>
      </c>
      <c r="G17" s="18" t="n">
        <v>23.08546555</v>
      </c>
      <c r="H17" s="20" t="n">
        <v>1.90464488</v>
      </c>
      <c r="I17" s="18" t="s">
        <v>431</v>
      </c>
      <c r="J17" s="20" t="s">
        <v>431</v>
      </c>
      <c r="K17" s="18" t="n">
        <v>2.99056383</v>
      </c>
      <c r="L17" s="20" t="n">
        <v>1.12899037</v>
      </c>
      <c r="M17" s="18" t="n">
        <v>0</v>
      </c>
      <c r="N17" s="20" t="n">
        <v>0</v>
      </c>
      <c r="O17" s="18" t="n">
        <v>0</v>
      </c>
      <c r="P17" s="20" t="n">
        <v>0</v>
      </c>
      <c r="Q17" s="18" t="n">
        <v>12.8540485</v>
      </c>
      <c r="R17" s="20" t="n">
        <v>1.19969381</v>
      </c>
    </row>
    <row r="18" spans="1:18">
      <c r="A18" s="15" t="s">
        <v>442</v>
      </c>
      <c r="B18" s="17" t="n">
        <v>2826</v>
      </c>
      <c r="C18" s="18">
        <f>(2472.0/B18*100)</f>
        <v/>
      </c>
      <c r="D18" s="19" t="n">
        <v>354</v>
      </c>
      <c r="E18" s="18" t="n">
        <v>50.5660827</v>
      </c>
      <c r="F18" s="20" t="n">
        <v>2.6375836</v>
      </c>
      <c r="G18" s="18" t="n">
        <v>34.37440917</v>
      </c>
      <c r="H18" s="20" t="n">
        <v>3.16142454</v>
      </c>
      <c r="I18" s="18" t="s">
        <v>431</v>
      </c>
      <c r="J18" s="20" t="s">
        <v>431</v>
      </c>
      <c r="K18" s="18" t="n">
        <v>1.79394169</v>
      </c>
      <c r="L18" s="20" t="n">
        <v>0.79173764</v>
      </c>
      <c r="M18" s="18" t="n">
        <v>0</v>
      </c>
      <c r="N18" s="20" t="n">
        <v>0</v>
      </c>
      <c r="O18" s="18" t="n">
        <v>0</v>
      </c>
      <c r="P18" s="20" t="n">
        <v>0</v>
      </c>
      <c r="Q18" s="18" t="n">
        <v>13.26556644</v>
      </c>
      <c r="R18" s="20" t="n">
        <v>2.09463733</v>
      </c>
    </row>
    <row r="19" spans="1:18">
      <c r="A19" s="15" t="s">
        <v>443</v>
      </c>
      <c r="B19" s="17" t="n">
        <v>2808</v>
      </c>
      <c r="C19" s="18">
        <f>(2461.0/B19*100)</f>
        <v/>
      </c>
      <c r="D19" s="19" t="n">
        <v>347</v>
      </c>
      <c r="E19" s="18" t="n">
        <v>53.77137735</v>
      </c>
      <c r="F19" s="20" t="n">
        <v>2.65096892</v>
      </c>
      <c r="G19" s="18" t="n">
        <v>31.42916031</v>
      </c>
      <c r="H19" s="20" t="n">
        <v>2.58579444</v>
      </c>
      <c r="I19" s="18" t="s">
        <v>431</v>
      </c>
      <c r="J19" s="20" t="s">
        <v>431</v>
      </c>
      <c r="K19" s="18" t="n">
        <v>0.59588043</v>
      </c>
      <c r="L19" s="20" t="n">
        <v>0.646766</v>
      </c>
      <c r="M19" s="18" t="n">
        <v>0</v>
      </c>
      <c r="N19" s="20" t="n">
        <v>0</v>
      </c>
      <c r="O19" s="18" t="n">
        <v>0</v>
      </c>
      <c r="P19" s="20" t="n">
        <v>0</v>
      </c>
      <c r="Q19" s="18" t="n">
        <v>14.2035819</v>
      </c>
      <c r="R19" s="20" t="n">
        <v>1.63947335</v>
      </c>
    </row>
    <row r="20" spans="1:18">
      <c r="A20" s="15" t="s">
        <v>444</v>
      </c>
      <c r="B20" s="17" t="n">
        <v>1630</v>
      </c>
      <c r="C20" s="18">
        <f>(1441.0/B20*100)</f>
        <v/>
      </c>
      <c r="D20" s="19" t="n">
        <v>189</v>
      </c>
      <c r="E20" s="18" t="n">
        <v>63.61459614</v>
      </c>
      <c r="F20" s="20" t="n">
        <v>3.25749429</v>
      </c>
      <c r="G20" s="18" t="n">
        <v>30.13214223</v>
      </c>
      <c r="H20" s="20" t="n">
        <v>3.09963863</v>
      </c>
      <c r="I20" s="18" t="s">
        <v>431</v>
      </c>
      <c r="J20" s="20" t="s">
        <v>431</v>
      </c>
      <c r="K20" s="18" t="n">
        <v>1.04038962</v>
      </c>
      <c r="L20" s="20" t="n">
        <v>0.71869546</v>
      </c>
      <c r="M20" s="18" t="n">
        <v>0</v>
      </c>
      <c r="N20" s="20" t="n">
        <v>0</v>
      </c>
      <c r="O20" s="18" t="n">
        <v>0</v>
      </c>
      <c r="P20" s="20" t="n">
        <v>0</v>
      </c>
      <c r="Q20" s="18" t="n">
        <v>5.21287201</v>
      </c>
      <c r="R20" s="20" t="n">
        <v>1.66459496</v>
      </c>
    </row>
    <row r="21" spans="1:18">
      <c r="A21" s="15" t="s">
        <v>445</v>
      </c>
      <c r="B21" s="17" t="n">
        <v>2908</v>
      </c>
      <c r="C21" s="18">
        <f>(2438.0/B21*100)</f>
        <v/>
      </c>
      <c r="D21" s="19" t="n">
        <v>470</v>
      </c>
      <c r="E21" s="18" t="n">
        <v>47.61341156</v>
      </c>
      <c r="F21" s="20" t="n">
        <v>1.93148126</v>
      </c>
      <c r="G21" s="18" t="n">
        <v>47.20148208</v>
      </c>
      <c r="H21" s="20" t="n">
        <v>2.19931273</v>
      </c>
      <c r="I21" s="18" t="s">
        <v>431</v>
      </c>
      <c r="J21" s="20" t="s">
        <v>431</v>
      </c>
      <c r="K21" s="18" t="n">
        <v>1.05717422</v>
      </c>
      <c r="L21" s="20" t="n">
        <v>0.48857879</v>
      </c>
      <c r="M21" s="18" t="n">
        <v>0</v>
      </c>
      <c r="N21" s="20" t="n">
        <v>0</v>
      </c>
      <c r="O21" s="18" t="n">
        <v>0</v>
      </c>
      <c r="P21" s="20" t="n">
        <v>0</v>
      </c>
      <c r="Q21" s="18" t="n">
        <v>4.12793214</v>
      </c>
      <c r="R21" s="20" t="n">
        <v>0.93017704</v>
      </c>
    </row>
    <row r="22" spans="1:18">
      <c r="A22" s="15" t="s">
        <v>446</v>
      </c>
      <c r="B22" s="17" t="n">
        <v>2931</v>
      </c>
      <c r="C22" s="18">
        <f>(2555.0/B22*100)</f>
        <v/>
      </c>
      <c r="D22" s="19" t="n">
        <v>376</v>
      </c>
      <c r="E22" s="18" t="n">
        <v>68.26686417000001</v>
      </c>
      <c r="F22" s="20" t="n">
        <v>2.764463</v>
      </c>
      <c r="G22" s="18" t="n">
        <v>23.29062246</v>
      </c>
      <c r="H22" s="20" t="n">
        <v>2.31943959</v>
      </c>
      <c r="I22" s="18" t="s">
        <v>431</v>
      </c>
      <c r="J22" s="20" t="s">
        <v>431</v>
      </c>
      <c r="K22" s="18" t="n">
        <v>2.40686885</v>
      </c>
      <c r="L22" s="20" t="n">
        <v>0.77518707</v>
      </c>
      <c r="M22" s="18" t="n">
        <v>0</v>
      </c>
      <c r="N22" s="20" t="n">
        <v>0</v>
      </c>
      <c r="O22" s="18" t="n">
        <v>0</v>
      </c>
      <c r="P22" s="20" t="n">
        <v>0</v>
      </c>
      <c r="Q22" s="18" t="n">
        <v>6.03564452</v>
      </c>
      <c r="R22" s="20" t="n">
        <v>1.16079671</v>
      </c>
    </row>
    <row r="23" spans="1:18">
      <c r="A23" s="15" t="s">
        <v>447</v>
      </c>
      <c r="B23" s="17" t="n">
        <v>5791</v>
      </c>
      <c r="C23" s="18">
        <f>(5085.0/B23*100)</f>
        <v/>
      </c>
      <c r="D23" s="19" t="n">
        <v>706</v>
      </c>
      <c r="E23" s="18" t="n">
        <v>56.34211627</v>
      </c>
      <c r="F23" s="20" t="n">
        <v>2.67512263</v>
      </c>
      <c r="G23" s="18" t="n">
        <v>33.17676541</v>
      </c>
      <c r="H23" s="20" t="n">
        <v>2.49374438</v>
      </c>
      <c r="I23" s="18" t="s">
        <v>431</v>
      </c>
      <c r="J23" s="20" t="s">
        <v>431</v>
      </c>
      <c r="K23" s="18" t="n">
        <v>0.66079762</v>
      </c>
      <c r="L23" s="20" t="n">
        <v>0.366508</v>
      </c>
      <c r="M23" s="18" t="n">
        <v>0.189201</v>
      </c>
      <c r="N23" s="20" t="n">
        <v>0.1869606</v>
      </c>
      <c r="O23" s="18" t="n">
        <v>0</v>
      </c>
      <c r="P23" s="20" t="n">
        <v>0</v>
      </c>
      <c r="Q23" s="18" t="n">
        <v>9.631119699999999</v>
      </c>
      <c r="R23" s="20" t="n">
        <v>1.37670462</v>
      </c>
    </row>
    <row r="24" spans="1:18">
      <c r="A24" s="15" t="s">
        <v>448</v>
      </c>
      <c r="B24" s="17" t="n">
        <v>3338</v>
      </c>
      <c r="C24" s="18">
        <f>(2948.0/B24*100)</f>
        <v/>
      </c>
      <c r="D24" s="19" t="n">
        <v>390</v>
      </c>
      <c r="E24" s="18" t="n">
        <v>37.61160671</v>
      </c>
      <c r="F24" s="20" t="n">
        <v>2.55397192</v>
      </c>
      <c r="G24" s="18" t="n">
        <v>50.39665408</v>
      </c>
      <c r="H24" s="20" t="n">
        <v>3.10618097</v>
      </c>
      <c r="I24" s="18" t="s">
        <v>431</v>
      </c>
      <c r="J24" s="20" t="s">
        <v>431</v>
      </c>
      <c r="K24" s="18" t="n">
        <v>1.12766433</v>
      </c>
      <c r="L24" s="20" t="n">
        <v>0.56573246</v>
      </c>
      <c r="M24" s="18" t="n">
        <v>0</v>
      </c>
      <c r="N24" s="20" t="n">
        <v>0</v>
      </c>
      <c r="O24" s="18" t="n">
        <v>0</v>
      </c>
      <c r="P24" s="20" t="n">
        <v>0</v>
      </c>
      <c r="Q24" s="18" t="n">
        <v>10.86407488</v>
      </c>
      <c r="R24" s="20" t="n">
        <v>2.70902495</v>
      </c>
    </row>
    <row r="25" spans="1:18">
      <c r="A25" s="15" t="s">
        <v>449</v>
      </c>
      <c r="B25" s="17" t="n">
        <v>2912</v>
      </c>
      <c r="C25" s="18">
        <f>(2540.0/B25*100)</f>
        <v/>
      </c>
      <c r="D25" s="19" t="n">
        <v>372</v>
      </c>
      <c r="E25" s="18" t="n">
        <v>65.93422440000001</v>
      </c>
      <c r="F25" s="20" t="n">
        <v>2.90718076</v>
      </c>
      <c r="G25" s="18" t="n">
        <v>27.25796115</v>
      </c>
      <c r="H25" s="20" t="n">
        <v>2.81904683</v>
      </c>
      <c r="I25" s="18" t="s">
        <v>431</v>
      </c>
      <c r="J25" s="20" t="s">
        <v>431</v>
      </c>
      <c r="K25" s="18" t="n">
        <v>0.50223064</v>
      </c>
      <c r="L25" s="20" t="n">
        <v>0.35563473</v>
      </c>
      <c r="M25" s="18" t="n">
        <v>0</v>
      </c>
      <c r="N25" s="20" t="n">
        <v>0</v>
      </c>
      <c r="O25" s="18" t="n">
        <v>0</v>
      </c>
      <c r="P25" s="20" t="n">
        <v>0</v>
      </c>
      <c r="Q25" s="18" t="n">
        <v>6.30558382</v>
      </c>
      <c r="R25" s="20" t="n">
        <v>1.42064794</v>
      </c>
    </row>
    <row r="26" spans="1:18">
      <c r="A26" s="15" t="s">
        <v>450</v>
      </c>
      <c r="B26" s="17" t="n">
        <v>2450</v>
      </c>
      <c r="C26" s="18">
        <f>(2141.0/B26*100)</f>
        <v/>
      </c>
      <c r="D26" s="19" t="n">
        <v>309</v>
      </c>
      <c r="E26" s="18" t="n">
        <v>76.50788235</v>
      </c>
      <c r="F26" s="20" t="n">
        <v>2.6595802</v>
      </c>
      <c r="G26" s="18" t="n">
        <v>15.37438022</v>
      </c>
      <c r="H26" s="20" t="n">
        <v>2.11781892</v>
      </c>
      <c r="I26" s="18" t="s">
        <v>431</v>
      </c>
      <c r="J26" s="20" t="s">
        <v>431</v>
      </c>
      <c r="K26" s="18" t="n">
        <v>0.21250399</v>
      </c>
      <c r="L26" s="20" t="n">
        <v>0.21698304</v>
      </c>
      <c r="M26" s="18" t="n">
        <v>0.25228659</v>
      </c>
      <c r="N26" s="20" t="n">
        <v>0.24759198</v>
      </c>
      <c r="O26" s="18" t="n">
        <v>0</v>
      </c>
      <c r="P26" s="20" t="n">
        <v>0</v>
      </c>
      <c r="Q26" s="18" t="n">
        <v>7.65294684</v>
      </c>
      <c r="R26" s="20" t="n">
        <v>1.63950995</v>
      </c>
    </row>
    <row r="27" spans="1:18">
      <c r="A27" s="15" t="s">
        <v>451</v>
      </c>
      <c r="B27" s="17" t="n">
        <v>2616</v>
      </c>
      <c r="C27" s="18">
        <f>(2305.0/B27*100)</f>
        <v/>
      </c>
      <c r="D27" s="19" t="n">
        <v>311</v>
      </c>
      <c r="E27" s="18" t="n">
        <v>57.72666064</v>
      </c>
      <c r="F27" s="20" t="n">
        <v>2.71480732</v>
      </c>
      <c r="G27" s="18" t="n">
        <v>29.64661548</v>
      </c>
      <c r="H27" s="20" t="n">
        <v>2.33781656</v>
      </c>
      <c r="I27" s="18" t="s">
        <v>431</v>
      </c>
      <c r="J27" s="20" t="s">
        <v>431</v>
      </c>
      <c r="K27" s="18" t="n">
        <v>0.6454128099999999</v>
      </c>
      <c r="L27" s="20" t="n">
        <v>0.45825707</v>
      </c>
      <c r="M27" s="18" t="n">
        <v>0</v>
      </c>
      <c r="N27" s="20" t="n">
        <v>0</v>
      </c>
      <c r="O27" s="18" t="n">
        <v>0</v>
      </c>
      <c r="P27" s="20" t="n">
        <v>0</v>
      </c>
      <c r="Q27" s="18" t="n">
        <v>11.98131107</v>
      </c>
      <c r="R27" s="20" t="n">
        <v>1.85584755</v>
      </c>
    </row>
    <row r="28" spans="1:18">
      <c r="A28" s="15" t="s">
        <v>452</v>
      </c>
      <c r="B28" s="17" t="n">
        <v>3765</v>
      </c>
      <c r="C28" s="18">
        <f>(3335.0/B28*100)</f>
        <v/>
      </c>
      <c r="D28" s="19" t="n">
        <v>430</v>
      </c>
      <c r="E28" s="18" t="n">
        <v>78.10966795</v>
      </c>
      <c r="F28" s="20" t="n">
        <v>2.17659176</v>
      </c>
      <c r="G28" s="18" t="n">
        <v>18.11977633</v>
      </c>
      <c r="H28" s="20" t="n">
        <v>1.96830995</v>
      </c>
      <c r="I28" s="18" t="s">
        <v>431</v>
      </c>
      <c r="J28" s="20" t="s">
        <v>431</v>
      </c>
      <c r="K28" s="18" t="n">
        <v>1.30672757</v>
      </c>
      <c r="L28" s="20" t="n">
        <v>0.66414306</v>
      </c>
      <c r="M28" s="18" t="n">
        <v>0</v>
      </c>
      <c r="N28" s="20" t="n">
        <v>0</v>
      </c>
      <c r="O28" s="18" t="n">
        <v>0</v>
      </c>
      <c r="P28" s="20" t="n">
        <v>0</v>
      </c>
      <c r="Q28" s="18" t="n">
        <v>2.46382814</v>
      </c>
      <c r="R28" s="20" t="n">
        <v>0.77750471</v>
      </c>
    </row>
    <row r="29" spans="1:18">
      <c r="A29" s="15" t="s">
        <v>453</v>
      </c>
      <c r="B29" s="17" t="n">
        <v>2685</v>
      </c>
      <c r="C29" s="18">
        <f>(2296.0/B29*100)</f>
        <v/>
      </c>
      <c r="D29" s="19" t="n">
        <v>389</v>
      </c>
      <c r="E29" s="18" t="n">
        <v>56.26872245</v>
      </c>
      <c r="F29" s="20" t="n">
        <v>2.6167839</v>
      </c>
      <c r="G29" s="18" t="n">
        <v>39.74752804</v>
      </c>
      <c r="H29" s="20" t="n">
        <v>2.91932425</v>
      </c>
      <c r="I29" s="18" t="s">
        <v>431</v>
      </c>
      <c r="J29" s="20" t="s">
        <v>431</v>
      </c>
      <c r="K29" s="18" t="n">
        <v>0.48280237</v>
      </c>
      <c r="L29" s="20" t="n">
        <v>0.42326252</v>
      </c>
      <c r="M29" s="18" t="n">
        <v>0</v>
      </c>
      <c r="N29" s="20" t="n">
        <v>0</v>
      </c>
      <c r="O29" s="18" t="n">
        <v>0</v>
      </c>
      <c r="P29" s="20" t="n">
        <v>0</v>
      </c>
      <c r="Q29" s="18" t="n">
        <v>3.50094714</v>
      </c>
      <c r="R29" s="20" t="n">
        <v>1.03029354</v>
      </c>
    </row>
    <row r="30" spans="1:18">
      <c r="A30" s="15" t="s">
        <v>454</v>
      </c>
      <c r="B30" s="17" t="n">
        <v>2263</v>
      </c>
      <c r="C30" s="18">
        <f>(1997.0/B30*100)</f>
        <v/>
      </c>
      <c r="D30" s="19" t="n">
        <v>266</v>
      </c>
      <c r="E30" s="18" t="n">
        <v>47.40169102</v>
      </c>
      <c r="F30" s="20" t="n">
        <v>2.96116717</v>
      </c>
      <c r="G30" s="18" t="n">
        <v>44.72243714</v>
      </c>
      <c r="H30" s="20" t="n">
        <v>2.70642191</v>
      </c>
      <c r="I30" s="18" t="s">
        <v>431</v>
      </c>
      <c r="J30" s="20" t="s">
        <v>431</v>
      </c>
      <c r="K30" s="18" t="n">
        <v>1.71037043</v>
      </c>
      <c r="L30" s="20" t="n">
        <v>0.75589694</v>
      </c>
      <c r="M30" s="18" t="n">
        <v>0</v>
      </c>
      <c r="N30" s="20" t="n">
        <v>0</v>
      </c>
      <c r="O30" s="18" t="n">
        <v>0</v>
      </c>
      <c r="P30" s="20" t="n">
        <v>0</v>
      </c>
      <c r="Q30" s="18" t="n">
        <v>6.16550142</v>
      </c>
      <c r="R30" s="20" t="n">
        <v>1.69746712</v>
      </c>
    </row>
    <row r="31" spans="1:18">
      <c r="A31" s="15" t="s">
        <v>455</v>
      </c>
      <c r="B31" s="17" t="n">
        <v>2750</v>
      </c>
      <c r="C31" s="18">
        <f>(2424.0/B31*100)</f>
        <v/>
      </c>
      <c r="D31" s="19" t="n">
        <v>326</v>
      </c>
      <c r="E31" s="18" t="n">
        <v>44.58138419</v>
      </c>
      <c r="F31" s="20" t="n">
        <v>2.66869319</v>
      </c>
      <c r="G31" s="18" t="n">
        <v>48.89849303</v>
      </c>
      <c r="H31" s="20" t="n">
        <v>2.85718595</v>
      </c>
      <c r="I31" s="18" t="s">
        <v>431</v>
      </c>
      <c r="J31" s="20" t="s">
        <v>431</v>
      </c>
      <c r="K31" s="18" t="n">
        <v>1.81556801</v>
      </c>
      <c r="L31" s="20" t="n">
        <v>0.73520907</v>
      </c>
      <c r="M31" s="18" t="n">
        <v>0</v>
      </c>
      <c r="N31" s="20" t="n">
        <v>0</v>
      </c>
      <c r="O31" s="18" t="n">
        <v>0</v>
      </c>
      <c r="P31" s="20" t="n">
        <v>0</v>
      </c>
      <c r="Q31" s="18" t="n">
        <v>4.70455477</v>
      </c>
      <c r="R31" s="20" t="n">
        <v>1.15688893</v>
      </c>
    </row>
    <row r="32" spans="1:18">
      <c r="A32" s="15" t="s">
        <v>456</v>
      </c>
      <c r="B32" s="17" t="n">
        <v>2269</v>
      </c>
      <c r="C32" s="18">
        <f>(1905.0/B32*100)</f>
        <v/>
      </c>
      <c r="D32" s="19" t="n">
        <v>364</v>
      </c>
      <c r="E32" s="18" t="n">
        <v>64.68138551</v>
      </c>
      <c r="F32" s="20" t="n">
        <v>2.24723849</v>
      </c>
      <c r="G32" s="18" t="n">
        <v>26.96990474</v>
      </c>
      <c r="H32" s="20" t="n">
        <v>2.12824658</v>
      </c>
      <c r="I32" s="18" t="s">
        <v>431</v>
      </c>
      <c r="J32" s="20" t="s">
        <v>431</v>
      </c>
      <c r="K32" s="18" t="n">
        <v>0.73828033</v>
      </c>
      <c r="L32" s="20" t="n">
        <v>0.23756784</v>
      </c>
      <c r="M32" s="18" t="n">
        <v>0</v>
      </c>
      <c r="N32" s="20" t="n">
        <v>0</v>
      </c>
      <c r="O32" s="18" t="n">
        <v>0</v>
      </c>
      <c r="P32" s="20" t="n">
        <v>0</v>
      </c>
      <c r="Q32" s="18" t="n">
        <v>7.61042942</v>
      </c>
      <c r="R32" s="20" t="n">
        <v>1.45510424</v>
      </c>
    </row>
    <row r="33" spans="1:18">
      <c r="A33" s="15" t="s">
        <v>457</v>
      </c>
      <c r="B33" s="17" t="n">
        <v>3674</v>
      </c>
      <c r="C33" s="18">
        <f>(3248.0/B33*100)</f>
        <v/>
      </c>
      <c r="D33" s="19" t="n">
        <v>426</v>
      </c>
      <c r="E33" s="18" t="n">
        <v>61.53687423</v>
      </c>
      <c r="F33" s="20" t="n">
        <v>2.73635926</v>
      </c>
      <c r="G33" s="18" t="n">
        <v>29.46486082</v>
      </c>
      <c r="H33" s="20" t="n">
        <v>2.37453154</v>
      </c>
      <c r="I33" s="18" t="s">
        <v>431</v>
      </c>
      <c r="J33" s="20" t="s">
        <v>431</v>
      </c>
      <c r="K33" s="18" t="n">
        <v>0.17789635</v>
      </c>
      <c r="L33" s="20" t="n">
        <v>0.10559683</v>
      </c>
      <c r="M33" s="18" t="n">
        <v>0</v>
      </c>
      <c r="N33" s="20" t="n">
        <v>0</v>
      </c>
      <c r="O33" s="18" t="n">
        <v>0</v>
      </c>
      <c r="P33" s="20" t="n">
        <v>0</v>
      </c>
      <c r="Q33" s="18" t="n">
        <v>8.820368589999999</v>
      </c>
      <c r="R33" s="20" t="n">
        <v>1.47806902</v>
      </c>
    </row>
    <row r="34" spans="1:18">
      <c r="A34" s="15" t="s">
        <v>458</v>
      </c>
      <c r="B34" s="17" t="n">
        <v>3315</v>
      </c>
      <c r="C34" s="18">
        <f>(2871.0/B34*100)</f>
        <v/>
      </c>
      <c r="D34" s="19" t="n">
        <v>444</v>
      </c>
      <c r="E34" s="18" t="n">
        <v>72.33651075</v>
      </c>
      <c r="F34" s="20" t="n">
        <v>2.62380464</v>
      </c>
      <c r="G34" s="18" t="n">
        <v>15.96897841</v>
      </c>
      <c r="H34" s="20" t="n">
        <v>1.81444824</v>
      </c>
      <c r="I34" s="18" t="s">
        <v>431</v>
      </c>
      <c r="J34" s="20" t="s">
        <v>431</v>
      </c>
      <c r="K34" s="18" t="n">
        <v>0.07006698</v>
      </c>
      <c r="L34" s="20" t="n">
        <v>0.06985876000000001</v>
      </c>
      <c r="M34" s="18" t="n">
        <v>0</v>
      </c>
      <c r="N34" s="20" t="n">
        <v>0</v>
      </c>
      <c r="O34" s="18" t="n">
        <v>0</v>
      </c>
      <c r="P34" s="20" t="n">
        <v>0</v>
      </c>
      <c r="Q34" s="18" t="n">
        <v>11.62444387</v>
      </c>
      <c r="R34" s="20" t="n">
        <v>1.92126506</v>
      </c>
    </row>
    <row r="35" spans="1:18">
      <c r="A35" s="15" t="s">
        <v>459</v>
      </c>
      <c r="B35" s="17" t="n">
        <v>3505</v>
      </c>
      <c r="C35" s="18">
        <f>(2998.0/B35*100)</f>
        <v/>
      </c>
      <c r="D35" s="19" t="n">
        <v>507</v>
      </c>
      <c r="E35" s="18" t="n">
        <v>59.81261957</v>
      </c>
      <c r="F35" s="20" t="n">
        <v>2.93157193</v>
      </c>
      <c r="G35" s="18" t="n">
        <v>33.03976294</v>
      </c>
      <c r="H35" s="20" t="n">
        <v>2.83912911</v>
      </c>
      <c r="I35" s="18" t="s">
        <v>431</v>
      </c>
      <c r="J35" s="20" t="s">
        <v>431</v>
      </c>
      <c r="K35" s="18" t="n">
        <v>1.51199297</v>
      </c>
      <c r="L35" s="20" t="n">
        <v>0.63615735</v>
      </c>
      <c r="M35" s="18" t="n">
        <v>0.40342912</v>
      </c>
      <c r="N35" s="20" t="n">
        <v>0.40223793</v>
      </c>
      <c r="O35" s="18" t="n">
        <v>0</v>
      </c>
      <c r="P35" s="20" t="n">
        <v>0</v>
      </c>
      <c r="Q35" s="18" t="n">
        <v>5.23219541</v>
      </c>
      <c r="R35" s="20" t="n">
        <v>0.9318354</v>
      </c>
    </row>
    <row r="36" spans="1:18">
      <c r="A36" s="15" t="s">
        <v>460</v>
      </c>
      <c r="B36" s="17" t="n">
        <v>3332</v>
      </c>
      <c r="C36" s="18">
        <f>(2929.0/B36*100)</f>
        <v/>
      </c>
      <c r="D36" s="19" t="n">
        <v>403</v>
      </c>
      <c r="E36" s="18" t="n">
        <v>58.61241601</v>
      </c>
      <c r="F36" s="20" t="n">
        <v>2.81569238</v>
      </c>
      <c r="G36" s="18" t="n">
        <v>32.3780543</v>
      </c>
      <c r="H36" s="20" t="n">
        <v>2.49919354</v>
      </c>
      <c r="I36" s="18" t="s">
        <v>431</v>
      </c>
      <c r="J36" s="20" t="s">
        <v>431</v>
      </c>
      <c r="K36" s="18" t="n">
        <v>1.87225807</v>
      </c>
      <c r="L36" s="20" t="n">
        <v>0.72475525</v>
      </c>
      <c r="M36" s="18" t="n">
        <v>0</v>
      </c>
      <c r="N36" s="20" t="n">
        <v>0</v>
      </c>
      <c r="O36" s="18" t="n">
        <v>0</v>
      </c>
      <c r="P36" s="20" t="n">
        <v>0</v>
      </c>
      <c r="Q36" s="18" t="n">
        <v>7.13727162</v>
      </c>
      <c r="R36" s="20" t="n">
        <v>1.29033388</v>
      </c>
    </row>
    <row r="37" spans="1:18">
      <c r="A37" s="15" t="s">
        <v>461</v>
      </c>
      <c r="B37" s="17" t="n">
        <v>2727</v>
      </c>
      <c r="C37" s="18">
        <f>(2395.0/B37*100)</f>
        <v/>
      </c>
      <c r="D37" s="19" t="n">
        <v>332</v>
      </c>
      <c r="E37" s="18" t="n">
        <v>60.53077933</v>
      </c>
      <c r="F37" s="20" t="n">
        <v>2.97363879</v>
      </c>
      <c r="G37" s="18" t="n">
        <v>28.11678843</v>
      </c>
      <c r="H37" s="20" t="n">
        <v>2.5983543</v>
      </c>
      <c r="I37" s="18" t="s">
        <v>431</v>
      </c>
      <c r="J37" s="20" t="s">
        <v>431</v>
      </c>
      <c r="K37" s="18" t="n">
        <v>2.82046063</v>
      </c>
      <c r="L37" s="20" t="n">
        <v>0.90149801</v>
      </c>
      <c r="M37" s="18" t="n">
        <v>0.24017329</v>
      </c>
      <c r="N37" s="20" t="n">
        <v>0.24091743</v>
      </c>
      <c r="O37" s="18" t="n">
        <v>0</v>
      </c>
      <c r="P37" s="20" t="n">
        <v>0</v>
      </c>
      <c r="Q37" s="18" t="n">
        <v>8.291798330000001</v>
      </c>
      <c r="R37" s="20" t="n">
        <v>1.48061002</v>
      </c>
    </row>
    <row r="38" spans="1:18">
      <c r="A38" s="15" t="s">
        <v>462</v>
      </c>
      <c r="B38" s="17" t="n">
        <v>3053</v>
      </c>
      <c r="C38" s="18">
        <f>(2548.0/B38*100)</f>
        <v/>
      </c>
      <c r="D38" s="19" t="n">
        <v>505</v>
      </c>
      <c r="E38" s="18" t="n">
        <v>57.12372116</v>
      </c>
      <c r="F38" s="20" t="n">
        <v>2.35391424</v>
      </c>
      <c r="G38" s="18" t="n">
        <v>30.94172326</v>
      </c>
      <c r="H38" s="20" t="n">
        <v>2.09290139</v>
      </c>
      <c r="I38" s="18" t="s">
        <v>431</v>
      </c>
      <c r="J38" s="20" t="s">
        <v>431</v>
      </c>
      <c r="K38" s="18" t="n">
        <v>2.08882301</v>
      </c>
      <c r="L38" s="20" t="n">
        <v>0.76672107</v>
      </c>
      <c r="M38" s="18" t="n">
        <v>0</v>
      </c>
      <c r="N38" s="20" t="n">
        <v>0</v>
      </c>
      <c r="O38" s="18" t="n">
        <v>0</v>
      </c>
      <c r="P38" s="20" t="n">
        <v>0</v>
      </c>
      <c r="Q38" s="18" t="n">
        <v>9.845732569999999</v>
      </c>
      <c r="R38" s="20" t="n">
        <v>1.37156012</v>
      </c>
    </row>
    <row r="39" spans="1:18">
      <c r="A39" s="15" t="s">
        <v>463</v>
      </c>
      <c r="B39" s="17" t="n">
        <v>2957</v>
      </c>
      <c r="C39" s="18">
        <f>(2595.0/B39*100)</f>
        <v/>
      </c>
      <c r="D39" s="19" t="n">
        <v>362</v>
      </c>
      <c r="E39" s="18" t="n">
        <v>73.32320129999999</v>
      </c>
      <c r="F39" s="20" t="n">
        <v>2.70004532</v>
      </c>
      <c r="G39" s="18" t="n">
        <v>16.90962231</v>
      </c>
      <c r="H39" s="20" t="n">
        <v>2.3341237</v>
      </c>
      <c r="I39" s="18" t="s">
        <v>431</v>
      </c>
      <c r="J39" s="20" t="s">
        <v>431</v>
      </c>
      <c r="K39" s="18" t="n">
        <v>1.06046194</v>
      </c>
      <c r="L39" s="20" t="n">
        <v>0.6946297</v>
      </c>
      <c r="M39" s="18" t="n">
        <v>0</v>
      </c>
      <c r="N39" s="20" t="n">
        <v>0</v>
      </c>
      <c r="O39" s="18" t="n">
        <v>0</v>
      </c>
      <c r="P39" s="20" t="n">
        <v>0</v>
      </c>
      <c r="Q39" s="18" t="n">
        <v>8.70671445</v>
      </c>
      <c r="R39" s="20" t="n">
        <v>1.67622696</v>
      </c>
    </row>
    <row r="40" spans="1:18">
      <c r="A40" s="15" t="s">
        <v>464</v>
      </c>
      <c r="B40" s="17" t="n">
        <v>7235</v>
      </c>
      <c r="C40" s="18">
        <f>(6385.0/B40*100)</f>
        <v/>
      </c>
      <c r="D40" s="19" t="n">
        <v>850</v>
      </c>
      <c r="E40" s="18" t="n">
        <v>40.75801548</v>
      </c>
      <c r="F40" s="20" t="n">
        <v>2.68857303</v>
      </c>
      <c r="G40" s="18" t="n">
        <v>49.41313719</v>
      </c>
      <c r="H40" s="20" t="n">
        <v>2.40471916</v>
      </c>
      <c r="I40" s="18" t="s">
        <v>431</v>
      </c>
      <c r="J40" s="20" t="s">
        <v>431</v>
      </c>
      <c r="K40" s="18" t="n">
        <v>1.30927889</v>
      </c>
      <c r="L40" s="20" t="n">
        <v>0.69873598</v>
      </c>
      <c r="M40" s="18" t="n">
        <v>0.49177175</v>
      </c>
      <c r="N40" s="20" t="n">
        <v>0.43645736</v>
      </c>
      <c r="O40" s="18" t="n">
        <v>0</v>
      </c>
      <c r="P40" s="20" t="n">
        <v>0</v>
      </c>
      <c r="Q40" s="18" t="n">
        <v>8.02779668</v>
      </c>
      <c r="R40" s="20" t="n">
        <v>1.46461359</v>
      </c>
    </row>
    <row r="41" spans="1:18">
      <c r="A41" s="15" t="s">
        <v>465</v>
      </c>
      <c r="B41" s="17" t="n">
        <v>2858</v>
      </c>
      <c r="C41" s="18">
        <f>(2495.0/B41*100)</f>
        <v/>
      </c>
      <c r="D41" s="19" t="n">
        <v>363</v>
      </c>
      <c r="E41" s="18" t="n">
        <v>58.19379916</v>
      </c>
      <c r="F41" s="20" t="n">
        <v>2.78530207</v>
      </c>
      <c r="G41" s="18" t="n">
        <v>39.04025649</v>
      </c>
      <c r="H41" s="20" t="n">
        <v>2.59085085</v>
      </c>
      <c r="I41" s="18" t="s">
        <v>431</v>
      </c>
      <c r="J41" s="20" t="s">
        <v>431</v>
      </c>
      <c r="K41" s="18" t="n">
        <v>0.56864815</v>
      </c>
      <c r="L41" s="20" t="n">
        <v>0.40485431</v>
      </c>
      <c r="M41" s="18" t="n">
        <v>0</v>
      </c>
      <c r="N41" s="20" t="n">
        <v>0</v>
      </c>
      <c r="O41" s="18" t="n">
        <v>0</v>
      </c>
      <c r="P41" s="20" t="n">
        <v>0</v>
      </c>
      <c r="Q41" s="18" t="n">
        <v>2.19729619</v>
      </c>
      <c r="R41" s="20" t="n">
        <v>0.79390892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(10112.0/B46*100)</f>
        <v/>
      </c>
      <c r="D46" s="19" t="n">
        <v>956</v>
      </c>
      <c r="E46" s="18" t="n">
        <v>63.69991631</v>
      </c>
      <c r="F46" s="20" t="n">
        <v>2.2746372</v>
      </c>
      <c r="G46" s="18" t="n">
        <v>22.23148942</v>
      </c>
      <c r="H46" s="20" t="n">
        <v>1.82393249</v>
      </c>
      <c r="I46" s="18" t="s">
        <v>431</v>
      </c>
      <c r="J46" s="20" t="s">
        <v>431</v>
      </c>
      <c r="K46" s="18" t="n">
        <v>2.32862227</v>
      </c>
      <c r="L46" s="20" t="n">
        <v>0.69758701</v>
      </c>
      <c r="M46" s="18" t="n">
        <v>0.21919189</v>
      </c>
      <c r="N46" s="20" t="n">
        <v>0.17045833</v>
      </c>
      <c r="O46" s="18" t="n">
        <v>0</v>
      </c>
      <c r="P46" s="20" t="n">
        <v>0</v>
      </c>
      <c r="Q46" s="18" t="n">
        <v>11.52078011</v>
      </c>
      <c r="R46" s="20" t="n">
        <v>1.4684831</v>
      </c>
    </row>
    <row r="47" spans="1:18">
      <c r="A47" s="15" t="s">
        <v>471</v>
      </c>
      <c r="B47" s="17" t="n">
        <v>3105</v>
      </c>
      <c r="C47" s="18">
        <f>(2766.0/B47*100)</f>
        <v/>
      </c>
      <c r="D47" s="19" t="n">
        <v>339</v>
      </c>
      <c r="E47" s="18" t="n">
        <v>58.66876831</v>
      </c>
      <c r="F47" s="20" t="n">
        <v>3.2258092</v>
      </c>
      <c r="G47" s="18" t="n">
        <v>22.06645216</v>
      </c>
      <c r="H47" s="20" t="n">
        <v>2.69773361</v>
      </c>
      <c r="I47" s="18" t="s">
        <v>431</v>
      </c>
      <c r="J47" s="20" t="s">
        <v>431</v>
      </c>
      <c r="K47" s="18" t="n">
        <v>0.30860162</v>
      </c>
      <c r="L47" s="20" t="n">
        <v>0.30781133</v>
      </c>
      <c r="M47" s="18" t="n">
        <v>0</v>
      </c>
      <c r="N47" s="20" t="n">
        <v>0</v>
      </c>
      <c r="O47" s="18" t="n">
        <v>0</v>
      </c>
      <c r="P47" s="20" t="n">
        <v>0</v>
      </c>
      <c r="Q47" s="18" t="n">
        <v>18.95617792</v>
      </c>
      <c r="R47" s="20" t="n">
        <v>2.20018485</v>
      </c>
    </row>
    <row r="48" spans="1:18">
      <c r="A48" s="15" t="s">
        <v>472</v>
      </c>
      <c r="B48" s="17" t="n">
        <v>5159</v>
      </c>
      <c r="C48" s="18">
        <f>(4528.0/B48*100)</f>
        <v/>
      </c>
      <c r="D48" s="19" t="n">
        <v>631</v>
      </c>
      <c r="E48" s="18" t="n">
        <v>66.66751146999999</v>
      </c>
      <c r="F48" s="20" t="n">
        <v>2.76849941</v>
      </c>
      <c r="G48" s="18" t="n">
        <v>22.50389822</v>
      </c>
      <c r="H48" s="20" t="n">
        <v>2.28442761</v>
      </c>
      <c r="I48" s="18" t="s">
        <v>431</v>
      </c>
      <c r="J48" s="20" t="s">
        <v>431</v>
      </c>
      <c r="K48" s="18" t="n">
        <v>1.41367807</v>
      </c>
      <c r="L48" s="20" t="n">
        <v>0.8378189</v>
      </c>
      <c r="M48" s="18" t="n">
        <v>0</v>
      </c>
      <c r="N48" s="20" t="n">
        <v>0</v>
      </c>
      <c r="O48" s="18" t="n">
        <v>0</v>
      </c>
      <c r="P48" s="20" t="n">
        <v>0</v>
      </c>
      <c r="Q48" s="18" t="n">
        <v>9.41491225</v>
      </c>
      <c r="R48" s="20" t="n">
        <v>1.80192734</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(5002.0/B50*100)</f>
        <v/>
      </c>
      <c r="D50" s="19" t="n">
        <v>635</v>
      </c>
      <c r="E50" s="18" t="n">
        <v>74.03443301999999</v>
      </c>
      <c r="F50" s="20" t="n">
        <v>2.35244453</v>
      </c>
      <c r="G50" s="18" t="n">
        <v>16.59502197</v>
      </c>
      <c r="H50" s="20" t="n">
        <v>1.99483158</v>
      </c>
      <c r="I50" s="18" t="s">
        <v>431</v>
      </c>
      <c r="J50" s="20" t="s">
        <v>431</v>
      </c>
      <c r="K50" s="18" t="n">
        <v>2.60282112</v>
      </c>
      <c r="L50" s="20" t="n">
        <v>0.8706477500000001</v>
      </c>
      <c r="M50" s="18" t="n">
        <v>0</v>
      </c>
      <c r="N50" s="20" t="n">
        <v>0</v>
      </c>
      <c r="O50" s="18" t="n">
        <v>0</v>
      </c>
      <c r="P50" s="20" t="n">
        <v>0</v>
      </c>
      <c r="Q50" s="18" t="n">
        <v>6.76772389</v>
      </c>
      <c r="R50" s="20" t="n">
        <v>1.30602592</v>
      </c>
    </row>
    <row r="51" spans="1:18">
      <c r="A51" s="15" t="s">
        <v>475</v>
      </c>
      <c r="B51" s="17" t="n">
        <v>3372</v>
      </c>
      <c r="C51" s="18">
        <f>(2688.0/B51*100)</f>
        <v/>
      </c>
      <c r="D51" s="19" t="n">
        <v>684</v>
      </c>
      <c r="E51" s="18" t="n">
        <v>81.8453221</v>
      </c>
      <c r="F51" s="20" t="n">
        <v>1.60458424</v>
      </c>
      <c r="G51" s="18" t="n">
        <v>12.59559733</v>
      </c>
      <c r="H51" s="20" t="n">
        <v>1.52440716</v>
      </c>
      <c r="I51" s="18" t="s">
        <v>431</v>
      </c>
      <c r="J51" s="20" t="s">
        <v>431</v>
      </c>
      <c r="K51" s="18" t="n">
        <v>0.59080607</v>
      </c>
      <c r="L51" s="20" t="n">
        <v>0.32999988</v>
      </c>
      <c r="M51" s="18" t="n">
        <v>0</v>
      </c>
      <c r="N51" s="20" t="n">
        <v>0</v>
      </c>
      <c r="O51" s="18" t="n">
        <v>0</v>
      </c>
      <c r="P51" s="20" t="n">
        <v>0</v>
      </c>
      <c r="Q51" s="18" t="n">
        <v>4.9682745</v>
      </c>
      <c r="R51" s="20" t="n">
        <v>0.9399642</v>
      </c>
    </row>
    <row r="52" spans="1:18">
      <c r="A52" s="15" t="s">
        <v>476</v>
      </c>
      <c r="B52" s="17" t="n">
        <v>2796</v>
      </c>
      <c r="C52" s="18">
        <f>(2453.0/B52*100)</f>
        <v/>
      </c>
      <c r="D52" s="19" t="n">
        <v>343</v>
      </c>
      <c r="E52" s="18" t="n">
        <v>64.35648311</v>
      </c>
      <c r="F52" s="20" t="n">
        <v>2.84523359</v>
      </c>
      <c r="G52" s="18" t="n">
        <v>24.45722143</v>
      </c>
      <c r="H52" s="20" t="n">
        <v>2.43643861</v>
      </c>
      <c r="I52" s="18" t="s">
        <v>431</v>
      </c>
      <c r="J52" s="20" t="s">
        <v>431</v>
      </c>
      <c r="K52" s="18" t="n">
        <v>0.26711987</v>
      </c>
      <c r="L52" s="20" t="n">
        <v>0.26653492</v>
      </c>
      <c r="M52" s="18" t="n">
        <v>0</v>
      </c>
      <c r="N52" s="20" t="n">
        <v>0</v>
      </c>
      <c r="O52" s="18" t="n">
        <v>0</v>
      </c>
      <c r="P52" s="20" t="n">
        <v>0</v>
      </c>
      <c r="Q52" s="18" t="n">
        <v>10.91917558</v>
      </c>
      <c r="R52" s="20" t="n">
        <v>1.69655392</v>
      </c>
    </row>
    <row r="53" spans="1:18">
      <c r="A53" s="15" t="s">
        <v>477</v>
      </c>
      <c r="B53" s="17" t="n">
        <v>2811</v>
      </c>
      <c r="C53" s="18">
        <f>(2475.0/B53*100)</f>
        <v/>
      </c>
      <c r="D53" s="19" t="n">
        <v>336</v>
      </c>
      <c r="E53" s="18" t="n">
        <v>56.03132695</v>
      </c>
      <c r="F53" s="20" t="n">
        <v>2.98756359</v>
      </c>
      <c r="G53" s="18" t="n">
        <v>28.17389678</v>
      </c>
      <c r="H53" s="20" t="n">
        <v>2.48281088</v>
      </c>
      <c r="I53" s="18" t="s">
        <v>431</v>
      </c>
      <c r="J53" s="20" t="s">
        <v>431</v>
      </c>
      <c r="K53" s="18" t="n">
        <v>1.26789691</v>
      </c>
      <c r="L53" s="20" t="n">
        <v>0.65200096</v>
      </c>
      <c r="M53" s="18" t="n">
        <v>0</v>
      </c>
      <c r="N53" s="20" t="n">
        <v>0</v>
      </c>
      <c r="O53" s="18" t="n">
        <v>0</v>
      </c>
      <c r="P53" s="20" t="n">
        <v>0</v>
      </c>
      <c r="Q53" s="18" t="n">
        <v>14.52687937</v>
      </c>
      <c r="R53" s="20" t="n">
        <v>1.91164512</v>
      </c>
    </row>
    <row r="54" spans="1:18">
      <c r="A54" s="15" t="s">
        <v>478</v>
      </c>
      <c r="B54" s="17" t="n">
        <v>2266</v>
      </c>
      <c r="C54" s="18">
        <f>(1906.0/B54*100)</f>
        <v/>
      </c>
      <c r="D54" s="19" t="n">
        <v>360</v>
      </c>
      <c r="E54" s="18" t="n">
        <v>52.23735321</v>
      </c>
      <c r="F54" s="20" t="n">
        <v>2.81266349</v>
      </c>
      <c r="G54" s="18" t="n">
        <v>17.41311651</v>
      </c>
      <c r="H54" s="20" t="n">
        <v>1.89315487</v>
      </c>
      <c r="I54" s="18" t="s">
        <v>431</v>
      </c>
      <c r="J54" s="20" t="s">
        <v>431</v>
      </c>
      <c r="K54" s="18" t="n">
        <v>16.34513604</v>
      </c>
      <c r="L54" s="20" t="n">
        <v>2.09954449</v>
      </c>
      <c r="M54" s="18" t="n">
        <v>0.55140993</v>
      </c>
      <c r="N54" s="20" t="n">
        <v>0.42782669</v>
      </c>
      <c r="O54" s="18" t="n">
        <v>0</v>
      </c>
      <c r="P54" s="20" t="n">
        <v>0</v>
      </c>
      <c r="Q54" s="18" t="n">
        <v>13.4529843</v>
      </c>
      <c r="R54" s="20" t="n">
        <v>1.73161369</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(2347.0/B56*100)</f>
        <v/>
      </c>
      <c r="D56" s="19" t="n">
        <v>337</v>
      </c>
      <c r="E56" s="18" t="n">
        <v>65.15645354999999</v>
      </c>
      <c r="F56" s="20" t="n">
        <v>2.73299661</v>
      </c>
      <c r="G56" s="18" t="n">
        <v>29.59298557</v>
      </c>
      <c r="H56" s="20" t="n">
        <v>2.66440894</v>
      </c>
      <c r="I56" s="18" t="s">
        <v>431</v>
      </c>
      <c r="J56" s="20" t="s">
        <v>431</v>
      </c>
      <c r="K56" s="18" t="n">
        <v>1.15859118</v>
      </c>
      <c r="L56" s="20" t="n">
        <v>0.58212518</v>
      </c>
      <c r="M56" s="18" t="n">
        <v>0</v>
      </c>
      <c r="N56" s="20" t="n">
        <v>0</v>
      </c>
      <c r="O56" s="18" t="n">
        <v>0</v>
      </c>
      <c r="P56" s="20" t="n">
        <v>0</v>
      </c>
      <c r="Q56" s="18" t="n">
        <v>4.0919697</v>
      </c>
      <c r="R56" s="20" t="n">
        <v>0.88777884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(2945.0/B61*100)</f>
        <v/>
      </c>
      <c r="D61" s="19" t="n">
        <v>379</v>
      </c>
      <c r="E61" s="18" t="n">
        <v>72.19592174</v>
      </c>
      <c r="F61" s="20" t="n">
        <v>2.64258677</v>
      </c>
      <c r="G61" s="18" t="n">
        <v>18.00552671</v>
      </c>
      <c r="H61" s="20" t="n">
        <v>2.53032701</v>
      </c>
      <c r="I61" s="18" t="s">
        <v>431</v>
      </c>
      <c r="J61" s="20" t="s">
        <v>431</v>
      </c>
      <c r="K61" s="18" t="n">
        <v>0.39154079</v>
      </c>
      <c r="L61" s="20" t="n">
        <v>0.34688173</v>
      </c>
      <c r="M61" s="18" t="n">
        <v>0</v>
      </c>
      <c r="N61" s="20" t="n">
        <v>0</v>
      </c>
      <c r="O61" s="18" t="n">
        <v>0</v>
      </c>
      <c r="P61" s="20" t="n">
        <v>0</v>
      </c>
      <c r="Q61" s="18" t="n">
        <v>9.407010769999999</v>
      </c>
      <c r="R61" s="20" t="n">
        <v>1.6955304</v>
      </c>
    </row>
    <row r="62" spans="1:18">
      <c r="A62" s="15" t="s">
        <v>486</v>
      </c>
      <c r="B62" s="17" t="n">
        <v>2246</v>
      </c>
      <c r="C62" s="18">
        <f>(1967.0/B62*100)</f>
        <v/>
      </c>
      <c r="D62" s="19" t="n">
        <v>279</v>
      </c>
      <c r="E62" s="18" t="n">
        <v>74.84331851</v>
      </c>
      <c r="F62" s="20" t="n">
        <v>2.58644881</v>
      </c>
      <c r="G62" s="18" t="n">
        <v>22.27245715</v>
      </c>
      <c r="H62" s="20" t="n">
        <v>2.36854141</v>
      </c>
      <c r="I62" s="18" t="s">
        <v>431</v>
      </c>
      <c r="J62" s="20" t="s">
        <v>431</v>
      </c>
      <c r="K62" s="18" t="n">
        <v>0.36838918</v>
      </c>
      <c r="L62" s="20" t="n">
        <v>0.36597271</v>
      </c>
      <c r="M62" s="18" t="n">
        <v>0</v>
      </c>
      <c r="N62" s="20" t="n">
        <v>0</v>
      </c>
      <c r="O62" s="18" t="n">
        <v>0</v>
      </c>
      <c r="P62" s="20" t="n">
        <v>0</v>
      </c>
      <c r="Q62" s="18" t="n">
        <v>2.51583517</v>
      </c>
      <c r="R62" s="20" t="n">
        <v>0.93720916</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(2555.0/B66*100)</f>
        <v/>
      </c>
      <c r="D66" s="19" t="n">
        <v>339</v>
      </c>
      <c r="E66" s="18" t="n">
        <v>50.88045569</v>
      </c>
      <c r="F66" s="20" t="n">
        <v>2.61300694</v>
      </c>
      <c r="G66" s="18" t="n">
        <v>16.82353385</v>
      </c>
      <c r="H66" s="20" t="n">
        <v>2.09781715</v>
      </c>
      <c r="I66" s="18" t="s">
        <v>431</v>
      </c>
      <c r="J66" s="20" t="s">
        <v>431</v>
      </c>
      <c r="K66" s="18" t="n">
        <v>3.44833453</v>
      </c>
      <c r="L66" s="20" t="n">
        <v>1.18321573</v>
      </c>
      <c r="M66" s="18" t="n">
        <v>0.27460661</v>
      </c>
      <c r="N66" s="20" t="n">
        <v>0.27286475</v>
      </c>
      <c r="O66" s="18" t="n">
        <v>0</v>
      </c>
      <c r="P66" s="20" t="n">
        <v>0</v>
      </c>
      <c r="Q66" s="18" t="n">
        <v>28.57306932</v>
      </c>
      <c r="R66" s="20" t="n">
        <v>2.54261935</v>
      </c>
    </row>
    <row r="67" spans="1:18">
      <c r="A67" s="15" t="s">
        <v>491</v>
      </c>
      <c r="B67" s="17" t="n">
        <v>3511</v>
      </c>
      <c r="C67" s="18">
        <f>(3166.0/B67*100)</f>
        <v/>
      </c>
      <c r="D67" s="19" t="n">
        <v>345</v>
      </c>
      <c r="E67" s="18" t="n">
        <v>77.51139155</v>
      </c>
      <c r="F67" s="20" t="n">
        <v>2.5825774</v>
      </c>
      <c r="G67" s="18" t="n">
        <v>13.82214638</v>
      </c>
      <c r="H67" s="20" t="n">
        <v>1.94405603</v>
      </c>
      <c r="I67" s="18" t="s">
        <v>431</v>
      </c>
      <c r="J67" s="20" t="s">
        <v>431</v>
      </c>
      <c r="K67" s="18" t="n">
        <v>0.73512718</v>
      </c>
      <c r="L67" s="20" t="n">
        <v>0.42152095</v>
      </c>
      <c r="M67" s="18" t="n">
        <v>0</v>
      </c>
      <c r="N67" s="20" t="n">
        <v>0</v>
      </c>
      <c r="O67" s="18" t="n">
        <v>0</v>
      </c>
      <c r="P67" s="20" t="n">
        <v>0</v>
      </c>
      <c r="Q67" s="18" t="n">
        <v>7.93133489</v>
      </c>
      <c r="R67" s="20" t="n">
        <v>1.67145331</v>
      </c>
    </row>
    <row r="68" spans="1:18">
      <c r="A68" s="15" t="s">
        <v>492</v>
      </c>
      <c r="B68" s="17" t="n">
        <v>6049</v>
      </c>
      <c r="C68" s="18">
        <f>(5038.0/B68*100)</f>
        <v/>
      </c>
      <c r="D68" s="19" t="n">
        <v>1011</v>
      </c>
      <c r="E68" s="18" t="n">
        <v>62.24633263</v>
      </c>
      <c r="F68" s="20" t="n">
        <v>1.40735335</v>
      </c>
      <c r="G68" s="18" t="n">
        <v>16.12755827</v>
      </c>
      <c r="H68" s="20" t="n">
        <v>1.14296844</v>
      </c>
      <c r="I68" s="18" t="s">
        <v>431</v>
      </c>
      <c r="J68" s="20" t="s">
        <v>431</v>
      </c>
      <c r="K68" s="18" t="n">
        <v>6.65113601</v>
      </c>
      <c r="L68" s="20" t="n">
        <v>0.8005773</v>
      </c>
      <c r="M68" s="18" t="n">
        <v>0.09519651</v>
      </c>
      <c r="N68" s="20" t="n">
        <v>0.09546228</v>
      </c>
      <c r="O68" s="18" t="n">
        <v>0</v>
      </c>
      <c r="P68" s="20" t="n">
        <v>0</v>
      </c>
      <c r="Q68" s="18" t="n">
        <v>14.87977657</v>
      </c>
      <c r="R68" s="20" t="n">
        <v>1.1872751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(2593.0/B70*100)</f>
        <v/>
      </c>
      <c r="D70" s="19" t="n">
        <v>336</v>
      </c>
      <c r="E70" s="18" t="n">
        <v>70.45071082</v>
      </c>
      <c r="F70" s="20" t="n">
        <v>2.80044784</v>
      </c>
      <c r="G70" s="18" t="n">
        <v>18.8873991</v>
      </c>
      <c r="H70" s="20" t="n">
        <v>2.53377985</v>
      </c>
      <c r="I70" s="18" t="s">
        <v>431</v>
      </c>
      <c r="J70" s="20" t="s">
        <v>431</v>
      </c>
      <c r="K70" s="18" t="n">
        <v>0</v>
      </c>
      <c r="L70" s="20" t="n">
        <v>0</v>
      </c>
      <c r="M70" s="18" t="n">
        <v>0</v>
      </c>
      <c r="N70" s="20" t="n">
        <v>0</v>
      </c>
      <c r="O70" s="18" t="n">
        <v>0</v>
      </c>
      <c r="P70" s="20" t="n">
        <v>0</v>
      </c>
      <c r="Q70" s="18" t="n">
        <v>10.66189008</v>
      </c>
      <c r="R70" s="20" t="n">
        <v>1.68742103</v>
      </c>
    </row>
    <row r="71" spans="1:18">
      <c r="A71" s="15" t="s">
        <v>495</v>
      </c>
      <c r="B71" s="17" t="n">
        <v>3142</v>
      </c>
      <c r="C71" s="18">
        <f>(2755.0/B71*100)</f>
        <v/>
      </c>
      <c r="D71" s="19" t="n">
        <v>387</v>
      </c>
      <c r="E71" s="18" t="n">
        <v>52.00295428</v>
      </c>
      <c r="F71" s="20" t="n">
        <v>2.49459265</v>
      </c>
      <c r="G71" s="18" t="n">
        <v>43.79496144</v>
      </c>
      <c r="H71" s="20" t="n">
        <v>2.50272794</v>
      </c>
      <c r="I71" s="18" t="s">
        <v>431</v>
      </c>
      <c r="J71" s="20" t="s">
        <v>431</v>
      </c>
      <c r="K71" s="18" t="n">
        <v>0.78043755</v>
      </c>
      <c r="L71" s="20" t="n">
        <v>0.46295356</v>
      </c>
      <c r="M71" s="18" t="n">
        <v>0</v>
      </c>
      <c r="N71" s="20" t="n">
        <v>0</v>
      </c>
      <c r="O71" s="18" t="n">
        <v>0</v>
      </c>
      <c r="P71" s="20" t="n">
        <v>0</v>
      </c>
      <c r="Q71" s="18" t="n">
        <v>3.42164673</v>
      </c>
      <c r="R71" s="20" t="n">
        <v>0.98393778</v>
      </c>
    </row>
    <row r="72" spans="1:18">
      <c r="A72" s="15" t="s">
        <v>496</v>
      </c>
      <c r="B72" s="17" t="n">
        <v>3889</v>
      </c>
      <c r="C72" s="18">
        <f>(3409.0/B72*100)</f>
        <v/>
      </c>
      <c r="D72" s="19" t="n">
        <v>480</v>
      </c>
      <c r="E72" s="18" t="n">
        <v>64.03711009</v>
      </c>
      <c r="F72" s="20" t="n">
        <v>2.37147974</v>
      </c>
      <c r="G72" s="18" t="n">
        <v>29.81743527</v>
      </c>
      <c r="H72" s="20" t="n">
        <v>2.22725099</v>
      </c>
      <c r="I72" s="18" t="s">
        <v>431</v>
      </c>
      <c r="J72" s="20" t="s">
        <v>431</v>
      </c>
      <c r="K72" s="18" t="n">
        <v>0</v>
      </c>
      <c r="L72" s="20" t="n">
        <v>0</v>
      </c>
      <c r="M72" s="18" t="n">
        <v>0</v>
      </c>
      <c r="N72" s="20" t="n">
        <v>0</v>
      </c>
      <c r="O72" s="18" t="n">
        <v>0</v>
      </c>
      <c r="P72" s="20" t="n">
        <v>0</v>
      </c>
      <c r="Q72" s="18" t="n">
        <v>6.14545464</v>
      </c>
      <c r="R72" s="20" t="n">
        <v>1.05475915</v>
      </c>
    </row>
    <row r="73" spans="1:18">
      <c r="A73" s="15" t="s">
        <v>497</v>
      </c>
      <c r="B73" s="17" t="n">
        <v>3597</v>
      </c>
      <c r="C73" s="18">
        <f>(3185.0/B73*100)</f>
        <v/>
      </c>
      <c r="D73" s="19" t="n">
        <v>412</v>
      </c>
      <c r="E73" s="18" t="n">
        <v>83.57694154000001</v>
      </c>
      <c r="F73" s="20" t="n">
        <v>2.3628886</v>
      </c>
      <c r="G73" s="18" t="n">
        <v>13.82655685</v>
      </c>
      <c r="H73" s="20" t="n">
        <v>2.15878184</v>
      </c>
      <c r="I73" s="18" t="s">
        <v>431</v>
      </c>
      <c r="J73" s="20" t="s">
        <v>431</v>
      </c>
      <c r="K73" s="18" t="n">
        <v>0.68644912</v>
      </c>
      <c r="L73" s="20" t="n">
        <v>0.49034147</v>
      </c>
      <c r="M73" s="18" t="n">
        <v>0</v>
      </c>
      <c r="N73" s="20" t="n">
        <v>0</v>
      </c>
      <c r="O73" s="18" t="n">
        <v>0</v>
      </c>
      <c r="P73" s="20" t="n">
        <v>0</v>
      </c>
      <c r="Q73" s="18" t="n">
        <v>1.91005249</v>
      </c>
      <c r="R73" s="20" t="n">
        <v>0.89229025</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(2141.0/B75*100)</f>
        <v/>
      </c>
      <c r="D75" s="19" t="n">
        <v>265</v>
      </c>
      <c r="E75" s="18" t="n">
        <v>62.85681764</v>
      </c>
      <c r="F75" s="20" t="n">
        <v>3.2564996</v>
      </c>
      <c r="G75" s="18" t="n">
        <v>10.71769504</v>
      </c>
      <c r="H75" s="20" t="n">
        <v>2.02802079</v>
      </c>
      <c r="I75" s="18" t="s">
        <v>431</v>
      </c>
      <c r="J75" s="20" t="s">
        <v>431</v>
      </c>
      <c r="K75" s="18" t="n">
        <v>3.67404075</v>
      </c>
      <c r="L75" s="20" t="n">
        <v>1.27842521</v>
      </c>
      <c r="M75" s="18" t="n">
        <v>0</v>
      </c>
      <c r="N75" s="20" t="n">
        <v>0</v>
      </c>
      <c r="O75" s="18" t="n">
        <v>0</v>
      </c>
      <c r="P75" s="20" t="n">
        <v>0</v>
      </c>
      <c r="Q75" s="18" t="n">
        <v>22.75144657</v>
      </c>
      <c r="R75" s="20" t="n">
        <v>3.069151</v>
      </c>
    </row>
    <row r="76" spans="1:18">
      <c r="A76" s="15" t="s">
        <v>500</v>
      </c>
      <c r="B76" s="17" t="n">
        <v>7052</v>
      </c>
      <c r="C76" s="18">
        <f>(6200.0/B76*100)</f>
        <v/>
      </c>
      <c r="D76" s="19" t="n">
        <v>852</v>
      </c>
      <c r="E76" s="18" t="n">
        <v>66.14258506</v>
      </c>
      <c r="F76" s="20" t="n">
        <v>1.84021467</v>
      </c>
      <c r="G76" s="18" t="n">
        <v>24.11437925</v>
      </c>
      <c r="H76" s="20" t="n">
        <v>1.58932364</v>
      </c>
      <c r="I76" s="18" t="s">
        <v>431</v>
      </c>
      <c r="J76" s="20" t="s">
        <v>431</v>
      </c>
      <c r="K76" s="18" t="n">
        <v>1.81817388</v>
      </c>
      <c r="L76" s="20" t="n">
        <v>0.56386804</v>
      </c>
      <c r="M76" s="18" t="n">
        <v>0.06129641</v>
      </c>
      <c r="N76" s="20" t="n">
        <v>0.06178721</v>
      </c>
      <c r="O76" s="18" t="n">
        <v>0</v>
      </c>
      <c r="P76" s="20" t="n">
        <v>0</v>
      </c>
      <c r="Q76" s="18" t="n">
        <v>7.8635654</v>
      </c>
      <c r="R76" s="20" t="n">
        <v>1.19006537</v>
      </c>
    </row>
    <row r="77" spans="1:18">
      <c r="A77" s="15" t="s">
        <v>501</v>
      </c>
      <c r="B77" s="17" t="n">
        <v>2908</v>
      </c>
      <c r="C77" s="18">
        <f>(2562.0/B77*100)</f>
        <v/>
      </c>
      <c r="D77" s="19" t="n">
        <v>346</v>
      </c>
      <c r="E77" s="18" t="n">
        <v>65.13960323000001</v>
      </c>
      <c r="F77" s="20" t="n">
        <v>2.68890635</v>
      </c>
      <c r="G77" s="18" t="n">
        <v>18.75898632</v>
      </c>
      <c r="H77" s="20" t="n">
        <v>1.89589241</v>
      </c>
      <c r="I77" s="18" t="s">
        <v>431</v>
      </c>
      <c r="J77" s="20" t="s">
        <v>431</v>
      </c>
      <c r="K77" s="18" t="n">
        <v>3.51370608</v>
      </c>
      <c r="L77" s="20" t="n">
        <v>0.99197559</v>
      </c>
      <c r="M77" s="18" t="n">
        <v>0.16887504</v>
      </c>
      <c r="N77" s="20" t="n">
        <v>0.18306783</v>
      </c>
      <c r="O77" s="18" t="n">
        <v>0</v>
      </c>
      <c r="P77" s="20" t="n">
        <v>0</v>
      </c>
      <c r="Q77" s="18" t="n">
        <v>12.41882933</v>
      </c>
      <c r="R77" s="20" t="n">
        <v>1.60163969</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(3654.0/B81*100)</f>
        <v/>
      </c>
      <c r="D81" s="19" t="n">
        <v>509</v>
      </c>
      <c r="E81" s="18" t="n">
        <v>79.06011957</v>
      </c>
      <c r="F81" s="20" t="n">
        <v>2.15839969</v>
      </c>
      <c r="G81" s="18" t="n">
        <v>15.56388896</v>
      </c>
      <c r="H81" s="20" t="n">
        <v>2.14587153</v>
      </c>
      <c r="I81" s="18" t="s">
        <v>431</v>
      </c>
      <c r="J81" s="20" t="s">
        <v>431</v>
      </c>
      <c r="K81" s="18" t="n">
        <v>0.35444498</v>
      </c>
      <c r="L81" s="20" t="n">
        <v>0.32220578</v>
      </c>
      <c r="M81" s="18" t="n">
        <v>0</v>
      </c>
      <c r="N81" s="20" t="n">
        <v>0</v>
      </c>
      <c r="O81" s="18" t="n">
        <v>0</v>
      </c>
      <c r="P81" s="20" t="n">
        <v>0</v>
      </c>
      <c r="Q81" s="18" t="n">
        <v>5.0215465</v>
      </c>
      <c r="R81" s="20" t="n">
        <v>1.3894107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(6505.0/B7*100)</f>
        <v/>
      </c>
      <c r="D7" s="19" t="n">
        <v>862</v>
      </c>
      <c r="E7" s="18" t="n">
        <v>22.05447613</v>
      </c>
      <c r="F7" s="20" t="n">
        <v>1.60351502</v>
      </c>
      <c r="G7" s="18" t="n">
        <v>72.33191509</v>
      </c>
      <c r="H7" s="20" t="n">
        <v>1.79787841</v>
      </c>
      <c r="I7" s="18" t="s">
        <v>431</v>
      </c>
      <c r="J7" s="20" t="s">
        <v>431</v>
      </c>
      <c r="K7" s="18" t="n">
        <v>0.84341442</v>
      </c>
      <c r="L7" s="20" t="n">
        <v>0.40933448</v>
      </c>
      <c r="M7" s="18" t="n">
        <v>0.05977749</v>
      </c>
      <c r="N7" s="20" t="n">
        <v>0.04708753</v>
      </c>
      <c r="O7" s="18" t="n">
        <v>0</v>
      </c>
      <c r="P7" s="20" t="n">
        <v>0</v>
      </c>
      <c r="Q7" s="18" t="n">
        <v>4.71041686</v>
      </c>
      <c r="R7" s="20" t="n">
        <v>0.82624667</v>
      </c>
    </row>
    <row r="8" spans="1:18">
      <c r="A8" s="15" t="s">
        <v>432</v>
      </c>
      <c r="B8" s="17" t="n">
        <v>3564</v>
      </c>
      <c r="C8" s="18">
        <f>(3115.0/B8*100)</f>
        <v/>
      </c>
      <c r="D8" s="19" t="n">
        <v>449</v>
      </c>
      <c r="E8" s="18" t="n">
        <v>20.69269341</v>
      </c>
      <c r="F8" s="20" t="n">
        <v>2.27338745</v>
      </c>
      <c r="G8" s="18" t="n">
        <v>74.09498499</v>
      </c>
      <c r="H8" s="20" t="n">
        <v>2.56141974</v>
      </c>
      <c r="I8" s="18" t="s">
        <v>431</v>
      </c>
      <c r="J8" s="20" t="s">
        <v>431</v>
      </c>
      <c r="K8" s="18" t="n">
        <v>0.96985253</v>
      </c>
      <c r="L8" s="20" t="n">
        <v>0.48858822</v>
      </c>
      <c r="M8" s="18" t="n">
        <v>0</v>
      </c>
      <c r="N8" s="20" t="n">
        <v>0</v>
      </c>
      <c r="O8" s="18" t="n">
        <v>0</v>
      </c>
      <c r="P8" s="20" t="n">
        <v>0</v>
      </c>
      <c r="Q8" s="18" t="n">
        <v>4.24246907</v>
      </c>
      <c r="R8" s="20" t="n">
        <v>0.81018832</v>
      </c>
    </row>
    <row r="9" spans="1:18">
      <c r="A9" s="15" t="s">
        <v>433</v>
      </c>
      <c r="B9" s="17" t="n">
        <v>4899</v>
      </c>
      <c r="C9" s="18">
        <f>(4170.0/B9*100)</f>
        <v/>
      </c>
      <c r="D9" s="19" t="n">
        <v>729</v>
      </c>
      <c r="E9" s="18" t="n">
        <v>24.31443363</v>
      </c>
      <c r="F9" s="20" t="n">
        <v>2.35882122</v>
      </c>
      <c r="G9" s="18" t="n">
        <v>64.85796526</v>
      </c>
      <c r="H9" s="20" t="n">
        <v>2.45951519</v>
      </c>
      <c r="I9" s="18" t="s">
        <v>431</v>
      </c>
      <c r="J9" s="20" t="s">
        <v>431</v>
      </c>
      <c r="K9" s="18" t="n">
        <v>2.4727069</v>
      </c>
      <c r="L9" s="20" t="n">
        <v>0.57270077</v>
      </c>
      <c r="M9" s="18" t="n">
        <v>0.11242438</v>
      </c>
      <c r="N9" s="20" t="n">
        <v>0.11618546</v>
      </c>
      <c r="O9" s="18" t="n">
        <v>0.12432037</v>
      </c>
      <c r="P9" s="20" t="n">
        <v>0.08938918</v>
      </c>
      <c r="Q9" s="18" t="n">
        <v>8.118149470000001</v>
      </c>
      <c r="R9" s="20" t="n">
        <v>1.43755244</v>
      </c>
    </row>
    <row r="10" spans="1:18">
      <c r="A10" s="15" t="s">
        <v>434</v>
      </c>
      <c r="B10" s="17" t="n">
        <v>10036</v>
      </c>
      <c r="C10" s="18">
        <f>(8762.0/B10*100)</f>
        <v/>
      </c>
      <c r="D10" s="19" t="n">
        <v>1274</v>
      </c>
      <c r="E10" s="18" t="n">
        <v>21.78276717</v>
      </c>
      <c r="F10" s="20" t="n">
        <v>1.58692437</v>
      </c>
      <c r="G10" s="18" t="n">
        <v>73.92974108</v>
      </c>
      <c r="H10" s="20" t="n">
        <v>1.68561628</v>
      </c>
      <c r="I10" s="18" t="s">
        <v>431</v>
      </c>
      <c r="J10" s="20" t="s">
        <v>431</v>
      </c>
      <c r="K10" s="18" t="n">
        <v>0.55098272</v>
      </c>
      <c r="L10" s="20" t="n">
        <v>0.2510796</v>
      </c>
      <c r="M10" s="18" t="n">
        <v>0.08444896</v>
      </c>
      <c r="N10" s="20" t="n">
        <v>0.08473255</v>
      </c>
      <c r="O10" s="18" t="n">
        <v>0</v>
      </c>
      <c r="P10" s="20" t="n">
        <v>0</v>
      </c>
      <c r="Q10" s="18" t="n">
        <v>3.65206008</v>
      </c>
      <c r="R10" s="20" t="n">
        <v>0.89178416</v>
      </c>
    </row>
    <row r="11" spans="1:18">
      <c r="A11" s="15" t="s">
        <v>435</v>
      </c>
      <c r="B11" s="17" t="n">
        <v>3553</v>
      </c>
      <c r="C11" s="18">
        <f>(3172.0/B11*100)</f>
        <v/>
      </c>
      <c r="D11" s="19" t="n">
        <v>381</v>
      </c>
      <c r="E11" s="18" t="n">
        <v>15.48681921</v>
      </c>
      <c r="F11" s="20" t="n">
        <v>2.2371239</v>
      </c>
      <c r="G11" s="18" t="n">
        <v>71.11025219</v>
      </c>
      <c r="H11" s="20" t="n">
        <v>3.17073609</v>
      </c>
      <c r="I11" s="18" t="s">
        <v>431</v>
      </c>
      <c r="J11" s="20" t="s">
        <v>431</v>
      </c>
      <c r="K11" s="18" t="n">
        <v>3.36592205</v>
      </c>
      <c r="L11" s="20" t="n">
        <v>1.20991661</v>
      </c>
      <c r="M11" s="18" t="n">
        <v>0</v>
      </c>
      <c r="N11" s="20" t="n">
        <v>0</v>
      </c>
      <c r="O11" s="18" t="n">
        <v>0</v>
      </c>
      <c r="P11" s="20" t="n">
        <v>0</v>
      </c>
      <c r="Q11" s="18" t="n">
        <v>10.03700654</v>
      </c>
      <c r="R11" s="20" t="n">
        <v>1.8213203</v>
      </c>
    </row>
    <row r="12" spans="1:18">
      <c r="A12" s="15" t="s">
        <v>436</v>
      </c>
      <c r="B12" s="17" t="n">
        <v>3472</v>
      </c>
      <c r="C12" s="18">
        <f>(3005.0/B12*100)</f>
        <v/>
      </c>
      <c r="D12" s="19" t="n">
        <v>467</v>
      </c>
      <c r="E12" s="18" t="n">
        <v>22.73044876</v>
      </c>
      <c r="F12" s="20" t="n">
        <v>2.65762244</v>
      </c>
      <c r="G12" s="18" t="n">
        <v>70.14313878</v>
      </c>
      <c r="H12" s="20" t="n">
        <v>3.1720507</v>
      </c>
      <c r="I12" s="18" t="s">
        <v>431</v>
      </c>
      <c r="J12" s="20" t="s">
        <v>431</v>
      </c>
      <c r="K12" s="18" t="n">
        <v>0.27897036</v>
      </c>
      <c r="L12" s="20" t="n">
        <v>0.20493814</v>
      </c>
      <c r="M12" s="18" t="n">
        <v>0.14403335</v>
      </c>
      <c r="N12" s="20" t="n">
        <v>0.14487103</v>
      </c>
      <c r="O12" s="18" t="n">
        <v>0</v>
      </c>
      <c r="P12" s="20" t="n">
        <v>0</v>
      </c>
      <c r="Q12" s="18" t="n">
        <v>6.70340875</v>
      </c>
      <c r="R12" s="20" t="n">
        <v>1.20742217</v>
      </c>
    </row>
    <row r="13" spans="1:18">
      <c r="A13" s="15" t="s">
        <v>437</v>
      </c>
      <c r="B13" s="17" t="n">
        <v>3559</v>
      </c>
      <c r="C13" s="18">
        <f>(2938.0/B13*100)</f>
        <v/>
      </c>
      <c r="D13" s="19" t="n">
        <v>621</v>
      </c>
      <c r="E13" s="18" t="n">
        <v>22.62900282</v>
      </c>
      <c r="F13" s="20" t="n">
        <v>2.03204805</v>
      </c>
      <c r="G13" s="18" t="n">
        <v>70.19052044</v>
      </c>
      <c r="H13" s="20" t="n">
        <v>2.25351289</v>
      </c>
      <c r="I13" s="18" t="s">
        <v>431</v>
      </c>
      <c r="J13" s="20" t="s">
        <v>431</v>
      </c>
      <c r="K13" s="18" t="n">
        <v>0.8928299</v>
      </c>
      <c r="L13" s="20" t="n">
        <v>0.3382115</v>
      </c>
      <c r="M13" s="18" t="n">
        <v>0</v>
      </c>
      <c r="N13" s="20" t="n">
        <v>0</v>
      </c>
      <c r="O13" s="18" t="n">
        <v>0</v>
      </c>
      <c r="P13" s="20" t="n">
        <v>0</v>
      </c>
      <c r="Q13" s="18" t="n">
        <v>6.28764685</v>
      </c>
      <c r="R13" s="20" t="n">
        <v>1.21273705</v>
      </c>
    </row>
    <row r="14" spans="1:18">
      <c r="A14" s="15" t="s">
        <v>438</v>
      </c>
      <c r="B14" s="17" t="n">
        <v>2799</v>
      </c>
      <c r="C14" s="18">
        <f>(2474.0/B14*100)</f>
        <v/>
      </c>
      <c r="D14" s="19" t="n">
        <v>325</v>
      </c>
      <c r="E14" s="18" t="n">
        <v>22.35439546</v>
      </c>
      <c r="F14" s="20" t="n">
        <v>2.47986518</v>
      </c>
      <c r="G14" s="18" t="n">
        <v>74.23337175</v>
      </c>
      <c r="H14" s="20" t="n">
        <v>2.65260958</v>
      </c>
      <c r="I14" s="18" t="s">
        <v>431</v>
      </c>
      <c r="J14" s="20" t="s">
        <v>431</v>
      </c>
      <c r="K14" s="18" t="n">
        <v>0.8374908599999999</v>
      </c>
      <c r="L14" s="20" t="n">
        <v>0.47395644</v>
      </c>
      <c r="M14" s="18" t="n">
        <v>0.2438555</v>
      </c>
      <c r="N14" s="20" t="n">
        <v>0.24342152</v>
      </c>
      <c r="O14" s="18" t="n">
        <v>0</v>
      </c>
      <c r="P14" s="20" t="n">
        <v>0</v>
      </c>
      <c r="Q14" s="18" t="n">
        <v>2.33088643</v>
      </c>
      <c r="R14" s="20" t="n">
        <v>0.83837127</v>
      </c>
    </row>
    <row r="15" spans="1:18">
      <c r="A15" s="15" t="s">
        <v>439</v>
      </c>
      <c r="B15" s="17" t="n">
        <v>3019</v>
      </c>
      <c r="C15" s="18">
        <f>(2620.0/B15*100)</f>
        <v/>
      </c>
      <c r="D15" s="19" t="n">
        <v>399</v>
      </c>
      <c r="E15" s="18" t="n">
        <v>24.20059569</v>
      </c>
      <c r="F15" s="20" t="n">
        <v>2.28797948</v>
      </c>
      <c r="G15" s="18" t="n">
        <v>69.97031816000001</v>
      </c>
      <c r="H15" s="20" t="n">
        <v>2.6730641</v>
      </c>
      <c r="I15" s="18" t="s">
        <v>431</v>
      </c>
      <c r="J15" s="20" t="s">
        <v>431</v>
      </c>
      <c r="K15" s="18" t="n">
        <v>0.68927244</v>
      </c>
      <c r="L15" s="20" t="n">
        <v>0.39895514</v>
      </c>
      <c r="M15" s="18" t="n">
        <v>0</v>
      </c>
      <c r="N15" s="20" t="n">
        <v>0</v>
      </c>
      <c r="O15" s="18" t="n">
        <v>0</v>
      </c>
      <c r="P15" s="20" t="n">
        <v>0</v>
      </c>
      <c r="Q15" s="18" t="n">
        <v>5.13981371</v>
      </c>
      <c r="R15" s="20" t="n">
        <v>1.50627829</v>
      </c>
    </row>
    <row r="16" spans="1:18">
      <c r="A16" s="15" t="s">
        <v>440</v>
      </c>
      <c r="B16" s="17" t="n">
        <v>2997</v>
      </c>
      <c r="C16" s="18">
        <f>(2659.0/B16*100)</f>
        <v/>
      </c>
      <c r="D16" s="19" t="n">
        <v>338</v>
      </c>
      <c r="E16" s="18" t="n">
        <v>30.69639947</v>
      </c>
      <c r="F16" s="20" t="n">
        <v>2.50090294</v>
      </c>
      <c r="G16" s="18" t="n">
        <v>55.06626139</v>
      </c>
      <c r="H16" s="20" t="n">
        <v>2.67079162</v>
      </c>
      <c r="I16" s="18" t="s">
        <v>431</v>
      </c>
      <c r="J16" s="20" t="s">
        <v>431</v>
      </c>
      <c r="K16" s="18" t="n">
        <v>3.40026659</v>
      </c>
      <c r="L16" s="20" t="n">
        <v>0.89926442</v>
      </c>
      <c r="M16" s="18" t="n">
        <v>0</v>
      </c>
      <c r="N16" s="20" t="n">
        <v>0</v>
      </c>
      <c r="O16" s="18" t="n">
        <v>0</v>
      </c>
      <c r="P16" s="20" t="n">
        <v>0</v>
      </c>
      <c r="Q16" s="18" t="n">
        <v>10.83707254</v>
      </c>
      <c r="R16" s="20" t="n">
        <v>1.61636165</v>
      </c>
    </row>
    <row r="17" spans="1:18">
      <c r="A17" s="15" t="s">
        <v>441</v>
      </c>
      <c r="B17" s="17" t="n">
        <v>3307</v>
      </c>
      <c r="C17" s="18">
        <f>(2835.0/B17*100)</f>
        <v/>
      </c>
      <c r="D17" s="19" t="n">
        <v>472</v>
      </c>
      <c r="E17" s="18" t="n">
        <v>21.12071001</v>
      </c>
      <c r="F17" s="20" t="n">
        <v>1.81508704</v>
      </c>
      <c r="G17" s="18" t="n">
        <v>66.95941952</v>
      </c>
      <c r="H17" s="20" t="n">
        <v>2.57074719</v>
      </c>
      <c r="I17" s="18" t="s">
        <v>431</v>
      </c>
      <c r="J17" s="20" t="s">
        <v>431</v>
      </c>
      <c r="K17" s="18" t="n">
        <v>3.1825985</v>
      </c>
      <c r="L17" s="20" t="n">
        <v>1.13633879</v>
      </c>
      <c r="M17" s="18" t="n">
        <v>0</v>
      </c>
      <c r="N17" s="20" t="n">
        <v>0</v>
      </c>
      <c r="O17" s="18" t="n">
        <v>0</v>
      </c>
      <c r="P17" s="20" t="n">
        <v>0</v>
      </c>
      <c r="Q17" s="18" t="n">
        <v>8.73727197</v>
      </c>
      <c r="R17" s="20" t="n">
        <v>1.29846838</v>
      </c>
    </row>
    <row r="18" spans="1:18">
      <c r="A18" s="15" t="s">
        <v>442</v>
      </c>
      <c r="B18" s="17" t="n">
        <v>2826</v>
      </c>
      <c r="C18" s="18">
        <f>(2472.0/B18*100)</f>
        <v/>
      </c>
      <c r="D18" s="19" t="n">
        <v>354</v>
      </c>
      <c r="E18" s="18" t="n">
        <v>20.7393415</v>
      </c>
      <c r="F18" s="20" t="n">
        <v>2.39046406</v>
      </c>
      <c r="G18" s="18" t="n">
        <v>67.90210947</v>
      </c>
      <c r="H18" s="20" t="n">
        <v>2.78859627</v>
      </c>
      <c r="I18" s="18" t="s">
        <v>431</v>
      </c>
      <c r="J18" s="20" t="s">
        <v>431</v>
      </c>
      <c r="K18" s="18" t="n">
        <v>2.08064077</v>
      </c>
      <c r="L18" s="20" t="n">
        <v>0.84600785</v>
      </c>
      <c r="M18" s="18" t="n">
        <v>0</v>
      </c>
      <c r="N18" s="20" t="n">
        <v>0</v>
      </c>
      <c r="O18" s="18" t="n">
        <v>0</v>
      </c>
      <c r="P18" s="20" t="n">
        <v>0</v>
      </c>
      <c r="Q18" s="18" t="n">
        <v>9.277908249999999</v>
      </c>
      <c r="R18" s="20" t="n">
        <v>1.54881624</v>
      </c>
    </row>
    <row r="19" spans="1:18">
      <c r="A19" s="15" t="s">
        <v>443</v>
      </c>
      <c r="B19" s="17" t="n">
        <v>2808</v>
      </c>
      <c r="C19" s="18">
        <f>(2461.0/B19*100)</f>
        <v/>
      </c>
      <c r="D19" s="19" t="n">
        <v>347</v>
      </c>
      <c r="E19" s="18" t="n">
        <v>15.60862882</v>
      </c>
      <c r="F19" s="20" t="n">
        <v>2.2035173</v>
      </c>
      <c r="G19" s="18" t="n">
        <v>79.10137373000001</v>
      </c>
      <c r="H19" s="20" t="n">
        <v>2.54564182</v>
      </c>
      <c r="I19" s="18" t="s">
        <v>431</v>
      </c>
      <c r="J19" s="20" t="s">
        <v>431</v>
      </c>
      <c r="K19" s="18" t="n">
        <v>0.97909012</v>
      </c>
      <c r="L19" s="20" t="n">
        <v>0.74068402</v>
      </c>
      <c r="M19" s="18" t="n">
        <v>0</v>
      </c>
      <c r="N19" s="20" t="n">
        <v>0</v>
      </c>
      <c r="O19" s="18" t="n">
        <v>0</v>
      </c>
      <c r="P19" s="20" t="n">
        <v>0</v>
      </c>
      <c r="Q19" s="18" t="n">
        <v>4.31090733</v>
      </c>
      <c r="R19" s="20" t="n">
        <v>1.25768473</v>
      </c>
    </row>
    <row r="20" spans="1:18">
      <c r="A20" s="15" t="s">
        <v>444</v>
      </c>
      <c r="B20" s="17" t="n">
        <v>1630</v>
      </c>
      <c r="C20" s="18">
        <f>(1441.0/B20*100)</f>
        <v/>
      </c>
      <c r="D20" s="19" t="n">
        <v>189</v>
      </c>
      <c r="E20" s="18" t="n">
        <v>16.89892445</v>
      </c>
      <c r="F20" s="20" t="n">
        <v>2.79294144</v>
      </c>
      <c r="G20" s="18" t="n">
        <v>77.88150881999999</v>
      </c>
      <c r="H20" s="20" t="n">
        <v>3.13293928</v>
      </c>
      <c r="I20" s="18" t="s">
        <v>431</v>
      </c>
      <c r="J20" s="20" t="s">
        <v>431</v>
      </c>
      <c r="K20" s="18" t="n">
        <v>1.04038962</v>
      </c>
      <c r="L20" s="20" t="n">
        <v>0.71869546</v>
      </c>
      <c r="M20" s="18" t="n">
        <v>0</v>
      </c>
      <c r="N20" s="20" t="n">
        <v>0</v>
      </c>
      <c r="O20" s="18" t="n">
        <v>0</v>
      </c>
      <c r="P20" s="20" t="n">
        <v>0</v>
      </c>
      <c r="Q20" s="18" t="n">
        <v>4.17917712</v>
      </c>
      <c r="R20" s="20" t="n">
        <v>1.45615428</v>
      </c>
    </row>
    <row r="21" spans="1:18">
      <c r="A21" s="15" t="s">
        <v>445</v>
      </c>
      <c r="B21" s="17" t="n">
        <v>2908</v>
      </c>
      <c r="C21" s="18">
        <f>(2438.0/B21*100)</f>
        <v/>
      </c>
      <c r="D21" s="19" t="n">
        <v>470</v>
      </c>
      <c r="E21" s="18" t="n">
        <v>16.73923033</v>
      </c>
      <c r="F21" s="20" t="n">
        <v>1.74544233</v>
      </c>
      <c r="G21" s="18" t="n">
        <v>79.91367963</v>
      </c>
      <c r="H21" s="20" t="n">
        <v>1.81688974</v>
      </c>
      <c r="I21" s="18" t="s">
        <v>431</v>
      </c>
      <c r="J21" s="20" t="s">
        <v>431</v>
      </c>
      <c r="K21" s="18" t="n">
        <v>1.25151704</v>
      </c>
      <c r="L21" s="20" t="n">
        <v>0.52640283</v>
      </c>
      <c r="M21" s="18" t="n">
        <v>0</v>
      </c>
      <c r="N21" s="20" t="n">
        <v>0</v>
      </c>
      <c r="O21" s="18" t="n">
        <v>0</v>
      </c>
      <c r="P21" s="20" t="n">
        <v>0</v>
      </c>
      <c r="Q21" s="18" t="n">
        <v>2.095573</v>
      </c>
      <c r="R21" s="20" t="n">
        <v>0.7457694</v>
      </c>
    </row>
    <row r="22" spans="1:18">
      <c r="A22" s="15" t="s">
        <v>446</v>
      </c>
      <c r="B22" s="17" t="n">
        <v>2931</v>
      </c>
      <c r="C22" s="18">
        <f>(2555.0/B22*100)</f>
        <v/>
      </c>
      <c r="D22" s="19" t="n">
        <v>376</v>
      </c>
      <c r="E22" s="18" t="n">
        <v>17.24645941</v>
      </c>
      <c r="F22" s="20" t="n">
        <v>1.92489707</v>
      </c>
      <c r="G22" s="18" t="n">
        <v>74.14407713</v>
      </c>
      <c r="H22" s="20" t="n">
        <v>2.24382915</v>
      </c>
      <c r="I22" s="18" t="s">
        <v>431</v>
      </c>
      <c r="J22" s="20" t="s">
        <v>431</v>
      </c>
      <c r="K22" s="18" t="n">
        <v>2.40686885</v>
      </c>
      <c r="L22" s="20" t="n">
        <v>0.77518707</v>
      </c>
      <c r="M22" s="18" t="n">
        <v>0</v>
      </c>
      <c r="N22" s="20" t="n">
        <v>0</v>
      </c>
      <c r="O22" s="18" t="n">
        <v>0</v>
      </c>
      <c r="P22" s="20" t="n">
        <v>0</v>
      </c>
      <c r="Q22" s="18" t="n">
        <v>6.20259461</v>
      </c>
      <c r="R22" s="20" t="n">
        <v>1.45845699</v>
      </c>
    </row>
    <row r="23" spans="1:18">
      <c r="A23" s="15" t="s">
        <v>447</v>
      </c>
      <c r="B23" s="17" t="n">
        <v>5791</v>
      </c>
      <c r="C23" s="18">
        <f>(5085.0/B23*100)</f>
        <v/>
      </c>
      <c r="D23" s="19" t="n">
        <v>706</v>
      </c>
      <c r="E23" s="18" t="n">
        <v>15.41277953</v>
      </c>
      <c r="F23" s="20" t="n">
        <v>2.4439145</v>
      </c>
      <c r="G23" s="18" t="n">
        <v>76.98990275</v>
      </c>
      <c r="H23" s="20" t="n">
        <v>2.64876928</v>
      </c>
      <c r="I23" s="18" t="s">
        <v>431</v>
      </c>
      <c r="J23" s="20" t="s">
        <v>431</v>
      </c>
      <c r="K23" s="18" t="n">
        <v>0.66079762</v>
      </c>
      <c r="L23" s="20" t="n">
        <v>0.366508</v>
      </c>
      <c r="M23" s="18" t="n">
        <v>0.189201</v>
      </c>
      <c r="N23" s="20" t="n">
        <v>0.1869606</v>
      </c>
      <c r="O23" s="18" t="n">
        <v>0</v>
      </c>
      <c r="P23" s="20" t="n">
        <v>0</v>
      </c>
      <c r="Q23" s="18" t="n">
        <v>6.74731909</v>
      </c>
      <c r="R23" s="20" t="n">
        <v>1.51599197</v>
      </c>
    </row>
    <row r="24" spans="1:18">
      <c r="A24" s="15" t="s">
        <v>448</v>
      </c>
      <c r="B24" s="17" t="n">
        <v>3338</v>
      </c>
      <c r="C24" s="18">
        <f>(2948.0/B24*100)</f>
        <v/>
      </c>
      <c r="D24" s="19" t="n">
        <v>390</v>
      </c>
      <c r="E24" s="18" t="n">
        <v>10.02881624</v>
      </c>
      <c r="F24" s="20" t="n">
        <v>1.62851864</v>
      </c>
      <c r="G24" s="18" t="n">
        <v>84.24799548999999</v>
      </c>
      <c r="H24" s="20" t="n">
        <v>1.93813863</v>
      </c>
      <c r="I24" s="18" t="s">
        <v>431</v>
      </c>
      <c r="J24" s="20" t="s">
        <v>431</v>
      </c>
      <c r="K24" s="18" t="n">
        <v>1.65040651</v>
      </c>
      <c r="L24" s="20" t="n">
        <v>0.67008199</v>
      </c>
      <c r="M24" s="18" t="n">
        <v>0</v>
      </c>
      <c r="N24" s="20" t="n">
        <v>0</v>
      </c>
      <c r="O24" s="18" t="n">
        <v>0</v>
      </c>
      <c r="P24" s="20" t="n">
        <v>0</v>
      </c>
      <c r="Q24" s="18" t="n">
        <v>4.07278176</v>
      </c>
      <c r="R24" s="20" t="n">
        <v>1.10071972</v>
      </c>
    </row>
    <row r="25" spans="1:18">
      <c r="A25" s="15" t="s">
        <v>449</v>
      </c>
      <c r="B25" s="17" t="n">
        <v>2912</v>
      </c>
      <c r="C25" s="18">
        <f>(2540.0/B25*100)</f>
        <v/>
      </c>
      <c r="D25" s="19" t="n">
        <v>372</v>
      </c>
      <c r="E25" s="18" t="n">
        <v>5.85159091</v>
      </c>
      <c r="F25" s="20" t="n">
        <v>1.31114796</v>
      </c>
      <c r="G25" s="18" t="n">
        <v>90.56679412</v>
      </c>
      <c r="H25" s="20" t="n">
        <v>1.46691178</v>
      </c>
      <c r="I25" s="18" t="s">
        <v>431</v>
      </c>
      <c r="J25" s="20" t="s">
        <v>431</v>
      </c>
      <c r="K25" s="18" t="n">
        <v>0.50223064</v>
      </c>
      <c r="L25" s="20" t="n">
        <v>0.35563473</v>
      </c>
      <c r="M25" s="18" t="n">
        <v>0</v>
      </c>
      <c r="N25" s="20" t="n">
        <v>0</v>
      </c>
      <c r="O25" s="18" t="n">
        <v>0</v>
      </c>
      <c r="P25" s="20" t="n">
        <v>0</v>
      </c>
      <c r="Q25" s="18" t="n">
        <v>3.07938433</v>
      </c>
      <c r="R25" s="20" t="n">
        <v>0.88856914</v>
      </c>
    </row>
    <row r="26" spans="1:18">
      <c r="A26" s="15" t="s">
        <v>450</v>
      </c>
      <c r="B26" s="17" t="n">
        <v>2450</v>
      </c>
      <c r="C26" s="18">
        <f>(2141.0/B26*100)</f>
        <v/>
      </c>
      <c r="D26" s="19" t="n">
        <v>309</v>
      </c>
      <c r="E26" s="18" t="n">
        <v>19.37323537</v>
      </c>
      <c r="F26" s="20" t="n">
        <v>2.63406824</v>
      </c>
      <c r="G26" s="18" t="n">
        <v>75.74565717</v>
      </c>
      <c r="H26" s="20" t="n">
        <v>2.72852476</v>
      </c>
      <c r="I26" s="18" t="s">
        <v>431</v>
      </c>
      <c r="J26" s="20" t="s">
        <v>431</v>
      </c>
      <c r="K26" s="18" t="n">
        <v>0.81323536</v>
      </c>
      <c r="L26" s="20" t="n">
        <v>0.63558067</v>
      </c>
      <c r="M26" s="18" t="n">
        <v>0.25228659</v>
      </c>
      <c r="N26" s="20" t="n">
        <v>0.24759198</v>
      </c>
      <c r="O26" s="18" t="n">
        <v>0</v>
      </c>
      <c r="P26" s="20" t="n">
        <v>0</v>
      </c>
      <c r="Q26" s="18" t="n">
        <v>3.81558551</v>
      </c>
      <c r="R26" s="20" t="n">
        <v>1.26340649</v>
      </c>
    </row>
    <row r="27" spans="1:18">
      <c r="A27" s="15" t="s">
        <v>451</v>
      </c>
      <c r="B27" s="17" t="n">
        <v>2616</v>
      </c>
      <c r="C27" s="18">
        <f>(2305.0/B27*100)</f>
        <v/>
      </c>
      <c r="D27" s="19" t="n">
        <v>311</v>
      </c>
      <c r="E27" s="18" t="n">
        <v>26.76716959</v>
      </c>
      <c r="F27" s="20" t="n">
        <v>2.48066858</v>
      </c>
      <c r="G27" s="18" t="n">
        <v>63.17701183</v>
      </c>
      <c r="H27" s="20" t="n">
        <v>2.75128584</v>
      </c>
      <c r="I27" s="18" t="s">
        <v>431</v>
      </c>
      <c r="J27" s="20" t="s">
        <v>431</v>
      </c>
      <c r="K27" s="18" t="n">
        <v>1.32070633</v>
      </c>
      <c r="L27" s="20" t="n">
        <v>0.66161356</v>
      </c>
      <c r="M27" s="18" t="n">
        <v>0</v>
      </c>
      <c r="N27" s="20" t="n">
        <v>0</v>
      </c>
      <c r="O27" s="18" t="n">
        <v>0</v>
      </c>
      <c r="P27" s="20" t="n">
        <v>0</v>
      </c>
      <c r="Q27" s="18" t="n">
        <v>8.73511225</v>
      </c>
      <c r="R27" s="20" t="n">
        <v>1.65269142</v>
      </c>
    </row>
    <row r="28" spans="1:18">
      <c r="A28" s="15" t="s">
        <v>452</v>
      </c>
      <c r="B28" s="17" t="n">
        <v>3765</v>
      </c>
      <c r="C28" s="18">
        <f>(3335.0/B28*100)</f>
        <v/>
      </c>
      <c r="D28" s="19" t="n">
        <v>430</v>
      </c>
      <c r="E28" s="18" t="n">
        <v>21.61894425</v>
      </c>
      <c r="F28" s="20" t="n">
        <v>2.46059804</v>
      </c>
      <c r="G28" s="18" t="n">
        <v>74.96971600000001</v>
      </c>
      <c r="H28" s="20" t="n">
        <v>2.52685311</v>
      </c>
      <c r="I28" s="18" t="s">
        <v>431</v>
      </c>
      <c r="J28" s="20" t="s">
        <v>431</v>
      </c>
      <c r="K28" s="18" t="n">
        <v>2.17209477</v>
      </c>
      <c r="L28" s="20" t="n">
        <v>0.8500873799999999</v>
      </c>
      <c r="M28" s="18" t="n">
        <v>0</v>
      </c>
      <c r="N28" s="20" t="n">
        <v>0</v>
      </c>
      <c r="O28" s="18" t="n">
        <v>0</v>
      </c>
      <c r="P28" s="20" t="n">
        <v>0</v>
      </c>
      <c r="Q28" s="18" t="n">
        <v>1.23924498</v>
      </c>
      <c r="R28" s="20" t="n">
        <v>0.59258884</v>
      </c>
    </row>
    <row r="29" spans="1:18">
      <c r="A29" s="15" t="s">
        <v>453</v>
      </c>
      <c r="B29" s="17" t="n">
        <v>2685</v>
      </c>
      <c r="C29" s="18">
        <f>(2296.0/B29*100)</f>
        <v/>
      </c>
      <c r="D29" s="19" t="n">
        <v>389</v>
      </c>
      <c r="E29" s="18" t="n">
        <v>11.9217825</v>
      </c>
      <c r="F29" s="20" t="n">
        <v>1.77764615</v>
      </c>
      <c r="G29" s="18" t="n">
        <v>86.53608232000001</v>
      </c>
      <c r="H29" s="20" t="n">
        <v>2.62167172</v>
      </c>
      <c r="I29" s="18" t="s">
        <v>431</v>
      </c>
      <c r="J29" s="20" t="s">
        <v>431</v>
      </c>
      <c r="K29" s="18" t="n">
        <v>0.65532527</v>
      </c>
      <c r="L29" s="20" t="n">
        <v>0.45178507</v>
      </c>
      <c r="M29" s="18" t="n">
        <v>0</v>
      </c>
      <c r="N29" s="20" t="n">
        <v>0</v>
      </c>
      <c r="O29" s="18" t="n">
        <v>0</v>
      </c>
      <c r="P29" s="20" t="n">
        <v>0</v>
      </c>
      <c r="Q29" s="18" t="n">
        <v>0.88680991</v>
      </c>
      <c r="R29" s="20" t="n">
        <v>0.61469739</v>
      </c>
    </row>
    <row r="30" spans="1:18">
      <c r="A30" s="15" t="s">
        <v>454</v>
      </c>
      <c r="B30" s="17" t="n">
        <v>2263</v>
      </c>
      <c r="C30" s="18">
        <f>(1997.0/B30*100)</f>
        <v/>
      </c>
      <c r="D30" s="19" t="n">
        <v>266</v>
      </c>
      <c r="E30" s="18" t="n">
        <v>26.59490473</v>
      </c>
      <c r="F30" s="20" t="n">
        <v>2.72992963</v>
      </c>
      <c r="G30" s="18" t="n">
        <v>64.34186692999999</v>
      </c>
      <c r="H30" s="20" t="n">
        <v>2.56819849</v>
      </c>
      <c r="I30" s="18" t="s">
        <v>431</v>
      </c>
      <c r="J30" s="20" t="s">
        <v>431</v>
      </c>
      <c r="K30" s="18" t="n">
        <v>1.71037043</v>
      </c>
      <c r="L30" s="20" t="n">
        <v>0.75589694</v>
      </c>
      <c r="M30" s="18" t="n">
        <v>0</v>
      </c>
      <c r="N30" s="20" t="n">
        <v>0</v>
      </c>
      <c r="O30" s="18" t="n">
        <v>0</v>
      </c>
      <c r="P30" s="20" t="n">
        <v>0</v>
      </c>
      <c r="Q30" s="18" t="n">
        <v>7.35285791</v>
      </c>
      <c r="R30" s="20" t="n">
        <v>1.38566671</v>
      </c>
    </row>
    <row r="31" spans="1:18">
      <c r="A31" s="15" t="s">
        <v>455</v>
      </c>
      <c r="B31" s="17" t="n">
        <v>2750</v>
      </c>
      <c r="C31" s="18">
        <f>(2424.0/B31*100)</f>
        <v/>
      </c>
      <c r="D31" s="19" t="n">
        <v>326</v>
      </c>
      <c r="E31" s="18" t="n">
        <v>12.94098861</v>
      </c>
      <c r="F31" s="20" t="n">
        <v>2.06819096</v>
      </c>
      <c r="G31" s="18" t="n">
        <v>81.76670789000001</v>
      </c>
      <c r="H31" s="20" t="n">
        <v>2.38586094</v>
      </c>
      <c r="I31" s="18" t="s">
        <v>431</v>
      </c>
      <c r="J31" s="20" t="s">
        <v>431</v>
      </c>
      <c r="K31" s="18" t="n">
        <v>2.11096879</v>
      </c>
      <c r="L31" s="20" t="n">
        <v>0.79336014</v>
      </c>
      <c r="M31" s="18" t="n">
        <v>0</v>
      </c>
      <c r="N31" s="20" t="n">
        <v>0</v>
      </c>
      <c r="O31" s="18" t="n">
        <v>0</v>
      </c>
      <c r="P31" s="20" t="n">
        <v>0</v>
      </c>
      <c r="Q31" s="18" t="n">
        <v>3.18133471</v>
      </c>
      <c r="R31" s="20" t="n">
        <v>1.12282311</v>
      </c>
    </row>
    <row r="32" spans="1:18">
      <c r="A32" s="15" t="s">
        <v>456</v>
      </c>
      <c r="B32" s="17" t="n">
        <v>2269</v>
      </c>
      <c r="C32" s="18">
        <f>(1905.0/B32*100)</f>
        <v/>
      </c>
      <c r="D32" s="19" t="n">
        <v>364</v>
      </c>
      <c r="E32" s="18" t="n">
        <v>13.06094363</v>
      </c>
      <c r="F32" s="20" t="n">
        <v>1.63012204</v>
      </c>
      <c r="G32" s="18" t="n">
        <v>82.5592158</v>
      </c>
      <c r="H32" s="20" t="n">
        <v>1.87666478</v>
      </c>
      <c r="I32" s="18" t="s">
        <v>431</v>
      </c>
      <c r="J32" s="20" t="s">
        <v>431</v>
      </c>
      <c r="K32" s="18" t="n">
        <v>0.73828033</v>
      </c>
      <c r="L32" s="20" t="n">
        <v>0.23756784</v>
      </c>
      <c r="M32" s="18" t="n">
        <v>0</v>
      </c>
      <c r="N32" s="20" t="n">
        <v>0</v>
      </c>
      <c r="O32" s="18" t="n">
        <v>0</v>
      </c>
      <c r="P32" s="20" t="n">
        <v>0</v>
      </c>
      <c r="Q32" s="18" t="n">
        <v>3.64156023</v>
      </c>
      <c r="R32" s="20" t="n">
        <v>1.00653798</v>
      </c>
    </row>
    <row r="33" spans="1:18">
      <c r="A33" s="15" t="s">
        <v>457</v>
      </c>
      <c r="B33" s="17" t="n">
        <v>3674</v>
      </c>
      <c r="C33" s="18">
        <f>(3248.0/B33*100)</f>
        <v/>
      </c>
      <c r="D33" s="19" t="n">
        <v>426</v>
      </c>
      <c r="E33" s="18" t="n">
        <v>13.26868526</v>
      </c>
      <c r="F33" s="20" t="n">
        <v>2.26743771</v>
      </c>
      <c r="G33" s="18" t="n">
        <v>83.32405394</v>
      </c>
      <c r="H33" s="20" t="n">
        <v>2.35906192</v>
      </c>
      <c r="I33" s="18" t="s">
        <v>431</v>
      </c>
      <c r="J33" s="20" t="s">
        <v>431</v>
      </c>
      <c r="K33" s="18" t="n">
        <v>0.17789635</v>
      </c>
      <c r="L33" s="20" t="n">
        <v>0.10559683</v>
      </c>
      <c r="M33" s="18" t="n">
        <v>0</v>
      </c>
      <c r="N33" s="20" t="n">
        <v>0</v>
      </c>
      <c r="O33" s="18" t="n">
        <v>0</v>
      </c>
      <c r="P33" s="20" t="n">
        <v>0</v>
      </c>
      <c r="Q33" s="18" t="n">
        <v>3.22936446</v>
      </c>
      <c r="R33" s="20" t="n">
        <v>1.00938669</v>
      </c>
    </row>
    <row r="34" spans="1:18">
      <c r="A34" s="15" t="s">
        <v>458</v>
      </c>
      <c r="B34" s="17" t="n">
        <v>3315</v>
      </c>
      <c r="C34" s="18">
        <f>(2871.0/B34*100)</f>
        <v/>
      </c>
      <c r="D34" s="19" t="n">
        <v>444</v>
      </c>
      <c r="E34" s="18" t="n">
        <v>22.06969819</v>
      </c>
      <c r="F34" s="20" t="n">
        <v>2.27574129</v>
      </c>
      <c r="G34" s="18" t="n">
        <v>68.56907047999999</v>
      </c>
      <c r="H34" s="20" t="n">
        <v>2.65759634</v>
      </c>
      <c r="I34" s="18" t="s">
        <v>431</v>
      </c>
      <c r="J34" s="20" t="s">
        <v>431</v>
      </c>
      <c r="K34" s="18" t="n">
        <v>0.07006698</v>
      </c>
      <c r="L34" s="20" t="n">
        <v>0.06985876000000001</v>
      </c>
      <c r="M34" s="18" t="n">
        <v>0</v>
      </c>
      <c r="N34" s="20" t="n">
        <v>0</v>
      </c>
      <c r="O34" s="18" t="n">
        <v>0</v>
      </c>
      <c r="P34" s="20" t="n">
        <v>0</v>
      </c>
      <c r="Q34" s="18" t="n">
        <v>9.291164350000001</v>
      </c>
      <c r="R34" s="20" t="n">
        <v>1.19335003</v>
      </c>
    </row>
    <row r="35" spans="1:18">
      <c r="A35" s="15" t="s">
        <v>459</v>
      </c>
      <c r="B35" s="17" t="n">
        <v>3505</v>
      </c>
      <c r="C35" s="18">
        <f>(2998.0/B35*100)</f>
        <v/>
      </c>
      <c r="D35" s="19" t="n">
        <v>507</v>
      </c>
      <c r="E35" s="18" t="n">
        <v>19.39736921</v>
      </c>
      <c r="F35" s="20" t="n">
        <v>2.00103129</v>
      </c>
      <c r="G35" s="18" t="n">
        <v>73.95064523000001</v>
      </c>
      <c r="H35" s="20" t="n">
        <v>2.13740784</v>
      </c>
      <c r="I35" s="18" t="s">
        <v>431</v>
      </c>
      <c r="J35" s="20" t="s">
        <v>431</v>
      </c>
      <c r="K35" s="18" t="n">
        <v>1.51199297</v>
      </c>
      <c r="L35" s="20" t="n">
        <v>0.63615735</v>
      </c>
      <c r="M35" s="18" t="n">
        <v>0.40342912</v>
      </c>
      <c r="N35" s="20" t="n">
        <v>0.40223793</v>
      </c>
      <c r="O35" s="18" t="n">
        <v>0</v>
      </c>
      <c r="P35" s="20" t="n">
        <v>0</v>
      </c>
      <c r="Q35" s="18" t="n">
        <v>4.73656347</v>
      </c>
      <c r="R35" s="20" t="n">
        <v>0.91939586</v>
      </c>
    </row>
    <row r="36" spans="1:18">
      <c r="A36" s="15" t="s">
        <v>460</v>
      </c>
      <c r="B36" s="17" t="n">
        <v>3332</v>
      </c>
      <c r="C36" s="18">
        <f>(2929.0/B36*100)</f>
        <v/>
      </c>
      <c r="D36" s="19" t="n">
        <v>403</v>
      </c>
      <c r="E36" s="18" t="n">
        <v>16.03506355</v>
      </c>
      <c r="F36" s="20" t="n">
        <v>1.76480414</v>
      </c>
      <c r="G36" s="18" t="n">
        <v>73.93017361</v>
      </c>
      <c r="H36" s="20" t="n">
        <v>2.38897069</v>
      </c>
      <c r="I36" s="18" t="s">
        <v>431</v>
      </c>
      <c r="J36" s="20" t="s">
        <v>431</v>
      </c>
      <c r="K36" s="18" t="n">
        <v>2.11051219</v>
      </c>
      <c r="L36" s="20" t="n">
        <v>0.76411733</v>
      </c>
      <c r="M36" s="18" t="n">
        <v>0</v>
      </c>
      <c r="N36" s="20" t="n">
        <v>0</v>
      </c>
      <c r="O36" s="18" t="n">
        <v>0</v>
      </c>
      <c r="P36" s="20" t="n">
        <v>0</v>
      </c>
      <c r="Q36" s="18" t="n">
        <v>7.92425065</v>
      </c>
      <c r="R36" s="20" t="n">
        <v>1.23378385</v>
      </c>
    </row>
    <row r="37" spans="1:18">
      <c r="A37" s="15" t="s">
        <v>461</v>
      </c>
      <c r="B37" s="17" t="n">
        <v>2727</v>
      </c>
      <c r="C37" s="18">
        <f>(2395.0/B37*100)</f>
        <v/>
      </c>
      <c r="D37" s="19" t="n">
        <v>332</v>
      </c>
      <c r="E37" s="18" t="n">
        <v>16.66132585</v>
      </c>
      <c r="F37" s="20" t="n">
        <v>2.1200818</v>
      </c>
      <c r="G37" s="18" t="n">
        <v>72.42839839</v>
      </c>
      <c r="H37" s="20" t="n">
        <v>2.81727194</v>
      </c>
      <c r="I37" s="18" t="s">
        <v>431</v>
      </c>
      <c r="J37" s="20" t="s">
        <v>431</v>
      </c>
      <c r="K37" s="18" t="n">
        <v>3.90709421</v>
      </c>
      <c r="L37" s="20" t="n">
        <v>1.12219624</v>
      </c>
      <c r="M37" s="18" t="n">
        <v>0.24017329</v>
      </c>
      <c r="N37" s="20" t="n">
        <v>0.24091743</v>
      </c>
      <c r="O37" s="18" t="n">
        <v>0</v>
      </c>
      <c r="P37" s="20" t="n">
        <v>0</v>
      </c>
      <c r="Q37" s="18" t="n">
        <v>6.76300826</v>
      </c>
      <c r="R37" s="20" t="n">
        <v>1.82848391</v>
      </c>
    </row>
    <row r="38" spans="1:18">
      <c r="A38" s="15" t="s">
        <v>462</v>
      </c>
      <c r="B38" s="17" t="n">
        <v>3053</v>
      </c>
      <c r="C38" s="18">
        <f>(2548.0/B38*100)</f>
        <v/>
      </c>
      <c r="D38" s="19" t="n">
        <v>505</v>
      </c>
      <c r="E38" s="18" t="n">
        <v>22.19209319</v>
      </c>
      <c r="F38" s="20" t="n">
        <v>2.31054955</v>
      </c>
      <c r="G38" s="18" t="n">
        <v>68.61307266</v>
      </c>
      <c r="H38" s="20" t="n">
        <v>2.47508701</v>
      </c>
      <c r="I38" s="18" t="s">
        <v>431</v>
      </c>
      <c r="J38" s="20" t="s">
        <v>431</v>
      </c>
      <c r="K38" s="18" t="n">
        <v>2.42265272</v>
      </c>
      <c r="L38" s="20" t="n">
        <v>0.81514226</v>
      </c>
      <c r="M38" s="18" t="n">
        <v>0</v>
      </c>
      <c r="N38" s="20" t="n">
        <v>0</v>
      </c>
      <c r="O38" s="18" t="n">
        <v>0</v>
      </c>
      <c r="P38" s="20" t="n">
        <v>0</v>
      </c>
      <c r="Q38" s="18" t="n">
        <v>6.77218144</v>
      </c>
      <c r="R38" s="20" t="n">
        <v>1.17781618</v>
      </c>
    </row>
    <row r="39" spans="1:18">
      <c r="A39" s="15" t="s">
        <v>463</v>
      </c>
      <c r="B39" s="17" t="n">
        <v>2957</v>
      </c>
      <c r="C39" s="18">
        <f>(2595.0/B39*100)</f>
        <v/>
      </c>
      <c r="D39" s="19" t="n">
        <v>362</v>
      </c>
      <c r="E39" s="18" t="n">
        <v>19.64344502</v>
      </c>
      <c r="F39" s="20" t="n">
        <v>1.92190634</v>
      </c>
      <c r="G39" s="18" t="n">
        <v>71.27275572000001</v>
      </c>
      <c r="H39" s="20" t="n">
        <v>2.13383802</v>
      </c>
      <c r="I39" s="18" t="s">
        <v>431</v>
      </c>
      <c r="J39" s="20" t="s">
        <v>431</v>
      </c>
      <c r="K39" s="18" t="n">
        <v>1.06046194</v>
      </c>
      <c r="L39" s="20" t="n">
        <v>0.6946297</v>
      </c>
      <c r="M39" s="18" t="n">
        <v>0</v>
      </c>
      <c r="N39" s="20" t="n">
        <v>0</v>
      </c>
      <c r="O39" s="18" t="n">
        <v>0</v>
      </c>
      <c r="P39" s="20" t="n">
        <v>0</v>
      </c>
      <c r="Q39" s="18" t="n">
        <v>8.02333733</v>
      </c>
      <c r="R39" s="20" t="n">
        <v>1.53961942</v>
      </c>
    </row>
    <row r="40" spans="1:18">
      <c r="A40" s="15" t="s">
        <v>464</v>
      </c>
      <c r="B40" s="17" t="n">
        <v>7235</v>
      </c>
      <c r="C40" s="18">
        <f>(6384.0/B40*100)</f>
        <v/>
      </c>
      <c r="D40" s="19" t="n">
        <v>851</v>
      </c>
      <c r="E40" s="18" t="n">
        <v>20.83917827</v>
      </c>
      <c r="F40" s="20" t="n">
        <v>2.31612804</v>
      </c>
      <c r="G40" s="18" t="n">
        <v>67.00622681999999</v>
      </c>
      <c r="H40" s="20" t="n">
        <v>2.90340968</v>
      </c>
      <c r="I40" s="18" t="s">
        <v>431</v>
      </c>
      <c r="J40" s="20" t="s">
        <v>431</v>
      </c>
      <c r="K40" s="18" t="n">
        <v>1.42133398</v>
      </c>
      <c r="L40" s="20" t="n">
        <v>0.70494703</v>
      </c>
      <c r="M40" s="18" t="n">
        <v>0.49165317</v>
      </c>
      <c r="N40" s="20" t="n">
        <v>0.43635481</v>
      </c>
      <c r="O40" s="18" t="n">
        <v>0</v>
      </c>
      <c r="P40" s="20" t="n">
        <v>0</v>
      </c>
      <c r="Q40" s="18" t="n">
        <v>10.24160775</v>
      </c>
      <c r="R40" s="20" t="n">
        <v>1.75702068</v>
      </c>
    </row>
    <row r="41" spans="1:18">
      <c r="A41" s="15" t="s">
        <v>465</v>
      </c>
      <c r="B41" s="17" t="n">
        <v>2858</v>
      </c>
      <c r="C41" s="18">
        <f>(2495.0/B41*100)</f>
        <v/>
      </c>
      <c r="D41" s="19" t="n">
        <v>363</v>
      </c>
      <c r="E41" s="18" t="n">
        <v>27.3314715</v>
      </c>
      <c r="F41" s="20" t="n">
        <v>2.2904067</v>
      </c>
      <c r="G41" s="18" t="n">
        <v>69.0277651</v>
      </c>
      <c r="H41" s="20" t="n">
        <v>2.37424311</v>
      </c>
      <c r="I41" s="18" t="s">
        <v>431</v>
      </c>
      <c r="J41" s="20" t="s">
        <v>431</v>
      </c>
      <c r="K41" s="18" t="n">
        <v>0.82562957</v>
      </c>
      <c r="L41" s="20" t="n">
        <v>0.486084</v>
      </c>
      <c r="M41" s="18" t="n">
        <v>0</v>
      </c>
      <c r="N41" s="20" t="n">
        <v>0</v>
      </c>
      <c r="O41" s="18" t="n">
        <v>0</v>
      </c>
      <c r="P41" s="20" t="n">
        <v>0</v>
      </c>
      <c r="Q41" s="18" t="n">
        <v>2.81513383</v>
      </c>
      <c r="R41" s="20" t="n">
        <v>0.7985281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(10109.0/B46*100)</f>
        <v/>
      </c>
      <c r="D46" s="19" t="n">
        <v>959</v>
      </c>
      <c r="E46" s="18" t="n">
        <v>36.07327659</v>
      </c>
      <c r="F46" s="20" t="n">
        <v>1.96782129</v>
      </c>
      <c r="G46" s="18" t="n">
        <v>49.80947802</v>
      </c>
      <c r="H46" s="20" t="n">
        <v>2.27261187</v>
      </c>
      <c r="I46" s="18" t="s">
        <v>431</v>
      </c>
      <c r="J46" s="20" t="s">
        <v>431</v>
      </c>
      <c r="K46" s="18" t="n">
        <v>2.95859785</v>
      </c>
      <c r="L46" s="20" t="n">
        <v>0.7788270900000001</v>
      </c>
      <c r="M46" s="18" t="n">
        <v>0.21883268</v>
      </c>
      <c r="N46" s="20" t="n">
        <v>0.17017064</v>
      </c>
      <c r="O46" s="18" t="n">
        <v>0</v>
      </c>
      <c r="P46" s="20" t="n">
        <v>0</v>
      </c>
      <c r="Q46" s="18" t="n">
        <v>10.93981486</v>
      </c>
      <c r="R46" s="20" t="n">
        <v>1.4188883</v>
      </c>
    </row>
    <row r="47" spans="1:18">
      <c r="A47" s="15" t="s">
        <v>471</v>
      </c>
      <c r="B47" s="17" t="n">
        <v>3105</v>
      </c>
      <c r="C47" s="18">
        <f>(2766.0/B47*100)</f>
        <v/>
      </c>
      <c r="D47" s="19" t="n">
        <v>339</v>
      </c>
      <c r="E47" s="18" t="n">
        <v>15.89330997</v>
      </c>
      <c r="F47" s="20" t="n">
        <v>1.94927145</v>
      </c>
      <c r="G47" s="18" t="n">
        <v>72.89595436</v>
      </c>
      <c r="H47" s="20" t="n">
        <v>2.47751605</v>
      </c>
      <c r="I47" s="18" t="s">
        <v>431</v>
      </c>
      <c r="J47" s="20" t="s">
        <v>431</v>
      </c>
      <c r="K47" s="18" t="n">
        <v>0.30860162</v>
      </c>
      <c r="L47" s="20" t="n">
        <v>0.30781133</v>
      </c>
      <c r="M47" s="18" t="n">
        <v>0</v>
      </c>
      <c r="N47" s="20" t="n">
        <v>0</v>
      </c>
      <c r="O47" s="18" t="n">
        <v>0</v>
      </c>
      <c r="P47" s="20" t="n">
        <v>0</v>
      </c>
      <c r="Q47" s="18" t="n">
        <v>10.90213405</v>
      </c>
      <c r="R47" s="20" t="n">
        <v>1.65904033</v>
      </c>
    </row>
    <row r="48" spans="1:18">
      <c r="A48" s="15" t="s">
        <v>472</v>
      </c>
      <c r="B48" s="17" t="n">
        <v>5159</v>
      </c>
      <c r="C48" s="18">
        <f>(4528.0/B48*100)</f>
        <v/>
      </c>
      <c r="D48" s="19" t="n">
        <v>631</v>
      </c>
      <c r="E48" s="18" t="n">
        <v>7.38250167</v>
      </c>
      <c r="F48" s="20" t="n">
        <v>1.57625746</v>
      </c>
      <c r="G48" s="18" t="n">
        <v>86.66211042</v>
      </c>
      <c r="H48" s="20" t="n">
        <v>1.9030148</v>
      </c>
      <c r="I48" s="18" t="s">
        <v>431</v>
      </c>
      <c r="J48" s="20" t="s">
        <v>431</v>
      </c>
      <c r="K48" s="18" t="n">
        <v>1.69923979</v>
      </c>
      <c r="L48" s="20" t="n">
        <v>0.8542368</v>
      </c>
      <c r="M48" s="18" t="n">
        <v>0</v>
      </c>
      <c r="N48" s="20" t="n">
        <v>0</v>
      </c>
      <c r="O48" s="18" t="n">
        <v>0</v>
      </c>
      <c r="P48" s="20" t="n">
        <v>0</v>
      </c>
      <c r="Q48" s="18" t="n">
        <v>4.25614812</v>
      </c>
      <c r="R48" s="20" t="n">
        <v>1.11107718</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(5002.0/B50*100)</f>
        <v/>
      </c>
      <c r="D50" s="19" t="n">
        <v>635</v>
      </c>
      <c r="E50" s="18" t="n">
        <v>35.70570288</v>
      </c>
      <c r="F50" s="20" t="n">
        <v>2.51080948</v>
      </c>
      <c r="G50" s="18" t="n">
        <v>54.78929609</v>
      </c>
      <c r="H50" s="20" t="n">
        <v>2.823072</v>
      </c>
      <c r="I50" s="18" t="s">
        <v>431</v>
      </c>
      <c r="J50" s="20" t="s">
        <v>431</v>
      </c>
      <c r="K50" s="18" t="n">
        <v>3.2922601</v>
      </c>
      <c r="L50" s="20" t="n">
        <v>1.0704779</v>
      </c>
      <c r="M50" s="18" t="n">
        <v>0</v>
      </c>
      <c r="N50" s="20" t="n">
        <v>0</v>
      </c>
      <c r="O50" s="18" t="n">
        <v>0</v>
      </c>
      <c r="P50" s="20" t="n">
        <v>0</v>
      </c>
      <c r="Q50" s="18" t="n">
        <v>6.21274093</v>
      </c>
      <c r="R50" s="20" t="n">
        <v>1.27176816</v>
      </c>
    </row>
    <row r="51" spans="1:18">
      <c r="A51" s="15" t="s">
        <v>475</v>
      </c>
      <c r="B51" s="17" t="n">
        <v>3372</v>
      </c>
      <c r="C51" s="18">
        <f>(2689.0/B51*100)</f>
        <v/>
      </c>
      <c r="D51" s="19" t="n">
        <v>683</v>
      </c>
      <c r="E51" s="18" t="n">
        <v>32.80041908</v>
      </c>
      <c r="F51" s="20" t="n">
        <v>2.10522567</v>
      </c>
      <c r="G51" s="18" t="n">
        <v>62.58835077</v>
      </c>
      <c r="H51" s="20" t="n">
        <v>2.08483988</v>
      </c>
      <c r="I51" s="18" t="s">
        <v>431</v>
      </c>
      <c r="J51" s="20" t="s">
        <v>431</v>
      </c>
      <c r="K51" s="18" t="n">
        <v>0.83722104</v>
      </c>
      <c r="L51" s="20" t="n">
        <v>0.41637054</v>
      </c>
      <c r="M51" s="18" t="n">
        <v>0</v>
      </c>
      <c r="N51" s="20" t="n">
        <v>0</v>
      </c>
      <c r="O51" s="18" t="n">
        <v>0</v>
      </c>
      <c r="P51" s="20" t="n">
        <v>0</v>
      </c>
      <c r="Q51" s="18" t="n">
        <v>3.77400911</v>
      </c>
      <c r="R51" s="20" t="n">
        <v>0.78546987</v>
      </c>
    </row>
    <row r="52" spans="1:18">
      <c r="A52" s="15" t="s">
        <v>476</v>
      </c>
      <c r="B52" s="17" t="n">
        <v>2796</v>
      </c>
      <c r="C52" s="18">
        <f>(2453.0/B52*100)</f>
        <v/>
      </c>
      <c r="D52" s="19" t="n">
        <v>343</v>
      </c>
      <c r="E52" s="18" t="n">
        <v>15.79499657</v>
      </c>
      <c r="F52" s="20" t="n">
        <v>1.98654459</v>
      </c>
      <c r="G52" s="18" t="n">
        <v>76.15405488</v>
      </c>
      <c r="H52" s="20" t="n">
        <v>2.22827537</v>
      </c>
      <c r="I52" s="18" t="s">
        <v>431</v>
      </c>
      <c r="J52" s="20" t="s">
        <v>431</v>
      </c>
      <c r="K52" s="18" t="n">
        <v>0.26711987</v>
      </c>
      <c r="L52" s="20" t="n">
        <v>0.26653492</v>
      </c>
      <c r="M52" s="18" t="n">
        <v>0</v>
      </c>
      <c r="N52" s="20" t="n">
        <v>0</v>
      </c>
      <c r="O52" s="18" t="n">
        <v>0</v>
      </c>
      <c r="P52" s="20" t="n">
        <v>0</v>
      </c>
      <c r="Q52" s="18" t="n">
        <v>7.78382868</v>
      </c>
      <c r="R52" s="20" t="n">
        <v>1.50732198</v>
      </c>
    </row>
    <row r="53" spans="1:18">
      <c r="A53" s="15" t="s">
        <v>477</v>
      </c>
      <c r="B53" s="17" t="n">
        <v>2811</v>
      </c>
      <c r="C53" s="18">
        <f>(2475.0/B53*100)</f>
        <v/>
      </c>
      <c r="D53" s="19" t="n">
        <v>336</v>
      </c>
      <c r="E53" s="18" t="n">
        <v>27.07121753</v>
      </c>
      <c r="F53" s="20" t="n">
        <v>2.44245821</v>
      </c>
      <c r="G53" s="18" t="n">
        <v>56.79300793</v>
      </c>
      <c r="H53" s="20" t="n">
        <v>3.01868923</v>
      </c>
      <c r="I53" s="18" t="s">
        <v>431</v>
      </c>
      <c r="J53" s="20" t="s">
        <v>431</v>
      </c>
      <c r="K53" s="18" t="n">
        <v>1.54158641</v>
      </c>
      <c r="L53" s="20" t="n">
        <v>0.7600961000000001</v>
      </c>
      <c r="M53" s="18" t="n">
        <v>0</v>
      </c>
      <c r="N53" s="20" t="n">
        <v>0</v>
      </c>
      <c r="O53" s="18" t="n">
        <v>0</v>
      </c>
      <c r="P53" s="20" t="n">
        <v>0</v>
      </c>
      <c r="Q53" s="18" t="n">
        <v>14.59418814</v>
      </c>
      <c r="R53" s="20" t="n">
        <v>1.75283195</v>
      </c>
    </row>
    <row r="54" spans="1:18">
      <c r="A54" s="15" t="s">
        <v>478</v>
      </c>
      <c r="B54" s="17" t="n">
        <v>2266</v>
      </c>
      <c r="C54" s="18">
        <f>(1906.0/B54*100)</f>
        <v/>
      </c>
      <c r="D54" s="19" t="n">
        <v>360</v>
      </c>
      <c r="E54" s="18" t="n">
        <v>35.46258239</v>
      </c>
      <c r="F54" s="20" t="n">
        <v>2.72296734</v>
      </c>
      <c r="G54" s="18" t="n">
        <v>37.62974968</v>
      </c>
      <c r="H54" s="20" t="n">
        <v>3.12556788</v>
      </c>
      <c r="I54" s="18" t="s">
        <v>431</v>
      </c>
      <c r="J54" s="20" t="s">
        <v>431</v>
      </c>
      <c r="K54" s="18" t="n">
        <v>17.47794444</v>
      </c>
      <c r="L54" s="20" t="n">
        <v>2.1368747</v>
      </c>
      <c r="M54" s="18" t="n">
        <v>0.55140993</v>
      </c>
      <c r="N54" s="20" t="n">
        <v>0.42782669</v>
      </c>
      <c r="O54" s="18" t="n">
        <v>0</v>
      </c>
      <c r="P54" s="20" t="n">
        <v>0</v>
      </c>
      <c r="Q54" s="18" t="n">
        <v>8.87831356</v>
      </c>
      <c r="R54" s="20" t="n">
        <v>1.67228375</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(2347.0/B56*100)</f>
        <v/>
      </c>
      <c r="D56" s="19" t="n">
        <v>337</v>
      </c>
      <c r="E56" s="18" t="n">
        <v>11.38787678</v>
      </c>
      <c r="F56" s="20" t="n">
        <v>1.70914715</v>
      </c>
      <c r="G56" s="18" t="n">
        <v>86.02101911</v>
      </c>
      <c r="H56" s="20" t="n">
        <v>1.72178246</v>
      </c>
      <c r="I56" s="18" t="s">
        <v>431</v>
      </c>
      <c r="J56" s="20" t="s">
        <v>431</v>
      </c>
      <c r="K56" s="18" t="n">
        <v>1.15859118</v>
      </c>
      <c r="L56" s="20" t="n">
        <v>0.58212518</v>
      </c>
      <c r="M56" s="18" t="n">
        <v>0</v>
      </c>
      <c r="N56" s="20" t="n">
        <v>0</v>
      </c>
      <c r="O56" s="18" t="n">
        <v>0</v>
      </c>
      <c r="P56" s="20" t="n">
        <v>0</v>
      </c>
      <c r="Q56" s="18" t="n">
        <v>1.43251293</v>
      </c>
      <c r="R56" s="20" t="n">
        <v>0.6839012</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(2945.0/B61*100)</f>
        <v/>
      </c>
      <c r="D61" s="19" t="n">
        <v>379</v>
      </c>
      <c r="E61" s="18" t="n">
        <v>21.70312856</v>
      </c>
      <c r="F61" s="20" t="n">
        <v>2.38036834</v>
      </c>
      <c r="G61" s="18" t="n">
        <v>73.10800519</v>
      </c>
      <c r="H61" s="20" t="n">
        <v>2.4739811</v>
      </c>
      <c r="I61" s="18" t="s">
        <v>431</v>
      </c>
      <c r="J61" s="20" t="s">
        <v>431</v>
      </c>
      <c r="K61" s="18" t="n">
        <v>0.39154079</v>
      </c>
      <c r="L61" s="20" t="n">
        <v>0.34688173</v>
      </c>
      <c r="M61" s="18" t="n">
        <v>0</v>
      </c>
      <c r="N61" s="20" t="n">
        <v>0</v>
      </c>
      <c r="O61" s="18" t="n">
        <v>0</v>
      </c>
      <c r="P61" s="20" t="n">
        <v>0</v>
      </c>
      <c r="Q61" s="18" t="n">
        <v>4.79732547</v>
      </c>
      <c r="R61" s="20" t="n">
        <v>1.03989964</v>
      </c>
    </row>
    <row r="62" spans="1:18">
      <c r="A62" s="15" t="s">
        <v>486</v>
      </c>
      <c r="B62" s="17" t="n">
        <v>2246</v>
      </c>
      <c r="C62" s="18">
        <f>(1967.0/B62*100)</f>
        <v/>
      </c>
      <c r="D62" s="19" t="n">
        <v>279</v>
      </c>
      <c r="E62" s="18" t="n">
        <v>13.95002317</v>
      </c>
      <c r="F62" s="20" t="n">
        <v>1.95479403</v>
      </c>
      <c r="G62" s="18" t="n">
        <v>84.24107797000001</v>
      </c>
      <c r="H62" s="20" t="n">
        <v>2.16779861</v>
      </c>
      <c r="I62" s="18" t="s">
        <v>431</v>
      </c>
      <c r="J62" s="20" t="s">
        <v>431</v>
      </c>
      <c r="K62" s="18" t="n">
        <v>0.36838918</v>
      </c>
      <c r="L62" s="20" t="n">
        <v>0.36597271</v>
      </c>
      <c r="M62" s="18" t="n">
        <v>0</v>
      </c>
      <c r="N62" s="20" t="n">
        <v>0</v>
      </c>
      <c r="O62" s="18" t="n">
        <v>0</v>
      </c>
      <c r="P62" s="20" t="n">
        <v>0</v>
      </c>
      <c r="Q62" s="18" t="n">
        <v>1.44050968</v>
      </c>
      <c r="R62" s="20" t="n">
        <v>0.72799389</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(2555.0/B66*100)</f>
        <v/>
      </c>
      <c r="D66" s="19" t="n">
        <v>339</v>
      </c>
      <c r="E66" s="18" t="n">
        <v>15.05733162</v>
      </c>
      <c r="F66" s="20" t="n">
        <v>2.17436802</v>
      </c>
      <c r="G66" s="18" t="n">
        <v>64.12712628</v>
      </c>
      <c r="H66" s="20" t="n">
        <v>3.25577862</v>
      </c>
      <c r="I66" s="18" t="s">
        <v>431</v>
      </c>
      <c r="J66" s="20" t="s">
        <v>431</v>
      </c>
      <c r="K66" s="18" t="n">
        <v>3.97055438</v>
      </c>
      <c r="L66" s="20" t="n">
        <v>1.24902638</v>
      </c>
      <c r="M66" s="18" t="n">
        <v>0.27460661</v>
      </c>
      <c r="N66" s="20" t="n">
        <v>0.27286475</v>
      </c>
      <c r="O66" s="18" t="n">
        <v>0</v>
      </c>
      <c r="P66" s="20" t="n">
        <v>0</v>
      </c>
      <c r="Q66" s="18" t="n">
        <v>16.57038111</v>
      </c>
      <c r="R66" s="20" t="n">
        <v>2.05652089</v>
      </c>
    </row>
    <row r="67" spans="1:18">
      <c r="A67" s="15" t="s">
        <v>491</v>
      </c>
      <c r="B67" s="17" t="n">
        <v>3511</v>
      </c>
      <c r="C67" s="18">
        <f>(3166.0/B67*100)</f>
        <v/>
      </c>
      <c r="D67" s="19" t="n">
        <v>345</v>
      </c>
      <c r="E67" s="18" t="n">
        <v>33.66235036</v>
      </c>
      <c r="F67" s="20" t="n">
        <v>2.52192478</v>
      </c>
      <c r="G67" s="18" t="n">
        <v>61.44158527</v>
      </c>
      <c r="H67" s="20" t="n">
        <v>2.56555021</v>
      </c>
      <c r="I67" s="18" t="s">
        <v>431</v>
      </c>
      <c r="J67" s="20" t="s">
        <v>431</v>
      </c>
      <c r="K67" s="18" t="n">
        <v>0.73512718</v>
      </c>
      <c r="L67" s="20" t="n">
        <v>0.42152095</v>
      </c>
      <c r="M67" s="18" t="n">
        <v>0</v>
      </c>
      <c r="N67" s="20" t="n">
        <v>0</v>
      </c>
      <c r="O67" s="18" t="n">
        <v>0</v>
      </c>
      <c r="P67" s="20" t="n">
        <v>0</v>
      </c>
      <c r="Q67" s="18" t="n">
        <v>4.16093718</v>
      </c>
      <c r="R67" s="20" t="n">
        <v>1.12750932</v>
      </c>
    </row>
    <row r="68" spans="1:18">
      <c r="A68" s="15" t="s">
        <v>492</v>
      </c>
      <c r="B68" s="17" t="n">
        <v>6049</v>
      </c>
      <c r="C68" s="18">
        <f>(5037.0/B68*100)</f>
        <v/>
      </c>
      <c r="D68" s="19" t="n">
        <v>1012</v>
      </c>
      <c r="E68" s="18" t="n">
        <v>26.23853335</v>
      </c>
      <c r="F68" s="20" t="n">
        <v>1.39719799</v>
      </c>
      <c r="G68" s="18" t="n">
        <v>54.10010447</v>
      </c>
      <c r="H68" s="20" t="n">
        <v>1.58954561</v>
      </c>
      <c r="I68" s="18" t="s">
        <v>431</v>
      </c>
      <c r="J68" s="20" t="s">
        <v>431</v>
      </c>
      <c r="K68" s="18" t="n">
        <v>7.4232634</v>
      </c>
      <c r="L68" s="20" t="n">
        <v>0.80929832</v>
      </c>
      <c r="M68" s="18" t="n">
        <v>0.0951089</v>
      </c>
      <c r="N68" s="20" t="n">
        <v>0.09537316999999999</v>
      </c>
      <c r="O68" s="18" t="n">
        <v>0</v>
      </c>
      <c r="P68" s="20" t="n">
        <v>0</v>
      </c>
      <c r="Q68" s="18" t="n">
        <v>12.14298988</v>
      </c>
      <c r="R68" s="20" t="n">
        <v>1.17200001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(2593.0/B70*100)</f>
        <v/>
      </c>
      <c r="D70" s="19" t="n">
        <v>336</v>
      </c>
      <c r="E70" s="18" t="n">
        <v>9.22948684</v>
      </c>
      <c r="F70" s="20" t="n">
        <v>1.63086341</v>
      </c>
      <c r="G70" s="18" t="n">
        <v>87.83464035999999</v>
      </c>
      <c r="H70" s="20" t="n">
        <v>1.79580103</v>
      </c>
      <c r="I70" s="18" t="s">
        <v>431</v>
      </c>
      <c r="J70" s="20" t="s">
        <v>431</v>
      </c>
      <c r="K70" s="18" t="n">
        <v>0</v>
      </c>
      <c r="L70" s="20" t="n">
        <v>0</v>
      </c>
      <c r="M70" s="18" t="n">
        <v>0</v>
      </c>
      <c r="N70" s="20" t="n">
        <v>0</v>
      </c>
      <c r="O70" s="18" t="n">
        <v>0</v>
      </c>
      <c r="P70" s="20" t="n">
        <v>0</v>
      </c>
      <c r="Q70" s="18" t="n">
        <v>2.93587279</v>
      </c>
      <c r="R70" s="20" t="n">
        <v>0.90101818</v>
      </c>
    </row>
    <row r="71" spans="1:18">
      <c r="A71" s="15" t="s">
        <v>495</v>
      </c>
      <c r="B71" s="17" t="n">
        <v>3142</v>
      </c>
      <c r="C71" s="18">
        <f>(2755.0/B71*100)</f>
        <v/>
      </c>
      <c r="D71" s="19" t="n">
        <v>387</v>
      </c>
      <c r="E71" s="18" t="n">
        <v>12.58250275</v>
      </c>
      <c r="F71" s="20" t="n">
        <v>1.88940647</v>
      </c>
      <c r="G71" s="18" t="n">
        <v>83.7692512</v>
      </c>
      <c r="H71" s="20" t="n">
        <v>2.00386542</v>
      </c>
      <c r="I71" s="18" t="s">
        <v>431</v>
      </c>
      <c r="J71" s="20" t="s">
        <v>431</v>
      </c>
      <c r="K71" s="18" t="n">
        <v>0.78043755</v>
      </c>
      <c r="L71" s="20" t="n">
        <v>0.46295356</v>
      </c>
      <c r="M71" s="18" t="n">
        <v>0</v>
      </c>
      <c r="N71" s="20" t="n">
        <v>0</v>
      </c>
      <c r="O71" s="18" t="n">
        <v>0</v>
      </c>
      <c r="P71" s="20" t="n">
        <v>0</v>
      </c>
      <c r="Q71" s="18" t="n">
        <v>2.8678085</v>
      </c>
      <c r="R71" s="20" t="n">
        <v>0.851758</v>
      </c>
    </row>
    <row r="72" spans="1:18">
      <c r="A72" s="15" t="s">
        <v>496</v>
      </c>
      <c r="B72" s="17" t="n">
        <v>3889</v>
      </c>
      <c r="C72" s="18">
        <f>(3409.0/B72*100)</f>
        <v/>
      </c>
      <c r="D72" s="19" t="n">
        <v>480</v>
      </c>
      <c r="E72" s="18" t="n">
        <v>6.10484827</v>
      </c>
      <c r="F72" s="20" t="n">
        <v>1.32627633</v>
      </c>
      <c r="G72" s="18" t="n">
        <v>89.35193314</v>
      </c>
      <c r="H72" s="20" t="n">
        <v>1.50555956</v>
      </c>
      <c r="I72" s="18" t="s">
        <v>431</v>
      </c>
      <c r="J72" s="20" t="s">
        <v>431</v>
      </c>
      <c r="K72" s="18" t="n">
        <v>0</v>
      </c>
      <c r="L72" s="20" t="n">
        <v>0</v>
      </c>
      <c r="M72" s="18" t="n">
        <v>0</v>
      </c>
      <c r="N72" s="20" t="n">
        <v>0</v>
      </c>
      <c r="O72" s="18" t="n">
        <v>0</v>
      </c>
      <c r="P72" s="20" t="n">
        <v>0</v>
      </c>
      <c r="Q72" s="18" t="n">
        <v>4.54321859</v>
      </c>
      <c r="R72" s="20" t="n">
        <v>0.95581651</v>
      </c>
    </row>
    <row r="73" spans="1:18">
      <c r="A73" s="15" t="s">
        <v>497</v>
      </c>
      <c r="B73" s="17" t="n">
        <v>3597</v>
      </c>
      <c r="C73" s="18">
        <f>(3185.0/B73*100)</f>
        <v/>
      </c>
      <c r="D73" s="19" t="n">
        <v>412</v>
      </c>
      <c r="E73" s="18" t="n">
        <v>16.99392432</v>
      </c>
      <c r="F73" s="20" t="n">
        <v>2.03022549</v>
      </c>
      <c r="G73" s="18" t="n">
        <v>80.70450758</v>
      </c>
      <c r="H73" s="20" t="n">
        <v>2.01892279</v>
      </c>
      <c r="I73" s="18" t="s">
        <v>431</v>
      </c>
      <c r="J73" s="20" t="s">
        <v>431</v>
      </c>
      <c r="K73" s="18" t="n">
        <v>1.06819243</v>
      </c>
      <c r="L73" s="20" t="n">
        <v>0.6257500499999999</v>
      </c>
      <c r="M73" s="18" t="n">
        <v>0</v>
      </c>
      <c r="N73" s="20" t="n">
        <v>0</v>
      </c>
      <c r="O73" s="18" t="n">
        <v>0</v>
      </c>
      <c r="P73" s="20" t="n">
        <v>0</v>
      </c>
      <c r="Q73" s="18" t="n">
        <v>1.23337567</v>
      </c>
      <c r="R73" s="20" t="n">
        <v>0.62542651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(2141.0/B75*100)</f>
        <v/>
      </c>
      <c r="D75" s="19" t="n">
        <v>265</v>
      </c>
      <c r="E75" s="18" t="n">
        <v>24.20207562</v>
      </c>
      <c r="F75" s="20" t="n">
        <v>2.67815772</v>
      </c>
      <c r="G75" s="18" t="n">
        <v>54.63347083</v>
      </c>
      <c r="H75" s="20" t="n">
        <v>3.18891215</v>
      </c>
      <c r="I75" s="18" t="s">
        <v>431</v>
      </c>
      <c r="J75" s="20" t="s">
        <v>431</v>
      </c>
      <c r="K75" s="18" t="n">
        <v>4.40257045</v>
      </c>
      <c r="L75" s="20" t="n">
        <v>1.38908977</v>
      </c>
      <c r="M75" s="18" t="n">
        <v>0</v>
      </c>
      <c r="N75" s="20" t="n">
        <v>0</v>
      </c>
      <c r="O75" s="18" t="n">
        <v>0</v>
      </c>
      <c r="P75" s="20" t="n">
        <v>0</v>
      </c>
      <c r="Q75" s="18" t="n">
        <v>16.76188311</v>
      </c>
      <c r="R75" s="20" t="n">
        <v>2.81604449</v>
      </c>
    </row>
    <row r="76" spans="1:18">
      <c r="A76" s="15" t="s">
        <v>500</v>
      </c>
      <c r="B76" s="17" t="n">
        <v>7052</v>
      </c>
      <c r="C76" s="18">
        <f>(6200.0/B76*100)</f>
        <v/>
      </c>
      <c r="D76" s="19" t="n">
        <v>852</v>
      </c>
      <c r="E76" s="18" t="n">
        <v>22.53806876</v>
      </c>
      <c r="F76" s="20" t="n">
        <v>1.41082241</v>
      </c>
      <c r="G76" s="18" t="n">
        <v>69.64001043</v>
      </c>
      <c r="H76" s="20" t="n">
        <v>1.58520527</v>
      </c>
      <c r="I76" s="18" t="s">
        <v>431</v>
      </c>
      <c r="J76" s="20" t="s">
        <v>431</v>
      </c>
      <c r="K76" s="18" t="n">
        <v>2.40014142</v>
      </c>
      <c r="L76" s="20" t="n">
        <v>0.6275016</v>
      </c>
      <c r="M76" s="18" t="n">
        <v>0.06129641</v>
      </c>
      <c r="N76" s="20" t="n">
        <v>0.06178721</v>
      </c>
      <c r="O76" s="18" t="n">
        <v>0</v>
      </c>
      <c r="P76" s="20" t="n">
        <v>0</v>
      </c>
      <c r="Q76" s="18" t="n">
        <v>5.36048298</v>
      </c>
      <c r="R76" s="20" t="n">
        <v>0.88787311</v>
      </c>
    </row>
    <row r="77" spans="1:18">
      <c r="A77" s="15" t="s">
        <v>501</v>
      </c>
      <c r="B77" s="17" t="n">
        <v>2908</v>
      </c>
      <c r="C77" s="18">
        <f>(2562.0/B77*100)</f>
        <v/>
      </c>
      <c r="D77" s="19" t="n">
        <v>346</v>
      </c>
      <c r="E77" s="18" t="n">
        <v>17.61904835</v>
      </c>
      <c r="F77" s="20" t="n">
        <v>1.90246498</v>
      </c>
      <c r="G77" s="18" t="n">
        <v>63.17864801</v>
      </c>
      <c r="H77" s="20" t="n">
        <v>2.16313171</v>
      </c>
      <c r="I77" s="18" t="s">
        <v>431</v>
      </c>
      <c r="J77" s="20" t="s">
        <v>431</v>
      </c>
      <c r="K77" s="18" t="n">
        <v>4.80134731</v>
      </c>
      <c r="L77" s="20" t="n">
        <v>1.15074182</v>
      </c>
      <c r="M77" s="18" t="n">
        <v>0.16887504</v>
      </c>
      <c r="N77" s="20" t="n">
        <v>0.18306783</v>
      </c>
      <c r="O77" s="18" t="n">
        <v>0</v>
      </c>
      <c r="P77" s="20" t="n">
        <v>0</v>
      </c>
      <c r="Q77" s="18" t="n">
        <v>14.23208128</v>
      </c>
      <c r="R77" s="20" t="n">
        <v>1.91956969</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(3653.0/B81*100)</f>
        <v/>
      </c>
      <c r="D81" s="19" t="n">
        <v>510</v>
      </c>
      <c r="E81" s="18" t="n">
        <v>8.41025527</v>
      </c>
      <c r="F81" s="20" t="n">
        <v>1.58067791</v>
      </c>
      <c r="G81" s="18" t="n">
        <v>10.1733928</v>
      </c>
      <c r="H81" s="20" t="n">
        <v>1.67895425</v>
      </c>
      <c r="I81" s="18" t="s">
        <v>431</v>
      </c>
      <c r="J81" s="20" t="s">
        <v>431</v>
      </c>
      <c r="K81" s="18" t="n">
        <v>0.01151412</v>
      </c>
      <c r="L81" s="20" t="n">
        <v>0.01146343</v>
      </c>
      <c r="M81" s="18" t="n">
        <v>81.40483781</v>
      </c>
      <c r="N81" s="20" t="n">
        <v>2.51247026</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(6503.0/B7*100)</f>
        <v/>
      </c>
      <c r="D7" s="19" t="n">
        <v>864</v>
      </c>
      <c r="E7" s="18" t="n">
        <v>43.12294512</v>
      </c>
      <c r="F7" s="20" t="n">
        <v>1.8234727</v>
      </c>
      <c r="G7" s="18" t="n">
        <v>54.93443746</v>
      </c>
      <c r="H7" s="20" t="n">
        <v>1.95818347</v>
      </c>
      <c r="I7" s="18" t="s">
        <v>431</v>
      </c>
      <c r="J7" s="20" t="s">
        <v>431</v>
      </c>
      <c r="K7" s="18" t="n">
        <v>1.02483344</v>
      </c>
      <c r="L7" s="20" t="n">
        <v>0.45422143</v>
      </c>
      <c r="M7" s="18" t="n">
        <v>0</v>
      </c>
      <c r="N7" s="20" t="n">
        <v>0</v>
      </c>
      <c r="O7" s="18" t="n">
        <v>0</v>
      </c>
      <c r="P7" s="20" t="n">
        <v>0</v>
      </c>
      <c r="Q7" s="18" t="n">
        <v>0.9177839800000001</v>
      </c>
      <c r="R7" s="20" t="n">
        <v>0.42938739</v>
      </c>
    </row>
    <row r="8" spans="1:18">
      <c r="A8" s="15" t="s">
        <v>432</v>
      </c>
      <c r="B8" s="17" t="n">
        <v>3564</v>
      </c>
      <c r="C8" s="18">
        <f>(3114.0/B8*100)</f>
        <v/>
      </c>
      <c r="D8" s="19" t="n">
        <v>450</v>
      </c>
      <c r="E8" s="18" t="n">
        <v>47.84762136</v>
      </c>
      <c r="F8" s="20" t="n">
        <v>2.24862947</v>
      </c>
      <c r="G8" s="18" t="n">
        <v>48.87127521</v>
      </c>
      <c r="H8" s="20" t="n">
        <v>2.17415627</v>
      </c>
      <c r="I8" s="18" t="s">
        <v>431</v>
      </c>
      <c r="J8" s="20" t="s">
        <v>431</v>
      </c>
      <c r="K8" s="18" t="n">
        <v>0.96650314</v>
      </c>
      <c r="L8" s="20" t="n">
        <v>0.48688257</v>
      </c>
      <c r="M8" s="18" t="n">
        <v>0</v>
      </c>
      <c r="N8" s="20" t="n">
        <v>0</v>
      </c>
      <c r="O8" s="18" t="n">
        <v>0</v>
      </c>
      <c r="P8" s="20" t="n">
        <v>0</v>
      </c>
      <c r="Q8" s="18" t="n">
        <v>2.31460029</v>
      </c>
      <c r="R8" s="20" t="n">
        <v>0.7503300000000001</v>
      </c>
    </row>
    <row r="9" spans="1:18">
      <c r="A9" s="15" t="s">
        <v>433</v>
      </c>
      <c r="B9" s="17" t="n">
        <v>4899</v>
      </c>
      <c r="C9" s="18">
        <f>(4167.0/B9*100)</f>
        <v/>
      </c>
      <c r="D9" s="19" t="n">
        <v>732</v>
      </c>
      <c r="E9" s="18" t="n">
        <v>42.6159526</v>
      </c>
      <c r="F9" s="20" t="n">
        <v>2.12741865</v>
      </c>
      <c r="G9" s="18" t="n">
        <v>52.66433877</v>
      </c>
      <c r="H9" s="20" t="n">
        <v>2.11961988</v>
      </c>
      <c r="I9" s="18" t="s">
        <v>431</v>
      </c>
      <c r="J9" s="20" t="s">
        <v>431</v>
      </c>
      <c r="K9" s="18" t="n">
        <v>2.5432375</v>
      </c>
      <c r="L9" s="20" t="n">
        <v>0.58603668</v>
      </c>
      <c r="M9" s="18" t="n">
        <v>0</v>
      </c>
      <c r="N9" s="20" t="n">
        <v>0</v>
      </c>
      <c r="O9" s="18" t="n">
        <v>0</v>
      </c>
      <c r="P9" s="20" t="n">
        <v>0</v>
      </c>
      <c r="Q9" s="18" t="n">
        <v>2.17647113</v>
      </c>
      <c r="R9" s="20" t="n">
        <v>0.62231885</v>
      </c>
    </row>
    <row r="10" spans="1:18">
      <c r="A10" s="15" t="s">
        <v>434</v>
      </c>
      <c r="B10" s="17" t="n">
        <v>10036</v>
      </c>
      <c r="C10" s="18">
        <f>(8761.0/B10*100)</f>
        <v/>
      </c>
      <c r="D10" s="19" t="n">
        <v>1275</v>
      </c>
      <c r="E10" s="18" t="n">
        <v>41.49116187</v>
      </c>
      <c r="F10" s="20" t="n">
        <v>1.92312551</v>
      </c>
      <c r="G10" s="18" t="n">
        <v>57.02048841</v>
      </c>
      <c r="H10" s="20" t="n">
        <v>1.98334236</v>
      </c>
      <c r="I10" s="18" t="s">
        <v>431</v>
      </c>
      <c r="J10" s="20" t="s">
        <v>431</v>
      </c>
      <c r="K10" s="18" t="n">
        <v>0.54957398</v>
      </c>
      <c r="L10" s="20" t="n">
        <v>0.25046342</v>
      </c>
      <c r="M10" s="18" t="n">
        <v>0</v>
      </c>
      <c r="N10" s="20" t="n">
        <v>0</v>
      </c>
      <c r="O10" s="18" t="n">
        <v>0</v>
      </c>
      <c r="P10" s="20" t="n">
        <v>0</v>
      </c>
      <c r="Q10" s="18" t="n">
        <v>0.93877573</v>
      </c>
      <c r="R10" s="20" t="n">
        <v>0.36079069</v>
      </c>
    </row>
    <row r="11" spans="1:18">
      <c r="A11" s="15" t="s">
        <v>435</v>
      </c>
      <c r="B11" s="17" t="n">
        <v>3553</v>
      </c>
      <c r="C11" s="18">
        <f>(3169.0/B11*100)</f>
        <v/>
      </c>
      <c r="D11" s="19" t="n">
        <v>384</v>
      </c>
      <c r="E11" s="18" t="n">
        <v>52.98332611</v>
      </c>
      <c r="F11" s="20" t="n">
        <v>2.81718079</v>
      </c>
      <c r="G11" s="18" t="n">
        <v>43.24062113</v>
      </c>
      <c r="H11" s="20" t="n">
        <v>2.85889295</v>
      </c>
      <c r="I11" s="18" t="s">
        <v>431</v>
      </c>
      <c r="J11" s="20" t="s">
        <v>431</v>
      </c>
      <c r="K11" s="18" t="n">
        <v>3.33800534</v>
      </c>
      <c r="L11" s="20" t="n">
        <v>1.20098394</v>
      </c>
      <c r="M11" s="18" t="n">
        <v>0</v>
      </c>
      <c r="N11" s="20" t="n">
        <v>0</v>
      </c>
      <c r="O11" s="18" t="n">
        <v>0</v>
      </c>
      <c r="P11" s="20" t="n">
        <v>0</v>
      </c>
      <c r="Q11" s="18" t="n">
        <v>0.43804742</v>
      </c>
      <c r="R11" s="20" t="n">
        <v>0.34858148</v>
      </c>
    </row>
    <row r="12" spans="1:18">
      <c r="A12" s="15" t="s">
        <v>436</v>
      </c>
      <c r="B12" s="17" t="n">
        <v>3472</v>
      </c>
      <c r="C12" s="18">
        <f>(3004.0/B12*100)</f>
        <v/>
      </c>
      <c r="D12" s="19" t="n">
        <v>468</v>
      </c>
      <c r="E12" s="18" t="n">
        <v>44.36210339</v>
      </c>
      <c r="F12" s="20" t="n">
        <v>2.88962037</v>
      </c>
      <c r="G12" s="18" t="n">
        <v>53.58683956</v>
      </c>
      <c r="H12" s="20" t="n">
        <v>2.95340733</v>
      </c>
      <c r="I12" s="18" t="s">
        <v>431</v>
      </c>
      <c r="J12" s="20" t="s">
        <v>431</v>
      </c>
      <c r="K12" s="18" t="n">
        <v>0.55985297</v>
      </c>
      <c r="L12" s="20" t="n">
        <v>0.30126857</v>
      </c>
      <c r="M12" s="18" t="n">
        <v>0</v>
      </c>
      <c r="N12" s="20" t="n">
        <v>0</v>
      </c>
      <c r="O12" s="18" t="n">
        <v>0</v>
      </c>
      <c r="P12" s="20" t="n">
        <v>0</v>
      </c>
      <c r="Q12" s="18" t="n">
        <v>1.49120407</v>
      </c>
      <c r="R12" s="20" t="n">
        <v>0.61468772</v>
      </c>
    </row>
    <row r="13" spans="1:18">
      <c r="A13" s="15" t="s">
        <v>437</v>
      </c>
      <c r="B13" s="17" t="n">
        <v>3559</v>
      </c>
      <c r="C13" s="18">
        <f>(2938.0/B13*100)</f>
        <v/>
      </c>
      <c r="D13" s="19" t="n">
        <v>621</v>
      </c>
      <c r="E13" s="18" t="n">
        <v>38.55966955</v>
      </c>
      <c r="F13" s="20" t="n">
        <v>2.41298362</v>
      </c>
      <c r="G13" s="18" t="n">
        <v>59.0579111</v>
      </c>
      <c r="H13" s="20" t="n">
        <v>2.44913742</v>
      </c>
      <c r="I13" s="18" t="s">
        <v>431</v>
      </c>
      <c r="J13" s="20" t="s">
        <v>431</v>
      </c>
      <c r="K13" s="18" t="n">
        <v>1.3987334</v>
      </c>
      <c r="L13" s="20" t="n">
        <v>0.49165554</v>
      </c>
      <c r="M13" s="18" t="n">
        <v>0</v>
      </c>
      <c r="N13" s="20" t="n">
        <v>0</v>
      </c>
      <c r="O13" s="18" t="n">
        <v>0</v>
      </c>
      <c r="P13" s="20" t="n">
        <v>0</v>
      </c>
      <c r="Q13" s="18" t="n">
        <v>0.98368595</v>
      </c>
      <c r="R13" s="20" t="n">
        <v>0.4212673</v>
      </c>
    </row>
    <row r="14" spans="1:18">
      <c r="A14" s="15" t="s">
        <v>438</v>
      </c>
      <c r="B14" s="17" t="n">
        <v>2799</v>
      </c>
      <c r="C14" s="18">
        <f>(2471.0/B14*100)</f>
        <v/>
      </c>
      <c r="D14" s="19" t="n">
        <v>328</v>
      </c>
      <c r="E14" s="18" t="n">
        <v>36.35127044</v>
      </c>
      <c r="F14" s="20" t="n">
        <v>3.09632934</v>
      </c>
      <c r="G14" s="18" t="n">
        <v>62.61122756</v>
      </c>
      <c r="H14" s="20" t="n">
        <v>3.15905104</v>
      </c>
      <c r="I14" s="18" t="s">
        <v>431</v>
      </c>
      <c r="J14" s="20" t="s">
        <v>431</v>
      </c>
      <c r="K14" s="18" t="n">
        <v>0.8316327999999999</v>
      </c>
      <c r="L14" s="20" t="n">
        <v>0.47059922</v>
      </c>
      <c r="M14" s="18" t="n">
        <v>0</v>
      </c>
      <c r="N14" s="20" t="n">
        <v>0</v>
      </c>
      <c r="O14" s="18" t="n">
        <v>0</v>
      </c>
      <c r="P14" s="20" t="n">
        <v>0</v>
      </c>
      <c r="Q14" s="18" t="n">
        <v>0.20586921</v>
      </c>
      <c r="R14" s="20" t="n">
        <v>0.20638639</v>
      </c>
    </row>
    <row r="15" spans="1:18">
      <c r="A15" s="15" t="s">
        <v>439</v>
      </c>
      <c r="B15" s="17" t="n">
        <v>3019</v>
      </c>
      <c r="C15" s="18">
        <f>(2619.0/B15*100)</f>
        <v/>
      </c>
      <c r="D15" s="19" t="n">
        <v>400</v>
      </c>
      <c r="E15" s="18" t="n">
        <v>33.82142062</v>
      </c>
      <c r="F15" s="20" t="n">
        <v>2.25691839</v>
      </c>
      <c r="G15" s="18" t="n">
        <v>65.01771761000001</v>
      </c>
      <c r="H15" s="20" t="n">
        <v>2.30510647</v>
      </c>
      <c r="I15" s="18" t="s">
        <v>431</v>
      </c>
      <c r="J15" s="20" t="s">
        <v>431</v>
      </c>
      <c r="K15" s="18" t="n">
        <v>0.68769175</v>
      </c>
      <c r="L15" s="20" t="n">
        <v>0.39802722</v>
      </c>
      <c r="M15" s="18" t="n">
        <v>0</v>
      </c>
      <c r="N15" s="20" t="n">
        <v>0</v>
      </c>
      <c r="O15" s="18" t="n">
        <v>0</v>
      </c>
      <c r="P15" s="20" t="n">
        <v>0</v>
      </c>
      <c r="Q15" s="18" t="n">
        <v>0.47317003</v>
      </c>
      <c r="R15" s="20" t="n">
        <v>0.44166718</v>
      </c>
    </row>
    <row r="16" spans="1:18">
      <c r="A16" s="15" t="s">
        <v>440</v>
      </c>
      <c r="B16" s="17" t="n">
        <v>2997</v>
      </c>
      <c r="C16" s="18">
        <f>(2657.0/B16*100)</f>
        <v/>
      </c>
      <c r="D16" s="19" t="n">
        <v>340</v>
      </c>
      <c r="E16" s="18" t="n">
        <v>42.19835952</v>
      </c>
      <c r="F16" s="20" t="n">
        <v>2.76207011</v>
      </c>
      <c r="G16" s="18" t="n">
        <v>52.42414459</v>
      </c>
      <c r="H16" s="20" t="n">
        <v>2.90724161</v>
      </c>
      <c r="I16" s="18" t="s">
        <v>431</v>
      </c>
      <c r="J16" s="20" t="s">
        <v>431</v>
      </c>
      <c r="K16" s="18" t="n">
        <v>3.38079081</v>
      </c>
      <c r="L16" s="20" t="n">
        <v>0.89403171</v>
      </c>
      <c r="M16" s="18" t="n">
        <v>0</v>
      </c>
      <c r="N16" s="20" t="n">
        <v>0</v>
      </c>
      <c r="O16" s="18" t="n">
        <v>0</v>
      </c>
      <c r="P16" s="20" t="n">
        <v>0</v>
      </c>
      <c r="Q16" s="18" t="n">
        <v>1.99670509</v>
      </c>
      <c r="R16" s="20" t="n">
        <v>0.71675152</v>
      </c>
    </row>
    <row r="17" spans="1:18">
      <c r="A17" s="15" t="s">
        <v>441</v>
      </c>
      <c r="B17" s="17" t="n">
        <v>3307</v>
      </c>
      <c r="C17" s="18">
        <f>(2834.0/B17*100)</f>
        <v/>
      </c>
      <c r="D17" s="19" t="n">
        <v>473</v>
      </c>
      <c r="E17" s="18" t="n">
        <v>46.86626953</v>
      </c>
      <c r="F17" s="20" t="n">
        <v>2.27567074</v>
      </c>
      <c r="G17" s="18" t="n">
        <v>45.7383181</v>
      </c>
      <c r="H17" s="20" t="n">
        <v>2.51603475</v>
      </c>
      <c r="I17" s="18" t="s">
        <v>431</v>
      </c>
      <c r="J17" s="20" t="s">
        <v>431</v>
      </c>
      <c r="K17" s="18" t="n">
        <v>3.650693</v>
      </c>
      <c r="L17" s="20" t="n">
        <v>1.13284686</v>
      </c>
      <c r="M17" s="18" t="n">
        <v>0</v>
      </c>
      <c r="N17" s="20" t="n">
        <v>0</v>
      </c>
      <c r="O17" s="18" t="n">
        <v>0</v>
      </c>
      <c r="P17" s="20" t="n">
        <v>0</v>
      </c>
      <c r="Q17" s="18" t="n">
        <v>3.74471938</v>
      </c>
      <c r="R17" s="20" t="n">
        <v>0.89694891</v>
      </c>
    </row>
    <row r="18" spans="1:18">
      <c r="A18" s="15" t="s">
        <v>442</v>
      </c>
      <c r="B18" s="17" t="n">
        <v>2826</v>
      </c>
      <c r="C18" s="18">
        <f>(2471.0/B18*100)</f>
        <v/>
      </c>
      <c r="D18" s="19" t="n">
        <v>355</v>
      </c>
      <c r="E18" s="18" t="n">
        <v>43.89207876</v>
      </c>
      <c r="F18" s="20" t="n">
        <v>2.87015342</v>
      </c>
      <c r="G18" s="18" t="n">
        <v>51.86002302</v>
      </c>
      <c r="H18" s="20" t="n">
        <v>2.78134468</v>
      </c>
      <c r="I18" s="18" t="s">
        <v>431</v>
      </c>
      <c r="J18" s="20" t="s">
        <v>431</v>
      </c>
      <c r="K18" s="18" t="n">
        <v>2.46250643</v>
      </c>
      <c r="L18" s="20" t="n">
        <v>0.91350663</v>
      </c>
      <c r="M18" s="18" t="n">
        <v>0</v>
      </c>
      <c r="N18" s="20" t="n">
        <v>0</v>
      </c>
      <c r="O18" s="18" t="n">
        <v>0</v>
      </c>
      <c r="P18" s="20" t="n">
        <v>0</v>
      </c>
      <c r="Q18" s="18" t="n">
        <v>1.78539178</v>
      </c>
      <c r="R18" s="20" t="n">
        <v>0.91231756</v>
      </c>
    </row>
    <row r="19" spans="1:18">
      <c r="A19" s="15" t="s">
        <v>443</v>
      </c>
      <c r="B19" s="17" t="n">
        <v>2808</v>
      </c>
      <c r="C19" s="18">
        <f>(2460.0/B19*100)</f>
        <v/>
      </c>
      <c r="D19" s="19" t="n">
        <v>348</v>
      </c>
      <c r="E19" s="18" t="n">
        <v>25.36273419</v>
      </c>
      <c r="F19" s="20" t="n">
        <v>2.64103779</v>
      </c>
      <c r="G19" s="18" t="n">
        <v>72.71469938</v>
      </c>
      <c r="H19" s="20" t="n">
        <v>2.77261043</v>
      </c>
      <c r="I19" s="18" t="s">
        <v>431</v>
      </c>
      <c r="J19" s="20" t="s">
        <v>431</v>
      </c>
      <c r="K19" s="18" t="n">
        <v>0.9723931</v>
      </c>
      <c r="L19" s="20" t="n">
        <v>0.73570068</v>
      </c>
      <c r="M19" s="18" t="n">
        <v>0</v>
      </c>
      <c r="N19" s="20" t="n">
        <v>0</v>
      </c>
      <c r="O19" s="18" t="n">
        <v>0</v>
      </c>
      <c r="P19" s="20" t="n">
        <v>0</v>
      </c>
      <c r="Q19" s="18" t="n">
        <v>0.95017333</v>
      </c>
      <c r="R19" s="20" t="n">
        <v>0.4986422</v>
      </c>
    </row>
    <row r="20" spans="1:18">
      <c r="A20" s="15" t="s">
        <v>444</v>
      </c>
      <c r="B20" s="17" t="n">
        <v>1630</v>
      </c>
      <c r="C20" s="18">
        <f>(1440.0/B20*100)</f>
        <v/>
      </c>
      <c r="D20" s="19" t="n">
        <v>190</v>
      </c>
      <c r="E20" s="18" t="n">
        <v>47.60396837</v>
      </c>
      <c r="F20" s="20" t="n">
        <v>3.4066865</v>
      </c>
      <c r="G20" s="18" t="n">
        <v>51.36068586</v>
      </c>
      <c r="H20" s="20" t="n">
        <v>3.51195163</v>
      </c>
      <c r="I20" s="18" t="s">
        <v>431</v>
      </c>
      <c r="J20" s="20" t="s">
        <v>431</v>
      </c>
      <c r="K20" s="18" t="n">
        <v>1.03534577</v>
      </c>
      <c r="L20" s="20" t="n">
        <v>0.71540978</v>
      </c>
      <c r="M20" s="18" t="n">
        <v>0</v>
      </c>
      <c r="N20" s="20" t="n">
        <v>0</v>
      </c>
      <c r="O20" s="18" t="n">
        <v>0</v>
      </c>
      <c r="P20" s="20" t="n">
        <v>0</v>
      </c>
      <c r="Q20" s="18" t="n">
        <v>0</v>
      </c>
      <c r="R20" s="20" t="n">
        <v>0</v>
      </c>
    </row>
    <row r="21" spans="1:18">
      <c r="A21" s="15" t="s">
        <v>445</v>
      </c>
      <c r="B21" s="17" t="n">
        <v>2908</v>
      </c>
      <c r="C21" s="18">
        <f>(2437.0/B21*100)</f>
        <v/>
      </c>
      <c r="D21" s="19" t="n">
        <v>471</v>
      </c>
      <c r="E21" s="18" t="n">
        <v>38.46956989</v>
      </c>
      <c r="F21" s="20" t="n">
        <v>2.26524382</v>
      </c>
      <c r="G21" s="18" t="n">
        <v>59.72981861</v>
      </c>
      <c r="H21" s="20" t="n">
        <v>2.26094064</v>
      </c>
      <c r="I21" s="18" t="s">
        <v>431</v>
      </c>
      <c r="J21" s="20" t="s">
        <v>431</v>
      </c>
      <c r="K21" s="18" t="n">
        <v>1.24834524</v>
      </c>
      <c r="L21" s="20" t="n">
        <v>0.52509922</v>
      </c>
      <c r="M21" s="18" t="n">
        <v>0</v>
      </c>
      <c r="N21" s="20" t="n">
        <v>0</v>
      </c>
      <c r="O21" s="18" t="n">
        <v>0</v>
      </c>
      <c r="P21" s="20" t="n">
        <v>0</v>
      </c>
      <c r="Q21" s="18" t="n">
        <v>0.55226626</v>
      </c>
      <c r="R21" s="20" t="n">
        <v>0.32213525</v>
      </c>
    </row>
    <row r="22" spans="1:18">
      <c r="A22" s="15" t="s">
        <v>446</v>
      </c>
      <c r="B22" s="17" t="n">
        <v>2931</v>
      </c>
      <c r="C22" s="18">
        <f>(2555.0/B22*100)</f>
        <v/>
      </c>
      <c r="D22" s="19" t="n">
        <v>376</v>
      </c>
      <c r="E22" s="18" t="n">
        <v>33.51673797</v>
      </c>
      <c r="F22" s="20" t="n">
        <v>2.66269481</v>
      </c>
      <c r="G22" s="18" t="n">
        <v>62.11637006</v>
      </c>
      <c r="H22" s="20" t="n">
        <v>2.99337932</v>
      </c>
      <c r="I22" s="18" t="s">
        <v>431</v>
      </c>
      <c r="J22" s="20" t="s">
        <v>431</v>
      </c>
      <c r="K22" s="18" t="n">
        <v>2.62815064</v>
      </c>
      <c r="L22" s="20" t="n">
        <v>0.86452727</v>
      </c>
      <c r="M22" s="18" t="n">
        <v>0</v>
      </c>
      <c r="N22" s="20" t="n">
        <v>0</v>
      </c>
      <c r="O22" s="18" t="n">
        <v>0</v>
      </c>
      <c r="P22" s="20" t="n">
        <v>0</v>
      </c>
      <c r="Q22" s="18" t="n">
        <v>1.73874134</v>
      </c>
      <c r="R22" s="20" t="n">
        <v>0.70702444</v>
      </c>
    </row>
    <row r="23" spans="1:18">
      <c r="A23" s="15" t="s">
        <v>447</v>
      </c>
      <c r="B23" s="17" t="n">
        <v>5791</v>
      </c>
      <c r="C23" s="18">
        <f>(5083.0/B23*100)</f>
        <v/>
      </c>
      <c r="D23" s="19" t="n">
        <v>708</v>
      </c>
      <c r="E23" s="18" t="n">
        <v>38.96608809</v>
      </c>
      <c r="F23" s="20" t="n">
        <v>2.79220391</v>
      </c>
      <c r="G23" s="18" t="n">
        <v>59.42398036</v>
      </c>
      <c r="H23" s="20" t="n">
        <v>2.80885328</v>
      </c>
      <c r="I23" s="18" t="s">
        <v>431</v>
      </c>
      <c r="J23" s="20" t="s">
        <v>431</v>
      </c>
      <c r="K23" s="18" t="n">
        <v>0.75350827</v>
      </c>
      <c r="L23" s="20" t="n">
        <v>0.3772394</v>
      </c>
      <c r="M23" s="18" t="n">
        <v>0</v>
      </c>
      <c r="N23" s="20" t="n">
        <v>0</v>
      </c>
      <c r="O23" s="18" t="n">
        <v>0</v>
      </c>
      <c r="P23" s="20" t="n">
        <v>0</v>
      </c>
      <c r="Q23" s="18" t="n">
        <v>0.85642328</v>
      </c>
      <c r="R23" s="20" t="n">
        <v>0.48569299</v>
      </c>
    </row>
    <row r="24" spans="1:18">
      <c r="A24" s="15" t="s">
        <v>448</v>
      </c>
      <c r="B24" s="17" t="n">
        <v>3338</v>
      </c>
      <c r="C24" s="18">
        <f>(2947.0/B24*100)</f>
        <v/>
      </c>
      <c r="D24" s="19" t="n">
        <v>391</v>
      </c>
      <c r="E24" s="18" t="n">
        <v>43.76637127</v>
      </c>
      <c r="F24" s="20" t="n">
        <v>2.84188628</v>
      </c>
      <c r="G24" s="18" t="n">
        <v>53.79911831</v>
      </c>
      <c r="H24" s="20" t="n">
        <v>2.78552908</v>
      </c>
      <c r="I24" s="18" t="s">
        <v>431</v>
      </c>
      <c r="J24" s="20" t="s">
        <v>431</v>
      </c>
      <c r="K24" s="18" t="n">
        <v>1.64593558</v>
      </c>
      <c r="L24" s="20" t="n">
        <v>0.66817497</v>
      </c>
      <c r="M24" s="18" t="n">
        <v>0</v>
      </c>
      <c r="N24" s="20" t="n">
        <v>0</v>
      </c>
      <c r="O24" s="18" t="n">
        <v>0</v>
      </c>
      <c r="P24" s="20" t="n">
        <v>0</v>
      </c>
      <c r="Q24" s="18" t="n">
        <v>0.78857484</v>
      </c>
      <c r="R24" s="20" t="n">
        <v>0.45029329</v>
      </c>
    </row>
    <row r="25" spans="1:18">
      <c r="A25" s="15" t="s">
        <v>449</v>
      </c>
      <c r="B25" s="17" t="n">
        <v>2912</v>
      </c>
      <c r="C25" s="18">
        <f>(2540.0/B25*100)</f>
        <v/>
      </c>
      <c r="D25" s="19" t="n">
        <v>372</v>
      </c>
      <c r="E25" s="18" t="n">
        <v>22.7329294</v>
      </c>
      <c r="F25" s="20" t="n">
        <v>2.11679995</v>
      </c>
      <c r="G25" s="18" t="n">
        <v>76.03470425</v>
      </c>
      <c r="H25" s="20" t="n">
        <v>2.12352</v>
      </c>
      <c r="I25" s="18" t="s">
        <v>431</v>
      </c>
      <c r="J25" s="20" t="s">
        <v>431</v>
      </c>
      <c r="K25" s="18" t="n">
        <v>0.50223064</v>
      </c>
      <c r="L25" s="20" t="n">
        <v>0.35563473</v>
      </c>
      <c r="M25" s="18" t="n">
        <v>0</v>
      </c>
      <c r="N25" s="20" t="n">
        <v>0</v>
      </c>
      <c r="O25" s="18" t="n">
        <v>0</v>
      </c>
      <c r="P25" s="20" t="n">
        <v>0</v>
      </c>
      <c r="Q25" s="18" t="n">
        <v>0.73013571</v>
      </c>
      <c r="R25" s="20" t="n">
        <v>0.4293054</v>
      </c>
    </row>
    <row r="26" spans="1:18">
      <c r="A26" s="15" t="s">
        <v>450</v>
      </c>
      <c r="B26" s="17" t="n">
        <v>2450</v>
      </c>
      <c r="C26" s="18">
        <f>(2141.0/B26*100)</f>
        <v/>
      </c>
      <c r="D26" s="19" t="n">
        <v>309</v>
      </c>
      <c r="E26" s="18" t="n">
        <v>30.24756666</v>
      </c>
      <c r="F26" s="20" t="n">
        <v>2.76519821</v>
      </c>
      <c r="G26" s="18" t="n">
        <v>68.6960887</v>
      </c>
      <c r="H26" s="20" t="n">
        <v>2.81082151</v>
      </c>
      <c r="I26" s="18" t="s">
        <v>431</v>
      </c>
      <c r="J26" s="20" t="s">
        <v>431</v>
      </c>
      <c r="K26" s="18" t="n">
        <v>0.81323536</v>
      </c>
      <c r="L26" s="20" t="n">
        <v>0.63558067</v>
      </c>
      <c r="M26" s="18" t="n">
        <v>0</v>
      </c>
      <c r="N26" s="20" t="n">
        <v>0</v>
      </c>
      <c r="O26" s="18" t="n">
        <v>0</v>
      </c>
      <c r="P26" s="20" t="n">
        <v>0</v>
      </c>
      <c r="Q26" s="18" t="n">
        <v>0.24310929</v>
      </c>
      <c r="R26" s="20" t="n">
        <v>0.2338103</v>
      </c>
    </row>
    <row r="27" spans="1:18">
      <c r="A27" s="15" t="s">
        <v>451</v>
      </c>
      <c r="B27" s="17" t="n">
        <v>2616</v>
      </c>
      <c r="C27" s="18">
        <f>(2304.0/B27*100)</f>
        <v/>
      </c>
      <c r="D27" s="19" t="n">
        <v>312</v>
      </c>
      <c r="E27" s="18" t="n">
        <v>51.59455976</v>
      </c>
      <c r="F27" s="20" t="n">
        <v>2.76900303</v>
      </c>
      <c r="G27" s="18" t="n">
        <v>46.14627946</v>
      </c>
      <c r="H27" s="20" t="n">
        <v>2.65160534</v>
      </c>
      <c r="I27" s="18" t="s">
        <v>431</v>
      </c>
      <c r="J27" s="20" t="s">
        <v>431</v>
      </c>
      <c r="K27" s="18" t="n">
        <v>1.62047908</v>
      </c>
      <c r="L27" s="20" t="n">
        <v>0.72663794</v>
      </c>
      <c r="M27" s="18" t="n">
        <v>0</v>
      </c>
      <c r="N27" s="20" t="n">
        <v>0</v>
      </c>
      <c r="O27" s="18" t="n">
        <v>0</v>
      </c>
      <c r="P27" s="20" t="n">
        <v>0</v>
      </c>
      <c r="Q27" s="18" t="n">
        <v>0.6386817</v>
      </c>
      <c r="R27" s="20" t="n">
        <v>0.44896406</v>
      </c>
    </row>
    <row r="28" spans="1:18">
      <c r="A28" s="15" t="s">
        <v>452</v>
      </c>
      <c r="B28" s="17" t="n">
        <v>3765</v>
      </c>
      <c r="C28" s="18">
        <f>(3332.0/B28*100)</f>
        <v/>
      </c>
      <c r="D28" s="19" t="n">
        <v>433</v>
      </c>
      <c r="E28" s="18" t="n">
        <v>53.61824925</v>
      </c>
      <c r="F28" s="20" t="n">
        <v>2.61023978</v>
      </c>
      <c r="G28" s="18" t="n">
        <v>42.82486847</v>
      </c>
      <c r="H28" s="20" t="n">
        <v>2.72218325</v>
      </c>
      <c r="I28" s="18" t="s">
        <v>431</v>
      </c>
      <c r="J28" s="20" t="s">
        <v>431</v>
      </c>
      <c r="K28" s="18" t="n">
        <v>3.09583049</v>
      </c>
      <c r="L28" s="20" t="n">
        <v>1.24637081</v>
      </c>
      <c r="M28" s="18" t="n">
        <v>0</v>
      </c>
      <c r="N28" s="20" t="n">
        <v>0</v>
      </c>
      <c r="O28" s="18" t="n">
        <v>0</v>
      </c>
      <c r="P28" s="20" t="n">
        <v>0</v>
      </c>
      <c r="Q28" s="18" t="n">
        <v>0.46105179</v>
      </c>
      <c r="R28" s="20" t="n">
        <v>0.34908747</v>
      </c>
    </row>
    <row r="29" spans="1:18">
      <c r="A29" s="15" t="s">
        <v>453</v>
      </c>
      <c r="B29" s="17" t="n">
        <v>2685</v>
      </c>
      <c r="C29" s="18">
        <f>(2296.0/B29*100)</f>
        <v/>
      </c>
      <c r="D29" s="19" t="n">
        <v>389</v>
      </c>
      <c r="E29" s="18" t="n">
        <v>45.55818035</v>
      </c>
      <c r="F29" s="20" t="n">
        <v>2.43421872</v>
      </c>
      <c r="G29" s="18" t="n">
        <v>53.30369201</v>
      </c>
      <c r="H29" s="20" t="n">
        <v>3.03025154</v>
      </c>
      <c r="I29" s="18" t="s">
        <v>431</v>
      </c>
      <c r="J29" s="20" t="s">
        <v>431</v>
      </c>
      <c r="K29" s="18" t="n">
        <v>0.89672646</v>
      </c>
      <c r="L29" s="20" t="n">
        <v>0.65269223</v>
      </c>
      <c r="M29" s="18" t="n">
        <v>0</v>
      </c>
      <c r="N29" s="20" t="n">
        <v>0</v>
      </c>
      <c r="O29" s="18" t="n">
        <v>0</v>
      </c>
      <c r="P29" s="20" t="n">
        <v>0</v>
      </c>
      <c r="Q29" s="18" t="n">
        <v>0.24140118</v>
      </c>
      <c r="R29" s="20" t="n">
        <v>0.21163126</v>
      </c>
    </row>
    <row r="30" spans="1:18">
      <c r="A30" s="15" t="s">
        <v>454</v>
      </c>
      <c r="B30" s="17" t="n">
        <v>2263</v>
      </c>
      <c r="C30" s="18">
        <f>(1997.0/B30*100)</f>
        <v/>
      </c>
      <c r="D30" s="19" t="n">
        <v>266</v>
      </c>
      <c r="E30" s="18" t="n">
        <v>48.42983821</v>
      </c>
      <c r="F30" s="20" t="n">
        <v>3.04760605</v>
      </c>
      <c r="G30" s="18" t="n">
        <v>48.60581503</v>
      </c>
      <c r="H30" s="20" t="n">
        <v>3.04154973</v>
      </c>
      <c r="I30" s="18" t="s">
        <v>431</v>
      </c>
      <c r="J30" s="20" t="s">
        <v>431</v>
      </c>
      <c r="K30" s="18" t="n">
        <v>1.71037043</v>
      </c>
      <c r="L30" s="20" t="n">
        <v>0.75589694</v>
      </c>
      <c r="M30" s="18" t="n">
        <v>0</v>
      </c>
      <c r="N30" s="20" t="n">
        <v>0</v>
      </c>
      <c r="O30" s="18" t="n">
        <v>0</v>
      </c>
      <c r="P30" s="20" t="n">
        <v>0</v>
      </c>
      <c r="Q30" s="18" t="n">
        <v>1.25397633</v>
      </c>
      <c r="R30" s="20" t="n">
        <v>0.7365631</v>
      </c>
    </row>
    <row r="31" spans="1:18">
      <c r="A31" s="15" t="s">
        <v>455</v>
      </c>
      <c r="B31" s="17" t="n">
        <v>2750</v>
      </c>
      <c r="C31" s="18">
        <f>(2423.0/B31*100)</f>
        <v/>
      </c>
      <c r="D31" s="19" t="n">
        <v>327</v>
      </c>
      <c r="E31" s="18" t="n">
        <v>30.65389176</v>
      </c>
      <c r="F31" s="20" t="n">
        <v>2.40033056</v>
      </c>
      <c r="G31" s="18" t="n">
        <v>66.92612479</v>
      </c>
      <c r="H31" s="20" t="n">
        <v>2.46680873</v>
      </c>
      <c r="I31" s="18" t="s">
        <v>431</v>
      </c>
      <c r="J31" s="20" t="s">
        <v>431</v>
      </c>
      <c r="K31" s="18" t="n">
        <v>2.10366881</v>
      </c>
      <c r="L31" s="20" t="n">
        <v>0.79347468</v>
      </c>
      <c r="M31" s="18" t="n">
        <v>0</v>
      </c>
      <c r="N31" s="20" t="n">
        <v>0</v>
      </c>
      <c r="O31" s="18" t="n">
        <v>0</v>
      </c>
      <c r="P31" s="20" t="n">
        <v>0</v>
      </c>
      <c r="Q31" s="18" t="n">
        <v>0.31631464</v>
      </c>
      <c r="R31" s="20" t="n">
        <v>0.30963379</v>
      </c>
    </row>
    <row r="32" spans="1:18">
      <c r="A32" s="15" t="s">
        <v>456</v>
      </c>
      <c r="B32" s="17" t="n">
        <v>2269</v>
      </c>
      <c r="C32" s="18">
        <f>(1905.0/B32*100)</f>
        <v/>
      </c>
      <c r="D32" s="19" t="n">
        <v>364</v>
      </c>
      <c r="E32" s="18" t="n">
        <v>31.01142259</v>
      </c>
      <c r="F32" s="20" t="n">
        <v>2.56389732</v>
      </c>
      <c r="G32" s="18" t="n">
        <v>67.76878979</v>
      </c>
      <c r="H32" s="20" t="n">
        <v>2.67042641</v>
      </c>
      <c r="I32" s="18" t="s">
        <v>431</v>
      </c>
      <c r="J32" s="20" t="s">
        <v>431</v>
      </c>
      <c r="K32" s="18" t="n">
        <v>0.98543477</v>
      </c>
      <c r="L32" s="20" t="n">
        <v>0.34957825</v>
      </c>
      <c r="M32" s="18" t="n">
        <v>0</v>
      </c>
      <c r="N32" s="20" t="n">
        <v>0</v>
      </c>
      <c r="O32" s="18" t="n">
        <v>0</v>
      </c>
      <c r="P32" s="20" t="n">
        <v>0</v>
      </c>
      <c r="Q32" s="18" t="n">
        <v>0.23435286</v>
      </c>
      <c r="R32" s="20" t="n">
        <v>0.23351834</v>
      </c>
    </row>
    <row r="33" spans="1:18">
      <c r="A33" s="15" t="s">
        <v>457</v>
      </c>
      <c r="B33" s="17" t="n">
        <v>3674</v>
      </c>
      <c r="C33" s="18">
        <f>(3246.0/B33*100)</f>
        <v/>
      </c>
      <c r="D33" s="19" t="n">
        <v>428</v>
      </c>
      <c r="E33" s="18" t="n">
        <v>27.88607212</v>
      </c>
      <c r="F33" s="20" t="n">
        <v>2.38139697</v>
      </c>
      <c r="G33" s="18" t="n">
        <v>71.15405599</v>
      </c>
      <c r="H33" s="20" t="n">
        <v>2.43361854</v>
      </c>
      <c r="I33" s="18" t="s">
        <v>431</v>
      </c>
      <c r="J33" s="20" t="s">
        <v>431</v>
      </c>
      <c r="K33" s="18" t="n">
        <v>0.22739737</v>
      </c>
      <c r="L33" s="20" t="n">
        <v>0.12486408</v>
      </c>
      <c r="M33" s="18" t="n">
        <v>0</v>
      </c>
      <c r="N33" s="20" t="n">
        <v>0</v>
      </c>
      <c r="O33" s="18" t="n">
        <v>0</v>
      </c>
      <c r="P33" s="20" t="n">
        <v>0</v>
      </c>
      <c r="Q33" s="18" t="n">
        <v>0.73247451</v>
      </c>
      <c r="R33" s="20" t="n">
        <v>0.39318963</v>
      </c>
    </row>
    <row r="34" spans="1:18">
      <c r="A34" s="15" t="s">
        <v>458</v>
      </c>
      <c r="B34" s="17" t="n">
        <v>3315</v>
      </c>
      <c r="C34" s="18">
        <f>(2871.0/B34*100)</f>
        <v/>
      </c>
      <c r="D34" s="19" t="n">
        <v>444</v>
      </c>
      <c r="E34" s="18" t="n">
        <v>47.00148305</v>
      </c>
      <c r="F34" s="20" t="n">
        <v>2.80993438</v>
      </c>
      <c r="G34" s="18" t="n">
        <v>50.84037909</v>
      </c>
      <c r="H34" s="20" t="n">
        <v>2.91563453</v>
      </c>
      <c r="I34" s="18" t="s">
        <v>431</v>
      </c>
      <c r="J34" s="20" t="s">
        <v>431</v>
      </c>
      <c r="K34" s="18" t="n">
        <v>0.07006698</v>
      </c>
      <c r="L34" s="20" t="n">
        <v>0.06985876000000001</v>
      </c>
      <c r="M34" s="18" t="n">
        <v>0</v>
      </c>
      <c r="N34" s="20" t="n">
        <v>0</v>
      </c>
      <c r="O34" s="18" t="n">
        <v>0</v>
      </c>
      <c r="P34" s="20" t="n">
        <v>0</v>
      </c>
      <c r="Q34" s="18" t="n">
        <v>2.08807088</v>
      </c>
      <c r="R34" s="20" t="n">
        <v>0.91996913</v>
      </c>
    </row>
    <row r="35" spans="1:18">
      <c r="A35" s="15" t="s">
        <v>459</v>
      </c>
      <c r="B35" s="17" t="n">
        <v>3505</v>
      </c>
      <c r="C35" s="18">
        <f>(2997.0/B35*100)</f>
        <v/>
      </c>
      <c r="D35" s="19" t="n">
        <v>508</v>
      </c>
      <c r="E35" s="18" t="n">
        <v>44.61660494</v>
      </c>
      <c r="F35" s="20" t="n">
        <v>2.45074056</v>
      </c>
      <c r="G35" s="18" t="n">
        <v>53.1558952</v>
      </c>
      <c r="H35" s="20" t="n">
        <v>2.59293992</v>
      </c>
      <c r="I35" s="18" t="s">
        <v>431</v>
      </c>
      <c r="J35" s="20" t="s">
        <v>431</v>
      </c>
      <c r="K35" s="18" t="n">
        <v>1.5105288</v>
      </c>
      <c r="L35" s="20" t="n">
        <v>0.63552306</v>
      </c>
      <c r="M35" s="18" t="n">
        <v>0</v>
      </c>
      <c r="N35" s="20" t="n">
        <v>0</v>
      </c>
      <c r="O35" s="18" t="n">
        <v>0</v>
      </c>
      <c r="P35" s="20" t="n">
        <v>0</v>
      </c>
      <c r="Q35" s="18" t="n">
        <v>0.71697107</v>
      </c>
      <c r="R35" s="20" t="n">
        <v>0.35007319</v>
      </c>
    </row>
    <row r="36" spans="1:18">
      <c r="A36" s="15" t="s">
        <v>460</v>
      </c>
      <c r="B36" s="17" t="n">
        <v>3332</v>
      </c>
      <c r="C36" s="18">
        <f>(2930.0/B36*100)</f>
        <v/>
      </c>
      <c r="D36" s="19" t="n">
        <v>402</v>
      </c>
      <c r="E36" s="18" t="n">
        <v>31.44179218</v>
      </c>
      <c r="F36" s="20" t="n">
        <v>2.4840548</v>
      </c>
      <c r="G36" s="18" t="n">
        <v>65.5753172</v>
      </c>
      <c r="H36" s="20" t="n">
        <v>2.43736068</v>
      </c>
      <c r="I36" s="18" t="s">
        <v>431</v>
      </c>
      <c r="J36" s="20" t="s">
        <v>431</v>
      </c>
      <c r="K36" s="18" t="n">
        <v>2.25702117</v>
      </c>
      <c r="L36" s="20" t="n">
        <v>0.76507218</v>
      </c>
      <c r="M36" s="18" t="n">
        <v>0</v>
      </c>
      <c r="N36" s="20" t="n">
        <v>0</v>
      </c>
      <c r="O36" s="18" t="n">
        <v>0</v>
      </c>
      <c r="P36" s="20" t="n">
        <v>0</v>
      </c>
      <c r="Q36" s="18" t="n">
        <v>0.72586946</v>
      </c>
      <c r="R36" s="20" t="n">
        <v>0.5449479699999999</v>
      </c>
    </row>
    <row r="37" spans="1:18">
      <c r="A37" s="15" t="s">
        <v>461</v>
      </c>
      <c r="B37" s="17" t="n">
        <v>2727</v>
      </c>
      <c r="C37" s="18">
        <f>(2393.0/B37*100)</f>
        <v/>
      </c>
      <c r="D37" s="19" t="n">
        <v>334</v>
      </c>
      <c r="E37" s="18" t="n">
        <v>38.37309683</v>
      </c>
      <c r="F37" s="20" t="n">
        <v>2.52984172</v>
      </c>
      <c r="G37" s="18" t="n">
        <v>55.91836561</v>
      </c>
      <c r="H37" s="20" t="n">
        <v>2.66190834</v>
      </c>
      <c r="I37" s="18" t="s">
        <v>431</v>
      </c>
      <c r="J37" s="20" t="s">
        <v>431</v>
      </c>
      <c r="K37" s="18" t="n">
        <v>4.25720355</v>
      </c>
      <c r="L37" s="20" t="n">
        <v>1.14932202</v>
      </c>
      <c r="M37" s="18" t="n">
        <v>0</v>
      </c>
      <c r="N37" s="20" t="n">
        <v>0</v>
      </c>
      <c r="O37" s="18" t="n">
        <v>0</v>
      </c>
      <c r="P37" s="20" t="n">
        <v>0</v>
      </c>
      <c r="Q37" s="18" t="n">
        <v>1.45133402</v>
      </c>
      <c r="R37" s="20" t="n">
        <v>0.66269011</v>
      </c>
    </row>
    <row r="38" spans="1:18">
      <c r="A38" s="15" t="s">
        <v>462</v>
      </c>
      <c r="B38" s="17" t="n">
        <v>3053</v>
      </c>
      <c r="C38" s="18">
        <f>(2545.0/B38*100)</f>
        <v/>
      </c>
      <c r="D38" s="19" t="n">
        <v>508</v>
      </c>
      <c r="E38" s="18" t="n">
        <v>42.45070908</v>
      </c>
      <c r="F38" s="20" t="n">
        <v>2.11068123</v>
      </c>
      <c r="G38" s="18" t="n">
        <v>52.69742016</v>
      </c>
      <c r="H38" s="20" t="n">
        <v>2.13540109</v>
      </c>
      <c r="I38" s="18" t="s">
        <v>431</v>
      </c>
      <c r="J38" s="20" t="s">
        <v>431</v>
      </c>
      <c r="K38" s="18" t="n">
        <v>2.60276224</v>
      </c>
      <c r="L38" s="20" t="n">
        <v>0.83129268</v>
      </c>
      <c r="M38" s="18" t="n">
        <v>0</v>
      </c>
      <c r="N38" s="20" t="n">
        <v>0</v>
      </c>
      <c r="O38" s="18" t="n">
        <v>0</v>
      </c>
      <c r="P38" s="20" t="n">
        <v>0</v>
      </c>
      <c r="Q38" s="18" t="n">
        <v>2.24910852</v>
      </c>
      <c r="R38" s="20" t="n">
        <v>0.79060763</v>
      </c>
    </row>
    <row r="39" spans="1:18">
      <c r="A39" s="15" t="s">
        <v>463</v>
      </c>
      <c r="B39" s="17" t="n">
        <v>2957</v>
      </c>
      <c r="C39" s="18">
        <f>(2595.0/B39*100)</f>
        <v/>
      </c>
      <c r="D39" s="19" t="n">
        <v>362</v>
      </c>
      <c r="E39" s="18" t="n">
        <v>51.37042016</v>
      </c>
      <c r="F39" s="20" t="n">
        <v>3.01602074</v>
      </c>
      <c r="G39" s="18" t="n">
        <v>45.92713594</v>
      </c>
      <c r="H39" s="20" t="n">
        <v>2.97476898</v>
      </c>
      <c r="I39" s="18" t="s">
        <v>431</v>
      </c>
      <c r="J39" s="20" t="s">
        <v>431</v>
      </c>
      <c r="K39" s="18" t="n">
        <v>1.06046194</v>
      </c>
      <c r="L39" s="20" t="n">
        <v>0.6946297</v>
      </c>
      <c r="M39" s="18" t="n">
        <v>0</v>
      </c>
      <c r="N39" s="20" t="n">
        <v>0</v>
      </c>
      <c r="O39" s="18" t="n">
        <v>0</v>
      </c>
      <c r="P39" s="20" t="n">
        <v>0</v>
      </c>
      <c r="Q39" s="18" t="n">
        <v>1.64198197</v>
      </c>
      <c r="R39" s="20" t="n">
        <v>0.64293202</v>
      </c>
    </row>
    <row r="40" spans="1:18">
      <c r="A40" s="15" t="s">
        <v>464</v>
      </c>
      <c r="B40" s="17" t="n">
        <v>7235</v>
      </c>
      <c r="C40" s="18">
        <f>(6382.0/B40*100)</f>
        <v/>
      </c>
      <c r="D40" s="19" t="n">
        <v>853</v>
      </c>
      <c r="E40" s="18" t="n">
        <v>51.77136902</v>
      </c>
      <c r="F40" s="20" t="n">
        <v>2.70585132</v>
      </c>
      <c r="G40" s="18" t="n">
        <v>44.95916481</v>
      </c>
      <c r="H40" s="20" t="n">
        <v>2.7419286</v>
      </c>
      <c r="I40" s="18" t="s">
        <v>431</v>
      </c>
      <c r="J40" s="20" t="s">
        <v>431</v>
      </c>
      <c r="K40" s="18" t="n">
        <v>1.41765342</v>
      </c>
      <c r="L40" s="20" t="n">
        <v>0.70305844</v>
      </c>
      <c r="M40" s="18" t="n">
        <v>0</v>
      </c>
      <c r="N40" s="20" t="n">
        <v>0</v>
      </c>
      <c r="O40" s="18" t="n">
        <v>0</v>
      </c>
      <c r="P40" s="20" t="n">
        <v>0</v>
      </c>
      <c r="Q40" s="18" t="n">
        <v>1.85181275</v>
      </c>
      <c r="R40" s="20" t="n">
        <v>0.74998225</v>
      </c>
    </row>
    <row r="41" spans="1:18">
      <c r="A41" s="15" t="s">
        <v>465</v>
      </c>
      <c r="B41" s="17" t="n">
        <v>2858</v>
      </c>
      <c r="C41" s="18">
        <f>(2495.0/B41*100)</f>
        <v/>
      </c>
      <c r="D41" s="19" t="n">
        <v>363</v>
      </c>
      <c r="E41" s="18" t="n">
        <v>45.42863114</v>
      </c>
      <c r="F41" s="20" t="n">
        <v>2.93072264</v>
      </c>
      <c r="G41" s="18" t="n">
        <v>53.36569749</v>
      </c>
      <c r="H41" s="20" t="n">
        <v>2.94484586</v>
      </c>
      <c r="I41" s="18" t="s">
        <v>431</v>
      </c>
      <c r="J41" s="20" t="s">
        <v>431</v>
      </c>
      <c r="K41" s="18" t="n">
        <v>0.82562957</v>
      </c>
      <c r="L41" s="20" t="n">
        <v>0.486084</v>
      </c>
      <c r="M41" s="18" t="n">
        <v>0</v>
      </c>
      <c r="N41" s="20" t="n">
        <v>0</v>
      </c>
      <c r="O41" s="18" t="n">
        <v>0</v>
      </c>
      <c r="P41" s="20" t="n">
        <v>0</v>
      </c>
      <c r="Q41" s="18" t="n">
        <v>0.3800418</v>
      </c>
      <c r="R41" s="20" t="n">
        <v>0.32688759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(10091.0/B46*100)</f>
        <v/>
      </c>
      <c r="D46" s="19" t="n">
        <v>977</v>
      </c>
      <c r="E46" s="18" t="n">
        <v>54.59529122</v>
      </c>
      <c r="F46" s="20" t="n">
        <v>1.91241323</v>
      </c>
      <c r="G46" s="18" t="n">
        <v>41.73068694</v>
      </c>
      <c r="H46" s="20" t="n">
        <v>1.95557911</v>
      </c>
      <c r="I46" s="18" t="s">
        <v>431</v>
      </c>
      <c r="J46" s="20" t="s">
        <v>431</v>
      </c>
      <c r="K46" s="18" t="n">
        <v>3.07113097</v>
      </c>
      <c r="L46" s="20" t="n">
        <v>0.77450385</v>
      </c>
      <c r="M46" s="18" t="n">
        <v>0</v>
      </c>
      <c r="N46" s="20" t="n">
        <v>0</v>
      </c>
      <c r="O46" s="18" t="n">
        <v>0</v>
      </c>
      <c r="P46" s="20" t="n">
        <v>0</v>
      </c>
      <c r="Q46" s="18" t="n">
        <v>0.60289087</v>
      </c>
      <c r="R46" s="20" t="n">
        <v>0.22321721</v>
      </c>
    </row>
    <row r="47" spans="1:18">
      <c r="A47" s="15" t="s">
        <v>471</v>
      </c>
      <c r="B47" s="17" t="n">
        <v>3105</v>
      </c>
      <c r="C47" s="18">
        <f>(2765.0/B47*100)</f>
        <v/>
      </c>
      <c r="D47" s="19" t="n">
        <v>340</v>
      </c>
      <c r="E47" s="18" t="n">
        <v>36.62108172</v>
      </c>
      <c r="F47" s="20" t="n">
        <v>2.65610954</v>
      </c>
      <c r="G47" s="18" t="n">
        <v>61.04922244</v>
      </c>
      <c r="H47" s="20" t="n">
        <v>2.60314206</v>
      </c>
      <c r="I47" s="18" t="s">
        <v>431</v>
      </c>
      <c r="J47" s="20" t="s">
        <v>431</v>
      </c>
      <c r="K47" s="18" t="n">
        <v>0.30766755</v>
      </c>
      <c r="L47" s="20" t="n">
        <v>0.30690471</v>
      </c>
      <c r="M47" s="18" t="n">
        <v>0</v>
      </c>
      <c r="N47" s="20" t="n">
        <v>0</v>
      </c>
      <c r="O47" s="18" t="n">
        <v>0</v>
      </c>
      <c r="P47" s="20" t="n">
        <v>0</v>
      </c>
      <c r="Q47" s="18" t="n">
        <v>2.0220283</v>
      </c>
      <c r="R47" s="20" t="n">
        <v>0.73018764</v>
      </c>
    </row>
    <row r="48" spans="1:18">
      <c r="A48" s="15" t="s">
        <v>472</v>
      </c>
      <c r="B48" s="17" t="n">
        <v>5159</v>
      </c>
      <c r="C48" s="18">
        <f>(4526.0/B48*100)</f>
        <v/>
      </c>
      <c r="D48" s="19" t="n">
        <v>633</v>
      </c>
      <c r="E48" s="18" t="n">
        <v>29.74687741</v>
      </c>
      <c r="F48" s="20" t="n">
        <v>2.24431629</v>
      </c>
      <c r="G48" s="18" t="n">
        <v>68.40270556</v>
      </c>
      <c r="H48" s="20" t="n">
        <v>2.35379783</v>
      </c>
      <c r="I48" s="18" t="s">
        <v>431</v>
      </c>
      <c r="J48" s="20" t="s">
        <v>431</v>
      </c>
      <c r="K48" s="18" t="n">
        <v>1.69250755</v>
      </c>
      <c r="L48" s="20" t="n">
        <v>0.85082712</v>
      </c>
      <c r="M48" s="18" t="n">
        <v>0</v>
      </c>
      <c r="N48" s="20" t="n">
        <v>0</v>
      </c>
      <c r="O48" s="18" t="n">
        <v>0</v>
      </c>
      <c r="P48" s="20" t="n">
        <v>0</v>
      </c>
      <c r="Q48" s="18" t="n">
        <v>0.15790948</v>
      </c>
      <c r="R48" s="20" t="n">
        <v>0.09648961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(5002.0/B50*100)</f>
        <v/>
      </c>
      <c r="D50" s="19" t="n">
        <v>635</v>
      </c>
      <c r="E50" s="18" t="n">
        <v>52.51982623</v>
      </c>
      <c r="F50" s="20" t="n">
        <v>2.27595731</v>
      </c>
      <c r="G50" s="18" t="n">
        <v>43.54381618</v>
      </c>
      <c r="H50" s="20" t="n">
        <v>2.39328944</v>
      </c>
      <c r="I50" s="18" t="s">
        <v>431</v>
      </c>
      <c r="J50" s="20" t="s">
        <v>431</v>
      </c>
      <c r="K50" s="18" t="n">
        <v>3.51621883</v>
      </c>
      <c r="L50" s="20" t="n">
        <v>1.06443501</v>
      </c>
      <c r="M50" s="18" t="n">
        <v>0</v>
      </c>
      <c r="N50" s="20" t="n">
        <v>0</v>
      </c>
      <c r="O50" s="18" t="n">
        <v>0</v>
      </c>
      <c r="P50" s="20" t="n">
        <v>0</v>
      </c>
      <c r="Q50" s="18" t="n">
        <v>0.42013876</v>
      </c>
      <c r="R50" s="20" t="n">
        <v>0.41734633</v>
      </c>
    </row>
    <row r="51" spans="1:18">
      <c r="A51" s="15" t="s">
        <v>475</v>
      </c>
      <c r="B51" s="17" t="n">
        <v>3372</v>
      </c>
      <c r="C51" s="18">
        <f>(2687.0/B51*100)</f>
        <v/>
      </c>
      <c r="D51" s="19" t="n">
        <v>685</v>
      </c>
      <c r="E51" s="18" t="n">
        <v>49.35052144</v>
      </c>
      <c r="F51" s="20" t="n">
        <v>1.87899466</v>
      </c>
      <c r="G51" s="18" t="n">
        <v>48.87687009</v>
      </c>
      <c r="H51" s="20" t="n">
        <v>1.92896992</v>
      </c>
      <c r="I51" s="18" t="s">
        <v>431</v>
      </c>
      <c r="J51" s="20" t="s">
        <v>431</v>
      </c>
      <c r="K51" s="18" t="n">
        <v>1.02510513</v>
      </c>
      <c r="L51" s="20" t="n">
        <v>0.44989314</v>
      </c>
      <c r="M51" s="18" t="n">
        <v>0</v>
      </c>
      <c r="N51" s="20" t="n">
        <v>0</v>
      </c>
      <c r="O51" s="18" t="n">
        <v>0</v>
      </c>
      <c r="P51" s="20" t="n">
        <v>0</v>
      </c>
      <c r="Q51" s="18" t="n">
        <v>0.74750334</v>
      </c>
      <c r="R51" s="20" t="n">
        <v>0.33174617</v>
      </c>
    </row>
    <row r="52" spans="1:18">
      <c r="A52" s="15" t="s">
        <v>476</v>
      </c>
      <c r="B52" s="17" t="n">
        <v>2796</v>
      </c>
      <c r="C52" s="18">
        <f>(2453.0/B52*100)</f>
        <v/>
      </c>
      <c r="D52" s="19" t="n">
        <v>343</v>
      </c>
      <c r="E52" s="18" t="n">
        <v>41.89929043</v>
      </c>
      <c r="F52" s="20" t="n">
        <v>2.93460433</v>
      </c>
      <c r="G52" s="18" t="n">
        <v>57.03204742</v>
      </c>
      <c r="H52" s="20" t="n">
        <v>2.94072464</v>
      </c>
      <c r="I52" s="18" t="s">
        <v>431</v>
      </c>
      <c r="J52" s="20" t="s">
        <v>431</v>
      </c>
      <c r="K52" s="18" t="n">
        <v>0.26711987</v>
      </c>
      <c r="L52" s="20" t="n">
        <v>0.26653492</v>
      </c>
      <c r="M52" s="18" t="n">
        <v>0</v>
      </c>
      <c r="N52" s="20" t="n">
        <v>0</v>
      </c>
      <c r="O52" s="18" t="n">
        <v>0</v>
      </c>
      <c r="P52" s="20" t="n">
        <v>0</v>
      </c>
      <c r="Q52" s="18" t="n">
        <v>0.80154227</v>
      </c>
      <c r="R52" s="20" t="n">
        <v>0.46426946</v>
      </c>
    </row>
    <row r="53" spans="1:18">
      <c r="A53" s="15" t="s">
        <v>477</v>
      </c>
      <c r="B53" s="17" t="n">
        <v>2811</v>
      </c>
      <c r="C53" s="18">
        <f>(2475.0/B53*100)</f>
        <v/>
      </c>
      <c r="D53" s="19" t="n">
        <v>336</v>
      </c>
      <c r="E53" s="18" t="n">
        <v>59.46639877</v>
      </c>
      <c r="F53" s="20" t="n">
        <v>3.40413834</v>
      </c>
      <c r="G53" s="18" t="n">
        <v>37.36922707</v>
      </c>
      <c r="H53" s="20" t="n">
        <v>3.10446649</v>
      </c>
      <c r="I53" s="18" t="s">
        <v>431</v>
      </c>
      <c r="J53" s="20" t="s">
        <v>431</v>
      </c>
      <c r="K53" s="18" t="n">
        <v>1.53879344</v>
      </c>
      <c r="L53" s="20" t="n">
        <v>0.7584524499999999</v>
      </c>
      <c r="M53" s="18" t="n">
        <v>0</v>
      </c>
      <c r="N53" s="20" t="n">
        <v>0</v>
      </c>
      <c r="O53" s="18" t="n">
        <v>0</v>
      </c>
      <c r="P53" s="20" t="n">
        <v>0</v>
      </c>
      <c r="Q53" s="18" t="n">
        <v>1.62558072</v>
      </c>
      <c r="R53" s="20" t="n">
        <v>0.87264229</v>
      </c>
    </row>
    <row r="54" spans="1:18">
      <c r="A54" s="15" t="s">
        <v>478</v>
      </c>
      <c r="B54" s="17" t="n">
        <v>2266</v>
      </c>
      <c r="C54" s="18">
        <f>(1905.0/B54*100)</f>
        <v/>
      </c>
      <c r="D54" s="19" t="n">
        <v>361</v>
      </c>
      <c r="E54" s="18" t="n">
        <v>59.06340104</v>
      </c>
      <c r="F54" s="20" t="n">
        <v>2.59954248</v>
      </c>
      <c r="G54" s="18" t="n">
        <v>19.32177586</v>
      </c>
      <c r="H54" s="20" t="n">
        <v>2.15248967</v>
      </c>
      <c r="I54" s="18" t="s">
        <v>431</v>
      </c>
      <c r="J54" s="20" t="s">
        <v>431</v>
      </c>
      <c r="K54" s="18" t="n">
        <v>20.01737015</v>
      </c>
      <c r="L54" s="20" t="n">
        <v>2.21788469</v>
      </c>
      <c r="M54" s="18" t="n">
        <v>0</v>
      </c>
      <c r="N54" s="20" t="n">
        <v>0</v>
      </c>
      <c r="O54" s="18" t="n">
        <v>0</v>
      </c>
      <c r="P54" s="20" t="n">
        <v>0</v>
      </c>
      <c r="Q54" s="18" t="n">
        <v>1.59745295</v>
      </c>
      <c r="R54" s="20" t="n">
        <v>0.72733524</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(2347.0/B56*100)</f>
        <v/>
      </c>
      <c r="D56" s="19" t="n">
        <v>337</v>
      </c>
      <c r="E56" s="18" t="n">
        <v>40.32962998</v>
      </c>
      <c r="F56" s="20" t="n">
        <v>2.81553876</v>
      </c>
      <c r="G56" s="18" t="n">
        <v>56.80557632</v>
      </c>
      <c r="H56" s="20" t="n">
        <v>2.83668719</v>
      </c>
      <c r="I56" s="18" t="s">
        <v>431</v>
      </c>
      <c r="J56" s="20" t="s">
        <v>431</v>
      </c>
      <c r="K56" s="18" t="n">
        <v>1.68502516</v>
      </c>
      <c r="L56" s="20" t="n">
        <v>0.77300333</v>
      </c>
      <c r="M56" s="18" t="n">
        <v>0</v>
      </c>
      <c r="N56" s="20" t="n">
        <v>0</v>
      </c>
      <c r="O56" s="18" t="n">
        <v>0</v>
      </c>
      <c r="P56" s="20" t="n">
        <v>0</v>
      </c>
      <c r="Q56" s="18" t="n">
        <v>1.17976853</v>
      </c>
      <c r="R56" s="20" t="n">
        <v>0.63178322</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(2946.0/B61*100)</f>
        <v/>
      </c>
      <c r="D61" s="19" t="n">
        <v>378</v>
      </c>
      <c r="E61" s="18" t="n">
        <v>48.00857904</v>
      </c>
      <c r="F61" s="20" t="n">
        <v>2.74024676</v>
      </c>
      <c r="G61" s="18" t="n">
        <v>51.26007041</v>
      </c>
      <c r="H61" s="20" t="n">
        <v>2.75818668</v>
      </c>
      <c r="I61" s="18" t="s">
        <v>431</v>
      </c>
      <c r="J61" s="20" t="s">
        <v>431</v>
      </c>
      <c r="K61" s="18" t="n">
        <v>0.39261875</v>
      </c>
      <c r="L61" s="20" t="n">
        <v>0.34783167</v>
      </c>
      <c r="M61" s="18" t="n">
        <v>0</v>
      </c>
      <c r="N61" s="20" t="n">
        <v>0</v>
      </c>
      <c r="O61" s="18" t="n">
        <v>0</v>
      </c>
      <c r="P61" s="20" t="n">
        <v>0</v>
      </c>
      <c r="Q61" s="18" t="n">
        <v>0.3387318</v>
      </c>
      <c r="R61" s="20" t="n">
        <v>0.28406937</v>
      </c>
    </row>
    <row r="62" spans="1:18">
      <c r="A62" s="15" t="s">
        <v>486</v>
      </c>
      <c r="B62" s="17" t="n">
        <v>2246</v>
      </c>
      <c r="C62" s="18">
        <f>(1966.0/B62*100)</f>
        <v/>
      </c>
      <c r="D62" s="19" t="n">
        <v>280</v>
      </c>
      <c r="E62" s="18" t="n">
        <v>40.34637635</v>
      </c>
      <c r="F62" s="20" t="n">
        <v>2.66560955</v>
      </c>
      <c r="G62" s="18" t="n">
        <v>58.57688865</v>
      </c>
      <c r="H62" s="20" t="n">
        <v>2.77550673</v>
      </c>
      <c r="I62" s="18" t="s">
        <v>431</v>
      </c>
      <c r="J62" s="20" t="s">
        <v>431</v>
      </c>
      <c r="K62" s="18" t="n">
        <v>0.36706811</v>
      </c>
      <c r="L62" s="20" t="n">
        <v>0.36470799</v>
      </c>
      <c r="M62" s="18" t="n">
        <v>0</v>
      </c>
      <c r="N62" s="20" t="n">
        <v>0</v>
      </c>
      <c r="O62" s="18" t="n">
        <v>0</v>
      </c>
      <c r="P62" s="20" t="n">
        <v>0</v>
      </c>
      <c r="Q62" s="18" t="n">
        <v>0.7096669</v>
      </c>
      <c r="R62" s="20" t="n">
        <v>0.49727859</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(2552.0/B66*100)</f>
        <v/>
      </c>
      <c r="D66" s="19" t="n">
        <v>342</v>
      </c>
      <c r="E66" s="18" t="n">
        <v>43.85048266</v>
      </c>
      <c r="F66" s="20" t="n">
        <v>2.49623068</v>
      </c>
      <c r="G66" s="18" t="n">
        <v>50.43365496</v>
      </c>
      <c r="H66" s="20" t="n">
        <v>2.74642897</v>
      </c>
      <c r="I66" s="18" t="s">
        <v>431</v>
      </c>
      <c r="J66" s="20" t="s">
        <v>431</v>
      </c>
      <c r="K66" s="18" t="n">
        <v>4.19022472</v>
      </c>
      <c r="L66" s="20" t="n">
        <v>1.26992577</v>
      </c>
      <c r="M66" s="18" t="n">
        <v>0</v>
      </c>
      <c r="N66" s="20" t="n">
        <v>0</v>
      </c>
      <c r="O66" s="18" t="n">
        <v>0</v>
      </c>
      <c r="P66" s="20" t="n">
        <v>0</v>
      </c>
      <c r="Q66" s="18" t="n">
        <v>1.52563766</v>
      </c>
      <c r="R66" s="20" t="n">
        <v>0.77751452</v>
      </c>
    </row>
    <row r="67" spans="1:18">
      <c r="A67" s="15" t="s">
        <v>491</v>
      </c>
      <c r="B67" s="17" t="n">
        <v>3511</v>
      </c>
      <c r="C67" s="18">
        <f>(3157.0/B67*100)</f>
        <v/>
      </c>
      <c r="D67" s="19" t="n">
        <v>354</v>
      </c>
      <c r="E67" s="18" t="n">
        <v>62.70776876</v>
      </c>
      <c r="F67" s="20" t="n">
        <v>2.54044337</v>
      </c>
      <c r="G67" s="18" t="n">
        <v>35.98014144</v>
      </c>
      <c r="H67" s="20" t="n">
        <v>2.56264123</v>
      </c>
      <c r="I67" s="18" t="s">
        <v>431</v>
      </c>
      <c r="J67" s="20" t="s">
        <v>431</v>
      </c>
      <c r="K67" s="18" t="n">
        <v>0.97721519</v>
      </c>
      <c r="L67" s="20" t="n">
        <v>0.48914667</v>
      </c>
      <c r="M67" s="18" t="n">
        <v>0</v>
      </c>
      <c r="N67" s="20" t="n">
        <v>0</v>
      </c>
      <c r="O67" s="18" t="n">
        <v>0</v>
      </c>
      <c r="P67" s="20" t="n">
        <v>0</v>
      </c>
      <c r="Q67" s="18" t="n">
        <v>0.33487462</v>
      </c>
      <c r="R67" s="20" t="n">
        <v>0.33354163</v>
      </c>
    </row>
    <row r="68" spans="1:18">
      <c r="A68" s="15" t="s">
        <v>492</v>
      </c>
      <c r="B68" s="17" t="n">
        <v>6049</v>
      </c>
      <c r="C68" s="18">
        <f>(5038.0/B68*100)</f>
        <v/>
      </c>
      <c r="D68" s="19" t="n">
        <v>1011</v>
      </c>
      <c r="E68" s="18" t="n">
        <v>56.10752733</v>
      </c>
      <c r="F68" s="20" t="n">
        <v>1.54766138</v>
      </c>
      <c r="G68" s="18" t="n">
        <v>32.78998936</v>
      </c>
      <c r="H68" s="20" t="n">
        <v>1.54823163</v>
      </c>
      <c r="I68" s="18" t="s">
        <v>431</v>
      </c>
      <c r="J68" s="20" t="s">
        <v>431</v>
      </c>
      <c r="K68" s="18" t="n">
        <v>7.71396863</v>
      </c>
      <c r="L68" s="20" t="n">
        <v>0.83970815</v>
      </c>
      <c r="M68" s="18" t="n">
        <v>0</v>
      </c>
      <c r="N68" s="20" t="n">
        <v>0</v>
      </c>
      <c r="O68" s="18" t="n">
        <v>0</v>
      </c>
      <c r="P68" s="20" t="n">
        <v>0</v>
      </c>
      <c r="Q68" s="18" t="n">
        <v>3.38851468</v>
      </c>
      <c r="R68" s="20" t="n">
        <v>0.49368634</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(2591.0/B70*100)</f>
        <v/>
      </c>
      <c r="D70" s="19" t="n">
        <v>338</v>
      </c>
      <c r="E70" s="18" t="n">
        <v>36.55661282</v>
      </c>
      <c r="F70" s="20" t="n">
        <v>3.67962344</v>
      </c>
      <c r="G70" s="18" t="n">
        <v>62.63653611</v>
      </c>
      <c r="H70" s="20" t="n">
        <v>3.64377235</v>
      </c>
      <c r="I70" s="18" t="s">
        <v>431</v>
      </c>
      <c r="J70" s="20" t="s">
        <v>431</v>
      </c>
      <c r="K70" s="18" t="n">
        <v>0</v>
      </c>
      <c r="L70" s="20" t="n">
        <v>0</v>
      </c>
      <c r="M70" s="18" t="n">
        <v>0</v>
      </c>
      <c r="N70" s="20" t="n">
        <v>0</v>
      </c>
      <c r="O70" s="18" t="n">
        <v>0</v>
      </c>
      <c r="P70" s="20" t="n">
        <v>0</v>
      </c>
      <c r="Q70" s="18" t="n">
        <v>0.8068510800000001</v>
      </c>
      <c r="R70" s="20" t="n">
        <v>0.43539133</v>
      </c>
    </row>
    <row r="71" spans="1:18">
      <c r="A71" s="15" t="s">
        <v>495</v>
      </c>
      <c r="B71" s="17" t="n">
        <v>3142</v>
      </c>
      <c r="C71" s="18">
        <f>(2755.0/B71*100)</f>
        <v/>
      </c>
      <c r="D71" s="19" t="n">
        <v>387</v>
      </c>
      <c r="E71" s="18" t="n">
        <v>30.39037696</v>
      </c>
      <c r="F71" s="20" t="n">
        <v>2.44235725</v>
      </c>
      <c r="G71" s="18" t="n">
        <v>67.80637351</v>
      </c>
      <c r="H71" s="20" t="n">
        <v>2.40144205</v>
      </c>
      <c r="I71" s="18" t="s">
        <v>431</v>
      </c>
      <c r="J71" s="20" t="s">
        <v>431</v>
      </c>
      <c r="K71" s="18" t="n">
        <v>0.78043755</v>
      </c>
      <c r="L71" s="20" t="n">
        <v>0.46295356</v>
      </c>
      <c r="M71" s="18" t="n">
        <v>0</v>
      </c>
      <c r="N71" s="20" t="n">
        <v>0</v>
      </c>
      <c r="O71" s="18" t="n">
        <v>0</v>
      </c>
      <c r="P71" s="20" t="n">
        <v>0</v>
      </c>
      <c r="Q71" s="18" t="n">
        <v>1.02281198</v>
      </c>
      <c r="R71" s="20" t="n">
        <v>0.34835946</v>
      </c>
    </row>
    <row r="72" spans="1:18">
      <c r="A72" s="15" t="s">
        <v>496</v>
      </c>
      <c r="B72" s="17" t="n">
        <v>3889</v>
      </c>
      <c r="C72" s="18">
        <f>(3408.0/B72*100)</f>
        <v/>
      </c>
      <c r="D72" s="19" t="n">
        <v>481</v>
      </c>
      <c r="E72" s="18" t="n">
        <v>24.70679647</v>
      </c>
      <c r="F72" s="20" t="n">
        <v>1.98375583</v>
      </c>
      <c r="G72" s="18" t="n">
        <v>74.63800431</v>
      </c>
      <c r="H72" s="20" t="n">
        <v>2.03621973</v>
      </c>
      <c r="I72" s="18" t="s">
        <v>431</v>
      </c>
      <c r="J72" s="20" t="s">
        <v>431</v>
      </c>
      <c r="K72" s="18" t="n">
        <v>0</v>
      </c>
      <c r="L72" s="20" t="n">
        <v>0</v>
      </c>
      <c r="M72" s="18" t="n">
        <v>0</v>
      </c>
      <c r="N72" s="20" t="n">
        <v>0</v>
      </c>
      <c r="O72" s="18" t="n">
        <v>0</v>
      </c>
      <c r="P72" s="20" t="n">
        <v>0</v>
      </c>
      <c r="Q72" s="18" t="n">
        <v>0.65519922</v>
      </c>
      <c r="R72" s="20" t="n">
        <v>0.32963717</v>
      </c>
    </row>
    <row r="73" spans="1:18">
      <c r="A73" s="15" t="s">
        <v>497</v>
      </c>
      <c r="B73" s="17" t="n">
        <v>3597</v>
      </c>
      <c r="C73" s="18">
        <f>(3184.0/B73*100)</f>
        <v/>
      </c>
      <c r="D73" s="19" t="n">
        <v>413</v>
      </c>
      <c r="E73" s="18" t="n">
        <v>51.13663171</v>
      </c>
      <c r="F73" s="20" t="n">
        <v>3.59241817</v>
      </c>
      <c r="G73" s="18" t="n">
        <v>46.01550634</v>
      </c>
      <c r="H73" s="20" t="n">
        <v>3.51166957</v>
      </c>
      <c r="I73" s="18" t="s">
        <v>431</v>
      </c>
      <c r="J73" s="20" t="s">
        <v>431</v>
      </c>
      <c r="K73" s="18" t="n">
        <v>1.40865622</v>
      </c>
      <c r="L73" s="20" t="n">
        <v>0.72503854</v>
      </c>
      <c r="M73" s="18" t="n">
        <v>0</v>
      </c>
      <c r="N73" s="20" t="n">
        <v>0</v>
      </c>
      <c r="O73" s="18" t="n">
        <v>0</v>
      </c>
      <c r="P73" s="20" t="n">
        <v>0</v>
      </c>
      <c r="Q73" s="18" t="n">
        <v>1.43920573</v>
      </c>
      <c r="R73" s="20" t="n">
        <v>0.72952562</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(2141.0/B75*100)</f>
        <v/>
      </c>
      <c r="D75" s="19" t="n">
        <v>265</v>
      </c>
      <c r="E75" s="18" t="n">
        <v>56.19252654</v>
      </c>
      <c r="F75" s="20" t="n">
        <v>3.30238979</v>
      </c>
      <c r="G75" s="18" t="n">
        <v>36.14539631</v>
      </c>
      <c r="H75" s="20" t="n">
        <v>3.32736402</v>
      </c>
      <c r="I75" s="18" t="s">
        <v>431</v>
      </c>
      <c r="J75" s="20" t="s">
        <v>431</v>
      </c>
      <c r="K75" s="18" t="n">
        <v>4.84726746</v>
      </c>
      <c r="L75" s="20" t="n">
        <v>1.35200245</v>
      </c>
      <c r="M75" s="18" t="n">
        <v>0</v>
      </c>
      <c r="N75" s="20" t="n">
        <v>0</v>
      </c>
      <c r="O75" s="18" t="n">
        <v>0</v>
      </c>
      <c r="P75" s="20" t="n">
        <v>0</v>
      </c>
      <c r="Q75" s="18" t="n">
        <v>2.8148097</v>
      </c>
      <c r="R75" s="20" t="n">
        <v>1.00641913</v>
      </c>
    </row>
    <row r="76" spans="1:18">
      <c r="A76" s="15" t="s">
        <v>500</v>
      </c>
      <c r="B76" s="17" t="n">
        <v>7052</v>
      </c>
      <c r="C76" s="18">
        <f>(6199.0/B76*100)</f>
        <v/>
      </c>
      <c r="D76" s="19" t="n">
        <v>853</v>
      </c>
      <c r="E76" s="18" t="n">
        <v>53.1211529</v>
      </c>
      <c r="F76" s="20" t="n">
        <v>2.44504482</v>
      </c>
      <c r="G76" s="18" t="n">
        <v>41.94309755</v>
      </c>
      <c r="H76" s="20" t="n">
        <v>2.33236505</v>
      </c>
      <c r="I76" s="18" t="s">
        <v>431</v>
      </c>
      <c r="J76" s="20" t="s">
        <v>431</v>
      </c>
      <c r="K76" s="18" t="n">
        <v>2.86622182</v>
      </c>
      <c r="L76" s="20" t="n">
        <v>0.65906785</v>
      </c>
      <c r="M76" s="18" t="n">
        <v>0</v>
      </c>
      <c r="N76" s="20" t="n">
        <v>0</v>
      </c>
      <c r="O76" s="18" t="n">
        <v>0</v>
      </c>
      <c r="P76" s="20" t="n">
        <v>0</v>
      </c>
      <c r="Q76" s="18" t="n">
        <v>2.06952773</v>
      </c>
      <c r="R76" s="20" t="n">
        <v>0.54304898</v>
      </c>
    </row>
    <row r="77" spans="1:18">
      <c r="A77" s="15" t="s">
        <v>501</v>
      </c>
      <c r="B77" s="17" t="n">
        <v>2908</v>
      </c>
      <c r="C77" s="18">
        <f>(2559.0/B77*100)</f>
        <v/>
      </c>
      <c r="D77" s="19" t="n">
        <v>349</v>
      </c>
      <c r="E77" s="18" t="n">
        <v>51.05252089</v>
      </c>
      <c r="F77" s="20" t="n">
        <v>2.84575769</v>
      </c>
      <c r="G77" s="18" t="n">
        <v>42.46322239</v>
      </c>
      <c r="H77" s="20" t="n">
        <v>2.58818262</v>
      </c>
      <c r="I77" s="18" t="s">
        <v>431</v>
      </c>
      <c r="J77" s="20" t="s">
        <v>431</v>
      </c>
      <c r="K77" s="18" t="n">
        <v>5.00347252</v>
      </c>
      <c r="L77" s="20" t="n">
        <v>1.04966688</v>
      </c>
      <c r="M77" s="18" t="n">
        <v>0</v>
      </c>
      <c r="N77" s="20" t="n">
        <v>0</v>
      </c>
      <c r="O77" s="18" t="n">
        <v>0</v>
      </c>
      <c r="P77" s="20" t="n">
        <v>0</v>
      </c>
      <c r="Q77" s="18" t="n">
        <v>1.4807842</v>
      </c>
      <c r="R77" s="20" t="n">
        <v>0.63879577</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(3652.0/B81*100)</f>
        <v/>
      </c>
      <c r="D81" s="19" t="n">
        <v>511</v>
      </c>
      <c r="E81" s="18" t="n">
        <v>55.70457284</v>
      </c>
      <c r="F81" s="20" t="n">
        <v>2.48577853</v>
      </c>
      <c r="G81" s="18" t="n">
        <v>43.61450856</v>
      </c>
      <c r="H81" s="20" t="n">
        <v>2.53007366</v>
      </c>
      <c r="I81" s="18" t="s">
        <v>431</v>
      </c>
      <c r="J81" s="20" t="s">
        <v>431</v>
      </c>
      <c r="K81" s="18" t="n">
        <v>0.35269582</v>
      </c>
      <c r="L81" s="20" t="n">
        <v>0.3206193</v>
      </c>
      <c r="M81" s="18" t="n">
        <v>0</v>
      </c>
      <c r="N81" s="20" t="n">
        <v>0</v>
      </c>
      <c r="O81" s="18" t="n">
        <v>0</v>
      </c>
      <c r="P81" s="20" t="n">
        <v>0</v>
      </c>
      <c r="Q81" s="18" t="n">
        <v>0.32822278</v>
      </c>
      <c r="R81" s="20" t="n">
        <v>0.44700654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(6506.0/B7*100)</f>
        <v/>
      </c>
      <c r="D7" s="19" t="n">
        <v>861</v>
      </c>
      <c r="E7" s="18" t="n">
        <v>73.33813963</v>
      </c>
      <c r="F7" s="20" t="n">
        <v>2.03864896</v>
      </c>
      <c r="G7" s="18" t="n">
        <v>25.41382718</v>
      </c>
      <c r="H7" s="20" t="n">
        <v>2.08467401</v>
      </c>
      <c r="I7" s="18" t="s">
        <v>431</v>
      </c>
      <c r="J7" s="20" t="s">
        <v>431</v>
      </c>
      <c r="K7" s="18" t="n">
        <v>1.24803319</v>
      </c>
      <c r="L7" s="20" t="n">
        <v>0.5067767399999999</v>
      </c>
      <c r="M7" s="18" t="n">
        <v>0</v>
      </c>
      <c r="N7" s="20" t="n">
        <v>0</v>
      </c>
      <c r="O7" s="18" t="n">
        <v>0</v>
      </c>
      <c r="P7" s="20" t="n">
        <v>0</v>
      </c>
      <c r="Q7" s="18" t="n">
        <v>0</v>
      </c>
      <c r="R7" s="20" t="n">
        <v>0</v>
      </c>
    </row>
    <row r="8" spans="1:18">
      <c r="A8" s="15" t="s">
        <v>432</v>
      </c>
      <c r="B8" s="17" t="n">
        <v>3564</v>
      </c>
      <c r="C8" s="18">
        <f>(3115.0/B8*100)</f>
        <v/>
      </c>
      <c r="D8" s="19" t="n">
        <v>449</v>
      </c>
      <c r="E8" s="18" t="n">
        <v>80.49649076999999</v>
      </c>
      <c r="F8" s="20" t="n">
        <v>1.86240776</v>
      </c>
      <c r="G8" s="18" t="n">
        <v>17.91827684</v>
      </c>
      <c r="H8" s="20" t="n">
        <v>1.90438923</v>
      </c>
      <c r="I8" s="18" t="s">
        <v>431</v>
      </c>
      <c r="J8" s="20" t="s">
        <v>431</v>
      </c>
      <c r="K8" s="18" t="n">
        <v>1.58523239</v>
      </c>
      <c r="L8" s="20" t="n">
        <v>0.67622566</v>
      </c>
      <c r="M8" s="18" t="n">
        <v>0</v>
      </c>
      <c r="N8" s="20" t="n">
        <v>0</v>
      </c>
      <c r="O8" s="18" t="n">
        <v>0</v>
      </c>
      <c r="P8" s="20" t="n">
        <v>0</v>
      </c>
      <c r="Q8" s="18" t="n">
        <v>0</v>
      </c>
      <c r="R8" s="20" t="n">
        <v>0</v>
      </c>
    </row>
    <row r="9" spans="1:18">
      <c r="A9" s="15" t="s">
        <v>433</v>
      </c>
      <c r="B9" s="17" t="n">
        <v>4899</v>
      </c>
      <c r="C9" s="18">
        <f>(4171.0/B9*100)</f>
        <v/>
      </c>
      <c r="D9" s="19" t="n">
        <v>728</v>
      </c>
      <c r="E9" s="18" t="n">
        <v>71.80470692</v>
      </c>
      <c r="F9" s="20" t="n">
        <v>1.7237269</v>
      </c>
      <c r="G9" s="18" t="n">
        <v>25.63824052</v>
      </c>
      <c r="H9" s="20" t="n">
        <v>1.75406895</v>
      </c>
      <c r="I9" s="18" t="s">
        <v>431</v>
      </c>
      <c r="J9" s="20" t="s">
        <v>431</v>
      </c>
      <c r="K9" s="18" t="n">
        <v>2.55705255</v>
      </c>
      <c r="L9" s="20" t="n">
        <v>0.58831761</v>
      </c>
      <c r="M9" s="18" t="n">
        <v>0</v>
      </c>
      <c r="N9" s="20" t="n">
        <v>0</v>
      </c>
      <c r="O9" s="18" t="n">
        <v>0</v>
      </c>
      <c r="P9" s="20" t="n">
        <v>0</v>
      </c>
      <c r="Q9" s="18" t="n">
        <v>0</v>
      </c>
      <c r="R9" s="20" t="n">
        <v>0</v>
      </c>
    </row>
    <row r="10" spans="1:18">
      <c r="A10" s="15" t="s">
        <v>434</v>
      </c>
      <c r="B10" s="17" t="n">
        <v>10036</v>
      </c>
      <c r="C10" s="18">
        <f>(8763.0/B10*100)</f>
        <v/>
      </c>
      <c r="D10" s="19" t="n">
        <v>1273</v>
      </c>
      <c r="E10" s="18" t="n">
        <v>73.04758821999999</v>
      </c>
      <c r="F10" s="20" t="n">
        <v>1.93151068</v>
      </c>
      <c r="G10" s="18" t="n">
        <v>26.20113753</v>
      </c>
      <c r="H10" s="20" t="n">
        <v>1.97528919</v>
      </c>
      <c r="I10" s="18" t="s">
        <v>431</v>
      </c>
      <c r="J10" s="20" t="s">
        <v>431</v>
      </c>
      <c r="K10" s="18" t="n">
        <v>0.75127425</v>
      </c>
      <c r="L10" s="20" t="n">
        <v>0.27666668</v>
      </c>
      <c r="M10" s="18" t="n">
        <v>0</v>
      </c>
      <c r="N10" s="20" t="n">
        <v>0</v>
      </c>
      <c r="O10" s="18" t="n">
        <v>0</v>
      </c>
      <c r="P10" s="20" t="n">
        <v>0</v>
      </c>
      <c r="Q10" s="18" t="n">
        <v>0</v>
      </c>
      <c r="R10" s="20" t="n">
        <v>0</v>
      </c>
    </row>
    <row r="11" spans="1:18">
      <c r="A11" s="15" t="s">
        <v>435</v>
      </c>
      <c r="B11" s="17" t="n">
        <v>3553</v>
      </c>
      <c r="C11" s="18">
        <f>(3171.0/B11*100)</f>
        <v/>
      </c>
      <c r="D11" s="19" t="n">
        <v>382</v>
      </c>
      <c r="E11" s="18" t="n">
        <v>77.59310598</v>
      </c>
      <c r="F11" s="20" t="n">
        <v>2.29813818</v>
      </c>
      <c r="G11" s="18" t="n">
        <v>19.05312425</v>
      </c>
      <c r="H11" s="20" t="n">
        <v>2.11561238</v>
      </c>
      <c r="I11" s="18" t="s">
        <v>431</v>
      </c>
      <c r="J11" s="20" t="s">
        <v>431</v>
      </c>
      <c r="K11" s="18" t="n">
        <v>3.35376977</v>
      </c>
      <c r="L11" s="20" t="n">
        <v>1.20587767</v>
      </c>
      <c r="M11" s="18" t="n">
        <v>0</v>
      </c>
      <c r="N11" s="20" t="n">
        <v>0</v>
      </c>
      <c r="O11" s="18" t="n">
        <v>0</v>
      </c>
      <c r="P11" s="20" t="n">
        <v>0</v>
      </c>
      <c r="Q11" s="18" t="n">
        <v>0</v>
      </c>
      <c r="R11" s="20" t="n">
        <v>0</v>
      </c>
    </row>
    <row r="12" spans="1:18">
      <c r="A12" s="15" t="s">
        <v>436</v>
      </c>
      <c r="B12" s="17" t="n">
        <v>3472</v>
      </c>
      <c r="C12" s="18">
        <f>(3005.0/B12*100)</f>
        <v/>
      </c>
      <c r="D12" s="19" t="n">
        <v>467</v>
      </c>
      <c r="E12" s="18" t="n">
        <v>80.33019686</v>
      </c>
      <c r="F12" s="20" t="n">
        <v>1.84714678</v>
      </c>
      <c r="G12" s="18" t="n">
        <v>18.76019416</v>
      </c>
      <c r="H12" s="20" t="n">
        <v>1.82712204</v>
      </c>
      <c r="I12" s="18" t="s">
        <v>431</v>
      </c>
      <c r="J12" s="20" t="s">
        <v>431</v>
      </c>
      <c r="K12" s="18" t="n">
        <v>0.90960898</v>
      </c>
      <c r="L12" s="20" t="n">
        <v>0.4524669</v>
      </c>
      <c r="M12" s="18" t="n">
        <v>0</v>
      </c>
      <c r="N12" s="20" t="n">
        <v>0</v>
      </c>
      <c r="O12" s="18" t="n">
        <v>0</v>
      </c>
      <c r="P12" s="20" t="n">
        <v>0</v>
      </c>
      <c r="Q12" s="18" t="n">
        <v>0</v>
      </c>
      <c r="R12" s="20" t="n">
        <v>0</v>
      </c>
    </row>
    <row r="13" spans="1:18">
      <c r="A13" s="15" t="s">
        <v>437</v>
      </c>
      <c r="B13" s="17" t="n">
        <v>3559</v>
      </c>
      <c r="C13" s="18">
        <f>(2938.0/B13*100)</f>
        <v/>
      </c>
      <c r="D13" s="19" t="n">
        <v>621</v>
      </c>
      <c r="E13" s="18" t="n">
        <v>80.38299517999999</v>
      </c>
      <c r="F13" s="20" t="n">
        <v>1.99063031</v>
      </c>
      <c r="G13" s="18" t="n">
        <v>18.21827142</v>
      </c>
      <c r="H13" s="20" t="n">
        <v>1.94301651</v>
      </c>
      <c r="I13" s="18" t="s">
        <v>431</v>
      </c>
      <c r="J13" s="20" t="s">
        <v>431</v>
      </c>
      <c r="K13" s="18" t="n">
        <v>1.3987334</v>
      </c>
      <c r="L13" s="20" t="n">
        <v>0.49165554</v>
      </c>
      <c r="M13" s="18" t="n">
        <v>0</v>
      </c>
      <c r="N13" s="20" t="n">
        <v>0</v>
      </c>
      <c r="O13" s="18" t="n">
        <v>0</v>
      </c>
      <c r="P13" s="20" t="n">
        <v>0</v>
      </c>
      <c r="Q13" s="18" t="n">
        <v>0</v>
      </c>
      <c r="R13" s="20" t="n">
        <v>0</v>
      </c>
    </row>
    <row r="14" spans="1:18">
      <c r="A14" s="15" t="s">
        <v>438</v>
      </c>
      <c r="B14" s="17" t="n">
        <v>2799</v>
      </c>
      <c r="C14" s="18">
        <f>(2473.0/B14*100)</f>
        <v/>
      </c>
      <c r="D14" s="19" t="n">
        <v>326</v>
      </c>
      <c r="E14" s="18" t="n">
        <v>72.64971822</v>
      </c>
      <c r="F14" s="20" t="n">
        <v>2.69689098</v>
      </c>
      <c r="G14" s="18" t="n">
        <v>26.51456119</v>
      </c>
      <c r="H14" s="20" t="n">
        <v>2.66427714</v>
      </c>
      <c r="I14" s="18" t="s">
        <v>431</v>
      </c>
      <c r="J14" s="20" t="s">
        <v>431</v>
      </c>
      <c r="K14" s="18" t="n">
        <v>0.83572059</v>
      </c>
      <c r="L14" s="20" t="n">
        <v>0.47290229</v>
      </c>
      <c r="M14" s="18" t="n">
        <v>0</v>
      </c>
      <c r="N14" s="20" t="n">
        <v>0</v>
      </c>
      <c r="O14" s="18" t="n">
        <v>0</v>
      </c>
      <c r="P14" s="20" t="n">
        <v>0</v>
      </c>
      <c r="Q14" s="18" t="n">
        <v>0</v>
      </c>
      <c r="R14" s="20" t="n">
        <v>0</v>
      </c>
    </row>
    <row r="15" spans="1:18">
      <c r="A15" s="15" t="s">
        <v>439</v>
      </c>
      <c r="B15" s="17" t="n">
        <v>3019</v>
      </c>
      <c r="C15" s="18">
        <f>(2621.0/B15*100)</f>
        <v/>
      </c>
      <c r="D15" s="19" t="n">
        <v>398</v>
      </c>
      <c r="E15" s="18" t="n">
        <v>69.88051924</v>
      </c>
      <c r="F15" s="20" t="n">
        <v>2.49841832</v>
      </c>
      <c r="G15" s="18" t="n">
        <v>29.21042006</v>
      </c>
      <c r="H15" s="20" t="n">
        <v>2.43510802</v>
      </c>
      <c r="I15" s="18" t="s">
        <v>431</v>
      </c>
      <c r="J15" s="20" t="s">
        <v>431</v>
      </c>
      <c r="K15" s="18" t="n">
        <v>0.9090607000000001</v>
      </c>
      <c r="L15" s="20" t="n">
        <v>0.45671121</v>
      </c>
      <c r="M15" s="18" t="n">
        <v>0</v>
      </c>
      <c r="N15" s="20" t="n">
        <v>0</v>
      </c>
      <c r="O15" s="18" t="n">
        <v>0</v>
      </c>
      <c r="P15" s="20" t="n">
        <v>0</v>
      </c>
      <c r="Q15" s="18" t="n">
        <v>0</v>
      </c>
      <c r="R15" s="20" t="n">
        <v>0</v>
      </c>
    </row>
    <row r="16" spans="1:18">
      <c r="A16" s="15" t="s">
        <v>440</v>
      </c>
      <c r="B16" s="17" t="n">
        <v>2997</v>
      </c>
      <c r="C16" s="18">
        <f>(2659.0/B16*100)</f>
        <v/>
      </c>
      <c r="D16" s="19" t="n">
        <v>338</v>
      </c>
      <c r="E16" s="18" t="n">
        <v>79.53226935000001</v>
      </c>
      <c r="F16" s="20" t="n">
        <v>2.07888032</v>
      </c>
      <c r="G16" s="18" t="n">
        <v>17.06746406</v>
      </c>
      <c r="H16" s="20" t="n">
        <v>1.87117967</v>
      </c>
      <c r="I16" s="18" t="s">
        <v>431</v>
      </c>
      <c r="J16" s="20" t="s">
        <v>431</v>
      </c>
      <c r="K16" s="18" t="n">
        <v>3.40026659</v>
      </c>
      <c r="L16" s="20" t="n">
        <v>0.89926442</v>
      </c>
      <c r="M16" s="18" t="n">
        <v>0</v>
      </c>
      <c r="N16" s="20" t="n">
        <v>0</v>
      </c>
      <c r="O16" s="18" t="n">
        <v>0</v>
      </c>
      <c r="P16" s="20" t="n">
        <v>0</v>
      </c>
      <c r="Q16" s="18" t="n">
        <v>0</v>
      </c>
      <c r="R16" s="20" t="n">
        <v>0</v>
      </c>
    </row>
    <row r="17" spans="1:18">
      <c r="A17" s="15" t="s">
        <v>441</v>
      </c>
      <c r="B17" s="17" t="n">
        <v>3307</v>
      </c>
      <c r="C17" s="18">
        <f>(2835.0/B17*100)</f>
        <v/>
      </c>
      <c r="D17" s="19" t="n">
        <v>472</v>
      </c>
      <c r="E17" s="18" t="n">
        <v>82.65826416</v>
      </c>
      <c r="F17" s="20" t="n">
        <v>1.75925044</v>
      </c>
      <c r="G17" s="18" t="n">
        <v>13.03881301</v>
      </c>
      <c r="H17" s="20" t="n">
        <v>1.67490278</v>
      </c>
      <c r="I17" s="18" t="s">
        <v>431</v>
      </c>
      <c r="J17" s="20" t="s">
        <v>431</v>
      </c>
      <c r="K17" s="18" t="n">
        <v>4.30292283</v>
      </c>
      <c r="L17" s="20" t="n">
        <v>1.16882303</v>
      </c>
      <c r="M17" s="18" t="n">
        <v>0</v>
      </c>
      <c r="N17" s="20" t="n">
        <v>0</v>
      </c>
      <c r="O17" s="18" t="n">
        <v>0</v>
      </c>
      <c r="P17" s="20" t="n">
        <v>0</v>
      </c>
      <c r="Q17" s="18" t="n">
        <v>0</v>
      </c>
      <c r="R17" s="20" t="n">
        <v>0</v>
      </c>
    </row>
    <row r="18" spans="1:18">
      <c r="A18" s="15" t="s">
        <v>442</v>
      </c>
      <c r="B18" s="17" t="n">
        <v>2826</v>
      </c>
      <c r="C18" s="18">
        <f>(2472.0/B18*100)</f>
        <v/>
      </c>
      <c r="D18" s="19" t="n">
        <v>354</v>
      </c>
      <c r="E18" s="18" t="n">
        <v>78.65951929000001</v>
      </c>
      <c r="F18" s="20" t="n">
        <v>2.29373955</v>
      </c>
      <c r="G18" s="18" t="n">
        <v>18.29627742</v>
      </c>
      <c r="H18" s="20" t="n">
        <v>2.21123016</v>
      </c>
      <c r="I18" s="18" t="s">
        <v>431</v>
      </c>
      <c r="J18" s="20" t="s">
        <v>431</v>
      </c>
      <c r="K18" s="18" t="n">
        <v>3.04420329</v>
      </c>
      <c r="L18" s="20" t="n">
        <v>1.07096966</v>
      </c>
      <c r="M18" s="18" t="n">
        <v>0</v>
      </c>
      <c r="N18" s="20" t="n">
        <v>0</v>
      </c>
      <c r="O18" s="18" t="n">
        <v>0</v>
      </c>
      <c r="P18" s="20" t="n">
        <v>0</v>
      </c>
      <c r="Q18" s="18" t="n">
        <v>0</v>
      </c>
      <c r="R18" s="20" t="n">
        <v>0</v>
      </c>
    </row>
    <row r="19" spans="1:18">
      <c r="A19" s="15" t="s">
        <v>443</v>
      </c>
      <c r="B19" s="17" t="n">
        <v>2808</v>
      </c>
      <c r="C19" s="18">
        <f>(2461.0/B19*100)</f>
        <v/>
      </c>
      <c r="D19" s="19" t="n">
        <v>347</v>
      </c>
      <c r="E19" s="18" t="n">
        <v>82.3312667</v>
      </c>
      <c r="F19" s="20" t="n">
        <v>1.86099709</v>
      </c>
      <c r="G19" s="18" t="n">
        <v>16.36999521</v>
      </c>
      <c r="H19" s="20" t="n">
        <v>1.88519691</v>
      </c>
      <c r="I19" s="18" t="s">
        <v>431</v>
      </c>
      <c r="J19" s="20" t="s">
        <v>431</v>
      </c>
      <c r="K19" s="18" t="n">
        <v>1.29873809</v>
      </c>
      <c r="L19" s="20" t="n">
        <v>0.78408472</v>
      </c>
      <c r="M19" s="18" t="n">
        <v>0</v>
      </c>
      <c r="N19" s="20" t="n">
        <v>0</v>
      </c>
      <c r="O19" s="18" t="n">
        <v>0</v>
      </c>
      <c r="P19" s="20" t="n">
        <v>0</v>
      </c>
      <c r="Q19" s="18" t="n">
        <v>0</v>
      </c>
      <c r="R19" s="20" t="n">
        <v>0</v>
      </c>
    </row>
    <row r="20" spans="1:18">
      <c r="A20" s="15" t="s">
        <v>444</v>
      </c>
      <c r="B20" s="17" t="n">
        <v>1630</v>
      </c>
      <c r="C20" s="18">
        <f>(1441.0/B20*100)</f>
        <v/>
      </c>
      <c r="D20" s="19" t="n">
        <v>189</v>
      </c>
      <c r="E20" s="18" t="n">
        <v>75.47430129999999</v>
      </c>
      <c r="F20" s="20" t="n">
        <v>2.90975064</v>
      </c>
      <c r="G20" s="18" t="n">
        <v>23.48530909</v>
      </c>
      <c r="H20" s="20" t="n">
        <v>2.93005072</v>
      </c>
      <c r="I20" s="18" t="s">
        <v>431</v>
      </c>
      <c r="J20" s="20" t="s">
        <v>431</v>
      </c>
      <c r="K20" s="18" t="n">
        <v>1.04038962</v>
      </c>
      <c r="L20" s="20" t="n">
        <v>0.71869546</v>
      </c>
      <c r="M20" s="18" t="n">
        <v>0</v>
      </c>
      <c r="N20" s="20" t="n">
        <v>0</v>
      </c>
      <c r="O20" s="18" t="n">
        <v>0</v>
      </c>
      <c r="P20" s="20" t="n">
        <v>0</v>
      </c>
      <c r="Q20" s="18" t="n">
        <v>0</v>
      </c>
      <c r="R20" s="20" t="n">
        <v>0</v>
      </c>
    </row>
    <row r="21" spans="1:18">
      <c r="A21" s="15" t="s">
        <v>445</v>
      </c>
      <c r="B21" s="17" t="n">
        <v>2908</v>
      </c>
      <c r="C21" s="18">
        <f>(2437.0/B21*100)</f>
        <v/>
      </c>
      <c r="D21" s="19" t="n">
        <v>471</v>
      </c>
      <c r="E21" s="18" t="n">
        <v>66.25409282</v>
      </c>
      <c r="F21" s="20" t="n">
        <v>2.12991475</v>
      </c>
      <c r="G21" s="18" t="n">
        <v>31.9865537</v>
      </c>
      <c r="H21" s="20" t="n">
        <v>2.18706912</v>
      </c>
      <c r="I21" s="18" t="s">
        <v>431</v>
      </c>
      <c r="J21" s="20" t="s">
        <v>431</v>
      </c>
      <c r="K21" s="18" t="n">
        <v>1.75935348</v>
      </c>
      <c r="L21" s="20" t="n">
        <v>0.6208034</v>
      </c>
      <c r="M21" s="18" t="n">
        <v>0</v>
      </c>
      <c r="N21" s="20" t="n">
        <v>0</v>
      </c>
      <c r="O21" s="18" t="n">
        <v>0</v>
      </c>
      <c r="P21" s="20" t="n">
        <v>0</v>
      </c>
      <c r="Q21" s="18" t="n">
        <v>0</v>
      </c>
      <c r="R21" s="20" t="n">
        <v>0</v>
      </c>
    </row>
    <row r="22" spans="1:18">
      <c r="A22" s="15" t="s">
        <v>446</v>
      </c>
      <c r="B22" s="17" t="n">
        <v>2931</v>
      </c>
      <c r="C22" s="18">
        <f>(2555.0/B22*100)</f>
        <v/>
      </c>
      <c r="D22" s="19" t="n">
        <v>376</v>
      </c>
      <c r="E22" s="18" t="n">
        <v>74.95294232000001</v>
      </c>
      <c r="F22" s="20" t="n">
        <v>3.12588309</v>
      </c>
      <c r="G22" s="18" t="n">
        <v>21.99531394</v>
      </c>
      <c r="H22" s="20" t="n">
        <v>3.17037238</v>
      </c>
      <c r="I22" s="18" t="s">
        <v>431</v>
      </c>
      <c r="J22" s="20" t="s">
        <v>431</v>
      </c>
      <c r="K22" s="18" t="n">
        <v>3.05174375</v>
      </c>
      <c r="L22" s="20" t="n">
        <v>0.97569481</v>
      </c>
      <c r="M22" s="18" t="n">
        <v>0</v>
      </c>
      <c r="N22" s="20" t="n">
        <v>0</v>
      </c>
      <c r="O22" s="18" t="n">
        <v>0</v>
      </c>
      <c r="P22" s="20" t="n">
        <v>0</v>
      </c>
      <c r="Q22" s="18" t="n">
        <v>0</v>
      </c>
      <c r="R22" s="20" t="n">
        <v>0</v>
      </c>
    </row>
    <row r="23" spans="1:18">
      <c r="A23" s="15" t="s">
        <v>447</v>
      </c>
      <c r="B23" s="17" t="n">
        <v>5791</v>
      </c>
      <c r="C23" s="18">
        <f>(5084.0/B23*100)</f>
        <v/>
      </c>
      <c r="D23" s="19" t="n">
        <v>707</v>
      </c>
      <c r="E23" s="18" t="n">
        <v>85.76153772000001</v>
      </c>
      <c r="F23" s="20" t="n">
        <v>1.78441657</v>
      </c>
      <c r="G23" s="18" t="n">
        <v>13.48489696</v>
      </c>
      <c r="H23" s="20" t="n">
        <v>1.72715875</v>
      </c>
      <c r="I23" s="18" t="s">
        <v>431</v>
      </c>
      <c r="J23" s="20" t="s">
        <v>431</v>
      </c>
      <c r="K23" s="18" t="n">
        <v>0.75356532</v>
      </c>
      <c r="L23" s="20" t="n">
        <v>0.37726915</v>
      </c>
      <c r="M23" s="18" t="n">
        <v>0</v>
      </c>
      <c r="N23" s="20" t="n">
        <v>0</v>
      </c>
      <c r="O23" s="18" t="n">
        <v>0</v>
      </c>
      <c r="P23" s="20" t="n">
        <v>0</v>
      </c>
      <c r="Q23" s="18" t="n">
        <v>0</v>
      </c>
      <c r="R23" s="20" t="n">
        <v>0</v>
      </c>
    </row>
    <row r="24" spans="1:18">
      <c r="A24" s="15" t="s">
        <v>448</v>
      </c>
      <c r="B24" s="17" t="n">
        <v>3338</v>
      </c>
      <c r="C24" s="18">
        <f>(2947.0/B24*100)</f>
        <v/>
      </c>
      <c r="D24" s="19" t="n">
        <v>391</v>
      </c>
      <c r="E24" s="18" t="n">
        <v>62.53016639</v>
      </c>
      <c r="F24" s="20" t="n">
        <v>2.98735141</v>
      </c>
      <c r="G24" s="18" t="n">
        <v>35.58907854</v>
      </c>
      <c r="H24" s="20" t="n">
        <v>2.9749229</v>
      </c>
      <c r="I24" s="18" t="s">
        <v>431</v>
      </c>
      <c r="J24" s="20" t="s">
        <v>431</v>
      </c>
      <c r="K24" s="18" t="n">
        <v>1.88075507</v>
      </c>
      <c r="L24" s="20" t="n">
        <v>0.69916579</v>
      </c>
      <c r="M24" s="18" t="n">
        <v>0</v>
      </c>
      <c r="N24" s="20" t="n">
        <v>0</v>
      </c>
      <c r="O24" s="18" t="n">
        <v>0</v>
      </c>
      <c r="P24" s="20" t="n">
        <v>0</v>
      </c>
      <c r="Q24" s="18" t="n">
        <v>0</v>
      </c>
      <c r="R24" s="20" t="n">
        <v>0</v>
      </c>
    </row>
    <row r="25" spans="1:18">
      <c r="A25" s="15" t="s">
        <v>449</v>
      </c>
      <c r="B25" s="17" t="n">
        <v>2912</v>
      </c>
      <c r="C25" s="18">
        <f>(2540.0/B25*100)</f>
        <v/>
      </c>
      <c r="D25" s="19" t="n">
        <v>372</v>
      </c>
      <c r="E25" s="18" t="n">
        <v>49.32675972</v>
      </c>
      <c r="F25" s="20" t="n">
        <v>2.75950011</v>
      </c>
      <c r="G25" s="18" t="n">
        <v>50.17100964</v>
      </c>
      <c r="H25" s="20" t="n">
        <v>2.77699592</v>
      </c>
      <c r="I25" s="18" t="s">
        <v>431</v>
      </c>
      <c r="J25" s="20" t="s">
        <v>431</v>
      </c>
      <c r="K25" s="18" t="n">
        <v>0.50223064</v>
      </c>
      <c r="L25" s="20" t="n">
        <v>0.35563473</v>
      </c>
      <c r="M25" s="18" t="n">
        <v>0</v>
      </c>
      <c r="N25" s="20" t="n">
        <v>0</v>
      </c>
      <c r="O25" s="18" t="n">
        <v>0</v>
      </c>
      <c r="P25" s="20" t="n">
        <v>0</v>
      </c>
      <c r="Q25" s="18" t="n">
        <v>0</v>
      </c>
      <c r="R25" s="20" t="n">
        <v>0</v>
      </c>
    </row>
    <row r="26" spans="1:18">
      <c r="A26" s="15" t="s">
        <v>450</v>
      </c>
      <c r="B26" s="17" t="n">
        <v>2450</v>
      </c>
      <c r="C26" s="18">
        <f>(2141.0/B26*100)</f>
        <v/>
      </c>
      <c r="D26" s="19" t="n">
        <v>309</v>
      </c>
      <c r="E26" s="18" t="n">
        <v>83.96785592000001</v>
      </c>
      <c r="F26" s="20" t="n">
        <v>2.14355343</v>
      </c>
      <c r="G26" s="18" t="n">
        <v>15.21890873</v>
      </c>
      <c r="H26" s="20" t="n">
        <v>2.20436995</v>
      </c>
      <c r="I26" s="18" t="s">
        <v>431</v>
      </c>
      <c r="J26" s="20" t="s">
        <v>431</v>
      </c>
      <c r="K26" s="18" t="n">
        <v>0.81323536</v>
      </c>
      <c r="L26" s="20" t="n">
        <v>0.63558067</v>
      </c>
      <c r="M26" s="18" t="n">
        <v>0</v>
      </c>
      <c r="N26" s="20" t="n">
        <v>0</v>
      </c>
      <c r="O26" s="18" t="n">
        <v>0</v>
      </c>
      <c r="P26" s="20" t="n">
        <v>0</v>
      </c>
      <c r="Q26" s="18" t="n">
        <v>0</v>
      </c>
      <c r="R26" s="20" t="n">
        <v>0</v>
      </c>
    </row>
    <row r="27" spans="1:18">
      <c r="A27" s="15" t="s">
        <v>451</v>
      </c>
      <c r="B27" s="17" t="n">
        <v>2616</v>
      </c>
      <c r="C27" s="18">
        <f>(2304.0/B27*100)</f>
        <v/>
      </c>
      <c r="D27" s="19" t="n">
        <v>312</v>
      </c>
      <c r="E27" s="18" t="n">
        <v>80.4196511</v>
      </c>
      <c r="F27" s="20" t="n">
        <v>2.37886383</v>
      </c>
      <c r="G27" s="18" t="n">
        <v>17.95986982</v>
      </c>
      <c r="H27" s="20" t="n">
        <v>2.2975404</v>
      </c>
      <c r="I27" s="18" t="s">
        <v>431</v>
      </c>
      <c r="J27" s="20" t="s">
        <v>431</v>
      </c>
      <c r="K27" s="18" t="n">
        <v>1.62047908</v>
      </c>
      <c r="L27" s="20" t="n">
        <v>0.72663794</v>
      </c>
      <c r="M27" s="18" t="n">
        <v>0</v>
      </c>
      <c r="N27" s="20" t="n">
        <v>0</v>
      </c>
      <c r="O27" s="18" t="n">
        <v>0</v>
      </c>
      <c r="P27" s="20" t="n">
        <v>0</v>
      </c>
      <c r="Q27" s="18" t="n">
        <v>0</v>
      </c>
      <c r="R27" s="20" t="n">
        <v>0</v>
      </c>
    </row>
    <row r="28" spans="1:18">
      <c r="A28" s="15" t="s">
        <v>452</v>
      </c>
      <c r="B28" s="17" t="n">
        <v>3765</v>
      </c>
      <c r="C28" s="18">
        <f>(3335.0/B28*100)</f>
        <v/>
      </c>
      <c r="D28" s="19" t="n">
        <v>430</v>
      </c>
      <c r="E28" s="18" t="n">
        <v>87.06230632</v>
      </c>
      <c r="F28" s="20" t="n">
        <v>1.82156146</v>
      </c>
      <c r="G28" s="18" t="n">
        <v>9.71578908</v>
      </c>
      <c r="H28" s="20" t="n">
        <v>1.54145199</v>
      </c>
      <c r="I28" s="18" t="s">
        <v>431</v>
      </c>
      <c r="J28" s="20" t="s">
        <v>431</v>
      </c>
      <c r="K28" s="18" t="n">
        <v>3.2219046</v>
      </c>
      <c r="L28" s="20" t="n">
        <v>1.25789888</v>
      </c>
      <c r="M28" s="18" t="n">
        <v>0</v>
      </c>
      <c r="N28" s="20" t="n">
        <v>0</v>
      </c>
      <c r="O28" s="18" t="n">
        <v>0</v>
      </c>
      <c r="P28" s="20" t="n">
        <v>0</v>
      </c>
      <c r="Q28" s="18" t="n">
        <v>0</v>
      </c>
      <c r="R28" s="20" t="n">
        <v>0</v>
      </c>
    </row>
    <row r="29" spans="1:18">
      <c r="A29" s="15" t="s">
        <v>453</v>
      </c>
      <c r="B29" s="17" t="n">
        <v>2685</v>
      </c>
      <c r="C29" s="18">
        <f>(2296.0/B29*100)</f>
        <v/>
      </c>
      <c r="D29" s="19" t="n">
        <v>389</v>
      </c>
      <c r="E29" s="18" t="n">
        <v>65.69694248</v>
      </c>
      <c r="F29" s="20" t="n">
        <v>2.55100024</v>
      </c>
      <c r="G29" s="18" t="n">
        <v>33.18563164</v>
      </c>
      <c r="H29" s="20" t="n">
        <v>2.67632148</v>
      </c>
      <c r="I29" s="18" t="s">
        <v>431</v>
      </c>
      <c r="J29" s="20" t="s">
        <v>431</v>
      </c>
      <c r="K29" s="18" t="n">
        <v>1.11742588</v>
      </c>
      <c r="L29" s="20" t="n">
        <v>0.68794833</v>
      </c>
      <c r="M29" s="18" t="n">
        <v>0</v>
      </c>
      <c r="N29" s="20" t="n">
        <v>0</v>
      </c>
      <c r="O29" s="18" t="n">
        <v>0</v>
      </c>
      <c r="P29" s="20" t="n">
        <v>0</v>
      </c>
      <c r="Q29" s="18" t="n">
        <v>0</v>
      </c>
      <c r="R29" s="20" t="n">
        <v>0</v>
      </c>
    </row>
    <row r="30" spans="1:18">
      <c r="A30" s="15" t="s">
        <v>454</v>
      </c>
      <c r="B30" s="17" t="n">
        <v>2263</v>
      </c>
      <c r="C30" s="18">
        <f>(1997.0/B30*100)</f>
        <v/>
      </c>
      <c r="D30" s="19" t="n">
        <v>266</v>
      </c>
      <c r="E30" s="18" t="n">
        <v>73.96282918999999</v>
      </c>
      <c r="F30" s="20" t="n">
        <v>2.77039265</v>
      </c>
      <c r="G30" s="18" t="n">
        <v>24.32680038</v>
      </c>
      <c r="H30" s="20" t="n">
        <v>2.683047</v>
      </c>
      <c r="I30" s="18" t="s">
        <v>431</v>
      </c>
      <c r="J30" s="20" t="s">
        <v>431</v>
      </c>
      <c r="K30" s="18" t="n">
        <v>1.71037043</v>
      </c>
      <c r="L30" s="20" t="n">
        <v>0.75589694</v>
      </c>
      <c r="M30" s="18" t="n">
        <v>0</v>
      </c>
      <c r="N30" s="20" t="n">
        <v>0</v>
      </c>
      <c r="O30" s="18" t="n">
        <v>0</v>
      </c>
      <c r="P30" s="20" t="n">
        <v>0</v>
      </c>
      <c r="Q30" s="18" t="n">
        <v>0</v>
      </c>
      <c r="R30" s="20" t="n">
        <v>0</v>
      </c>
    </row>
    <row r="31" spans="1:18">
      <c r="A31" s="15" t="s">
        <v>455</v>
      </c>
      <c r="B31" s="17" t="n">
        <v>2750</v>
      </c>
      <c r="C31" s="18">
        <f>(2424.0/B31*100)</f>
        <v/>
      </c>
      <c r="D31" s="19" t="n">
        <v>326</v>
      </c>
      <c r="E31" s="18" t="n">
        <v>61.46444365</v>
      </c>
      <c r="F31" s="20" t="n">
        <v>2.39130285</v>
      </c>
      <c r="G31" s="18" t="n">
        <v>36.09344923</v>
      </c>
      <c r="H31" s="20" t="n">
        <v>2.31399615</v>
      </c>
      <c r="I31" s="18" t="s">
        <v>431</v>
      </c>
      <c r="J31" s="20" t="s">
        <v>431</v>
      </c>
      <c r="K31" s="18" t="n">
        <v>2.44210711</v>
      </c>
      <c r="L31" s="20" t="n">
        <v>0.860123</v>
      </c>
      <c r="M31" s="18" t="n">
        <v>0</v>
      </c>
      <c r="N31" s="20" t="n">
        <v>0</v>
      </c>
      <c r="O31" s="18" t="n">
        <v>0</v>
      </c>
      <c r="P31" s="20" t="n">
        <v>0</v>
      </c>
      <c r="Q31" s="18" t="n">
        <v>0</v>
      </c>
      <c r="R31" s="20" t="n">
        <v>0</v>
      </c>
    </row>
    <row r="32" spans="1:18">
      <c r="A32" s="15" t="s">
        <v>456</v>
      </c>
      <c r="B32" s="17" t="n">
        <v>2269</v>
      </c>
      <c r="C32" s="18">
        <f>(1905.0/B32*100)</f>
        <v/>
      </c>
      <c r="D32" s="19" t="n">
        <v>364</v>
      </c>
      <c r="E32" s="18" t="n">
        <v>71.37374378</v>
      </c>
      <c r="F32" s="20" t="n">
        <v>2.55650499</v>
      </c>
      <c r="G32" s="18" t="n">
        <v>27.64082146</v>
      </c>
      <c r="H32" s="20" t="n">
        <v>2.58933111</v>
      </c>
      <c r="I32" s="18" t="s">
        <v>431</v>
      </c>
      <c r="J32" s="20" t="s">
        <v>431</v>
      </c>
      <c r="K32" s="18" t="n">
        <v>0.98543477</v>
      </c>
      <c r="L32" s="20" t="n">
        <v>0.34957825</v>
      </c>
      <c r="M32" s="18" t="n">
        <v>0</v>
      </c>
      <c r="N32" s="20" t="n">
        <v>0</v>
      </c>
      <c r="O32" s="18" t="n">
        <v>0</v>
      </c>
      <c r="P32" s="20" t="n">
        <v>0</v>
      </c>
      <c r="Q32" s="18" t="n">
        <v>0</v>
      </c>
      <c r="R32" s="20" t="n">
        <v>0</v>
      </c>
    </row>
    <row r="33" spans="1:18">
      <c r="A33" s="15" t="s">
        <v>457</v>
      </c>
      <c r="B33" s="17" t="n">
        <v>3674</v>
      </c>
      <c r="C33" s="18">
        <f>(3248.0/B33*100)</f>
        <v/>
      </c>
      <c r="D33" s="19" t="n">
        <v>426</v>
      </c>
      <c r="E33" s="18" t="n">
        <v>72.53271261</v>
      </c>
      <c r="F33" s="20" t="n">
        <v>2.58087983</v>
      </c>
      <c r="G33" s="18" t="n">
        <v>27.23918989</v>
      </c>
      <c r="H33" s="20" t="n">
        <v>2.57593905</v>
      </c>
      <c r="I33" s="18" t="s">
        <v>431</v>
      </c>
      <c r="J33" s="20" t="s">
        <v>431</v>
      </c>
      <c r="K33" s="18" t="n">
        <v>0.2280975</v>
      </c>
      <c r="L33" s="20" t="n">
        <v>0.12512196</v>
      </c>
      <c r="M33" s="18" t="n">
        <v>0</v>
      </c>
      <c r="N33" s="20" t="n">
        <v>0</v>
      </c>
      <c r="O33" s="18" t="n">
        <v>0</v>
      </c>
      <c r="P33" s="20" t="n">
        <v>0</v>
      </c>
      <c r="Q33" s="18" t="n">
        <v>0</v>
      </c>
      <c r="R33" s="20" t="n">
        <v>0</v>
      </c>
    </row>
    <row r="34" spans="1:18">
      <c r="A34" s="15" t="s">
        <v>458</v>
      </c>
      <c r="B34" s="17" t="n">
        <v>3315</v>
      </c>
      <c r="C34" s="18">
        <f>(2871.0/B34*100)</f>
        <v/>
      </c>
      <c r="D34" s="19" t="n">
        <v>444</v>
      </c>
      <c r="E34" s="18" t="n">
        <v>78.41805723</v>
      </c>
      <c r="F34" s="20" t="n">
        <v>1.9414347</v>
      </c>
      <c r="G34" s="18" t="n">
        <v>21.14963939</v>
      </c>
      <c r="H34" s="20" t="n">
        <v>1.92596722</v>
      </c>
      <c r="I34" s="18" t="s">
        <v>431</v>
      </c>
      <c r="J34" s="20" t="s">
        <v>431</v>
      </c>
      <c r="K34" s="18" t="n">
        <v>0.43230338</v>
      </c>
      <c r="L34" s="20" t="n">
        <v>0.26778773</v>
      </c>
      <c r="M34" s="18" t="n">
        <v>0</v>
      </c>
      <c r="N34" s="20" t="n">
        <v>0</v>
      </c>
      <c r="O34" s="18" t="n">
        <v>0</v>
      </c>
      <c r="P34" s="20" t="n">
        <v>0</v>
      </c>
      <c r="Q34" s="18" t="n">
        <v>0</v>
      </c>
      <c r="R34" s="20" t="n">
        <v>0</v>
      </c>
    </row>
    <row r="35" spans="1:18">
      <c r="A35" s="15" t="s">
        <v>459</v>
      </c>
      <c r="B35" s="17" t="n">
        <v>3505</v>
      </c>
      <c r="C35" s="18">
        <f>(2998.0/B35*100)</f>
        <v/>
      </c>
      <c r="D35" s="19" t="n">
        <v>507</v>
      </c>
      <c r="E35" s="18" t="n">
        <v>69.29057546</v>
      </c>
      <c r="F35" s="20" t="n">
        <v>2.75072008</v>
      </c>
      <c r="G35" s="18" t="n">
        <v>29.19743157</v>
      </c>
      <c r="H35" s="20" t="n">
        <v>2.79759054</v>
      </c>
      <c r="I35" s="18" t="s">
        <v>431</v>
      </c>
      <c r="J35" s="20" t="s">
        <v>431</v>
      </c>
      <c r="K35" s="18" t="n">
        <v>1.51199297</v>
      </c>
      <c r="L35" s="20" t="n">
        <v>0.63615735</v>
      </c>
      <c r="M35" s="18" t="n">
        <v>0</v>
      </c>
      <c r="N35" s="20" t="n">
        <v>0</v>
      </c>
      <c r="O35" s="18" t="n">
        <v>0</v>
      </c>
      <c r="P35" s="20" t="n">
        <v>0</v>
      </c>
      <c r="Q35" s="18" t="n">
        <v>0</v>
      </c>
      <c r="R35" s="20" t="n">
        <v>0</v>
      </c>
    </row>
    <row r="36" spans="1:18">
      <c r="A36" s="15" t="s">
        <v>460</v>
      </c>
      <c r="B36" s="17" t="n">
        <v>3332</v>
      </c>
      <c r="C36" s="18">
        <f>(2930.0/B36*100)</f>
        <v/>
      </c>
      <c r="D36" s="19" t="n">
        <v>402</v>
      </c>
      <c r="E36" s="18" t="n">
        <v>77.65100319</v>
      </c>
      <c r="F36" s="20" t="n">
        <v>2.11934599</v>
      </c>
      <c r="G36" s="18" t="n">
        <v>19.79510851</v>
      </c>
      <c r="H36" s="20" t="n">
        <v>2.11310052</v>
      </c>
      <c r="I36" s="18" t="s">
        <v>431</v>
      </c>
      <c r="J36" s="20" t="s">
        <v>431</v>
      </c>
      <c r="K36" s="18" t="n">
        <v>2.5538883</v>
      </c>
      <c r="L36" s="20" t="n">
        <v>0.79099181</v>
      </c>
      <c r="M36" s="18" t="n">
        <v>0</v>
      </c>
      <c r="N36" s="20" t="n">
        <v>0</v>
      </c>
      <c r="O36" s="18" t="n">
        <v>0</v>
      </c>
      <c r="P36" s="20" t="n">
        <v>0</v>
      </c>
      <c r="Q36" s="18" t="n">
        <v>0</v>
      </c>
      <c r="R36" s="20" t="n">
        <v>0</v>
      </c>
    </row>
    <row r="37" spans="1:18">
      <c r="A37" s="15" t="s">
        <v>461</v>
      </c>
      <c r="B37" s="17" t="n">
        <v>2727</v>
      </c>
      <c r="C37" s="18">
        <f>(2395.0/B37*100)</f>
        <v/>
      </c>
      <c r="D37" s="19" t="n">
        <v>332</v>
      </c>
      <c r="E37" s="18" t="n">
        <v>77.31321186</v>
      </c>
      <c r="F37" s="20" t="n">
        <v>2.45472639</v>
      </c>
      <c r="G37" s="18" t="n">
        <v>18.05331217</v>
      </c>
      <c r="H37" s="20" t="n">
        <v>2.28910792</v>
      </c>
      <c r="I37" s="18" t="s">
        <v>431</v>
      </c>
      <c r="J37" s="20" t="s">
        <v>431</v>
      </c>
      <c r="K37" s="18" t="n">
        <v>4.63347597</v>
      </c>
      <c r="L37" s="20" t="n">
        <v>1.19720172</v>
      </c>
      <c r="M37" s="18" t="n">
        <v>0</v>
      </c>
      <c r="N37" s="20" t="n">
        <v>0</v>
      </c>
      <c r="O37" s="18" t="n">
        <v>0</v>
      </c>
      <c r="P37" s="20" t="n">
        <v>0</v>
      </c>
      <c r="Q37" s="18" t="n">
        <v>0</v>
      </c>
      <c r="R37" s="20" t="n">
        <v>0</v>
      </c>
    </row>
    <row r="38" spans="1:18">
      <c r="A38" s="15" t="s">
        <v>462</v>
      </c>
      <c r="B38" s="17" t="n">
        <v>3053</v>
      </c>
      <c r="C38" s="18">
        <f>(2548.0/B38*100)</f>
        <v/>
      </c>
      <c r="D38" s="19" t="n">
        <v>505</v>
      </c>
      <c r="E38" s="18" t="n">
        <v>77.67427556</v>
      </c>
      <c r="F38" s="20" t="n">
        <v>1.92572622</v>
      </c>
      <c r="G38" s="18" t="n">
        <v>18.89172148</v>
      </c>
      <c r="H38" s="20" t="n">
        <v>1.80681435</v>
      </c>
      <c r="I38" s="18" t="s">
        <v>431</v>
      </c>
      <c r="J38" s="20" t="s">
        <v>431</v>
      </c>
      <c r="K38" s="18" t="n">
        <v>3.43400296</v>
      </c>
      <c r="L38" s="20" t="n">
        <v>1.06901321</v>
      </c>
      <c r="M38" s="18" t="n">
        <v>0</v>
      </c>
      <c r="N38" s="20" t="n">
        <v>0</v>
      </c>
      <c r="O38" s="18" t="n">
        <v>0</v>
      </c>
      <c r="P38" s="20" t="n">
        <v>0</v>
      </c>
      <c r="Q38" s="18" t="n">
        <v>0</v>
      </c>
      <c r="R38" s="20" t="n">
        <v>0</v>
      </c>
    </row>
    <row r="39" spans="1:18">
      <c r="A39" s="15" t="s">
        <v>463</v>
      </c>
      <c r="B39" s="17" t="n">
        <v>2957</v>
      </c>
      <c r="C39" s="18">
        <f>(2595.0/B39*100)</f>
        <v/>
      </c>
      <c r="D39" s="19" t="n">
        <v>362</v>
      </c>
      <c r="E39" s="18" t="n">
        <v>93.76184194</v>
      </c>
      <c r="F39" s="20" t="n">
        <v>1.53343108</v>
      </c>
      <c r="G39" s="18" t="n">
        <v>5.17769612</v>
      </c>
      <c r="H39" s="20" t="n">
        <v>1.35588883</v>
      </c>
      <c r="I39" s="18" t="s">
        <v>431</v>
      </c>
      <c r="J39" s="20" t="s">
        <v>431</v>
      </c>
      <c r="K39" s="18" t="n">
        <v>1.06046194</v>
      </c>
      <c r="L39" s="20" t="n">
        <v>0.6946297</v>
      </c>
      <c r="M39" s="18" t="n">
        <v>0</v>
      </c>
      <c r="N39" s="20" t="n">
        <v>0</v>
      </c>
      <c r="O39" s="18" t="n">
        <v>0</v>
      </c>
      <c r="P39" s="20" t="n">
        <v>0</v>
      </c>
      <c r="Q39" s="18" t="n">
        <v>0</v>
      </c>
      <c r="R39" s="20" t="n">
        <v>0</v>
      </c>
    </row>
    <row r="40" spans="1:18">
      <c r="A40" s="15" t="s">
        <v>464</v>
      </c>
      <c r="B40" s="17" t="n">
        <v>7235</v>
      </c>
      <c r="C40" s="18">
        <f>(6384.0/B40*100)</f>
        <v/>
      </c>
      <c r="D40" s="19" t="n">
        <v>851</v>
      </c>
      <c r="E40" s="18" t="n">
        <v>77.70835795000001</v>
      </c>
      <c r="F40" s="20" t="n">
        <v>2.1746309</v>
      </c>
      <c r="G40" s="18" t="n">
        <v>20.38665173</v>
      </c>
      <c r="H40" s="20" t="n">
        <v>2.22431906</v>
      </c>
      <c r="I40" s="18" t="s">
        <v>431</v>
      </c>
      <c r="J40" s="20" t="s">
        <v>431</v>
      </c>
      <c r="K40" s="18" t="n">
        <v>1.90499032</v>
      </c>
      <c r="L40" s="20" t="n">
        <v>0.81681132</v>
      </c>
      <c r="M40" s="18" t="n">
        <v>0</v>
      </c>
      <c r="N40" s="20" t="n">
        <v>0</v>
      </c>
      <c r="O40" s="18" t="n">
        <v>0</v>
      </c>
      <c r="P40" s="20" t="n">
        <v>0</v>
      </c>
      <c r="Q40" s="18" t="n">
        <v>0</v>
      </c>
      <c r="R40" s="20" t="n">
        <v>0</v>
      </c>
    </row>
    <row r="41" spans="1:18">
      <c r="A41" s="15" t="s">
        <v>465</v>
      </c>
      <c r="B41" s="17" t="n">
        <v>2858</v>
      </c>
      <c r="C41" s="18">
        <f>(2495.0/B41*100)</f>
        <v/>
      </c>
      <c r="D41" s="19" t="n">
        <v>363</v>
      </c>
      <c r="E41" s="18" t="n">
        <v>81.78008113</v>
      </c>
      <c r="F41" s="20" t="n">
        <v>2.10877182</v>
      </c>
      <c r="G41" s="18" t="n">
        <v>17.3942893</v>
      </c>
      <c r="H41" s="20" t="n">
        <v>1.99808658</v>
      </c>
      <c r="I41" s="18" t="s">
        <v>431</v>
      </c>
      <c r="J41" s="20" t="s">
        <v>431</v>
      </c>
      <c r="K41" s="18" t="n">
        <v>0.82562957</v>
      </c>
      <c r="L41" s="20" t="n">
        <v>0.486084</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(10109.0/B46*100)</f>
        <v/>
      </c>
      <c r="D46" s="19" t="n">
        <v>959</v>
      </c>
      <c r="E46" s="18" t="n">
        <v>86.31485594999999</v>
      </c>
      <c r="F46" s="20" t="n">
        <v>1.53546326</v>
      </c>
      <c r="G46" s="18" t="n">
        <v>10.03882639</v>
      </c>
      <c r="H46" s="20" t="n">
        <v>1.42085915</v>
      </c>
      <c r="I46" s="18" t="s">
        <v>431</v>
      </c>
      <c r="J46" s="20" t="s">
        <v>431</v>
      </c>
      <c r="K46" s="18" t="n">
        <v>3.64631766</v>
      </c>
      <c r="L46" s="20" t="n">
        <v>0.84220942</v>
      </c>
      <c r="M46" s="18" t="n">
        <v>0</v>
      </c>
      <c r="N46" s="20" t="n">
        <v>0</v>
      </c>
      <c r="O46" s="18" t="n">
        <v>0</v>
      </c>
      <c r="P46" s="20" t="n">
        <v>0</v>
      </c>
      <c r="Q46" s="18" t="n">
        <v>0</v>
      </c>
      <c r="R46" s="20" t="n">
        <v>0</v>
      </c>
    </row>
    <row r="47" spans="1:18">
      <c r="A47" s="15" t="s">
        <v>471</v>
      </c>
      <c r="B47" s="17" t="n">
        <v>3105</v>
      </c>
      <c r="C47" s="18">
        <f>(2767.0/B47*100)</f>
        <v/>
      </c>
      <c r="D47" s="19" t="n">
        <v>338</v>
      </c>
      <c r="E47" s="18" t="n">
        <v>79.55259144</v>
      </c>
      <c r="F47" s="20" t="n">
        <v>2.38352239</v>
      </c>
      <c r="G47" s="18" t="n">
        <v>19.23260704</v>
      </c>
      <c r="H47" s="20" t="n">
        <v>2.2839489</v>
      </c>
      <c r="I47" s="18" t="s">
        <v>431</v>
      </c>
      <c r="J47" s="20" t="s">
        <v>431</v>
      </c>
      <c r="K47" s="18" t="n">
        <v>1.21480152</v>
      </c>
      <c r="L47" s="20" t="n">
        <v>0.76111326</v>
      </c>
      <c r="M47" s="18" t="n">
        <v>0</v>
      </c>
      <c r="N47" s="20" t="n">
        <v>0</v>
      </c>
      <c r="O47" s="18" t="n">
        <v>0</v>
      </c>
      <c r="P47" s="20" t="n">
        <v>0</v>
      </c>
      <c r="Q47" s="18" t="n">
        <v>0</v>
      </c>
      <c r="R47" s="20" t="n">
        <v>0</v>
      </c>
    </row>
    <row r="48" spans="1:18">
      <c r="A48" s="15" t="s">
        <v>472</v>
      </c>
      <c r="B48" s="17" t="n">
        <v>5159</v>
      </c>
      <c r="C48" s="18">
        <f>(4527.0/B48*100)</f>
        <v/>
      </c>
      <c r="D48" s="19" t="n">
        <v>632</v>
      </c>
      <c r="E48" s="18" t="n">
        <v>64.55955891000001</v>
      </c>
      <c r="F48" s="20" t="n">
        <v>3.27168339</v>
      </c>
      <c r="G48" s="18" t="n">
        <v>33.49826562</v>
      </c>
      <c r="H48" s="20" t="n">
        <v>3.16114999</v>
      </c>
      <c r="I48" s="18" t="s">
        <v>431</v>
      </c>
      <c r="J48" s="20" t="s">
        <v>431</v>
      </c>
      <c r="K48" s="18" t="n">
        <v>1.94217548</v>
      </c>
      <c r="L48" s="20" t="n">
        <v>0.88481063</v>
      </c>
      <c r="M48" s="18" t="n">
        <v>0</v>
      </c>
      <c r="N48" s="20" t="n">
        <v>0</v>
      </c>
      <c r="O48" s="18" t="n">
        <v>0</v>
      </c>
      <c r="P48" s="20" t="n">
        <v>0</v>
      </c>
      <c r="Q48" s="18" t="n">
        <v>0</v>
      </c>
      <c r="R48" s="20" t="n">
        <v>0</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(5004.0/B50*100)</f>
        <v/>
      </c>
      <c r="D50" s="19" t="n">
        <v>633</v>
      </c>
      <c r="E50" s="18" t="n">
        <v>90.10460138000001</v>
      </c>
      <c r="F50" s="20" t="n">
        <v>1.52758646</v>
      </c>
      <c r="G50" s="18" t="n">
        <v>6.24500772</v>
      </c>
      <c r="H50" s="20" t="n">
        <v>1.24183639</v>
      </c>
      <c r="I50" s="18" t="s">
        <v>431</v>
      </c>
      <c r="J50" s="20" t="s">
        <v>431</v>
      </c>
      <c r="K50" s="18" t="n">
        <v>3.65039089</v>
      </c>
      <c r="L50" s="20" t="n">
        <v>1.07426253</v>
      </c>
      <c r="M50" s="18" t="n">
        <v>0</v>
      </c>
      <c r="N50" s="20" t="n">
        <v>0</v>
      </c>
      <c r="O50" s="18" t="n">
        <v>0</v>
      </c>
      <c r="P50" s="20" t="n">
        <v>0</v>
      </c>
      <c r="Q50" s="18" t="n">
        <v>0</v>
      </c>
      <c r="R50" s="20" t="n">
        <v>0</v>
      </c>
    </row>
    <row r="51" spans="1:18">
      <c r="A51" s="15" t="s">
        <v>475</v>
      </c>
      <c r="B51" s="17" t="n">
        <v>3372</v>
      </c>
      <c r="C51" s="18">
        <f>(2688.0/B51*100)</f>
        <v/>
      </c>
      <c r="D51" s="19" t="n">
        <v>684</v>
      </c>
      <c r="E51" s="18" t="n">
        <v>90.73799153</v>
      </c>
      <c r="F51" s="20" t="n">
        <v>1.04890997</v>
      </c>
      <c r="G51" s="18" t="n">
        <v>8.235407260000001</v>
      </c>
      <c r="H51" s="20" t="n">
        <v>0.99768105</v>
      </c>
      <c r="I51" s="18" t="s">
        <v>431</v>
      </c>
      <c r="J51" s="20" t="s">
        <v>431</v>
      </c>
      <c r="K51" s="18" t="n">
        <v>1.02660121</v>
      </c>
      <c r="L51" s="20" t="n">
        <v>0.4505488</v>
      </c>
      <c r="M51" s="18" t="n">
        <v>0</v>
      </c>
      <c r="N51" s="20" t="n">
        <v>0</v>
      </c>
      <c r="O51" s="18" t="n">
        <v>0</v>
      </c>
      <c r="P51" s="20" t="n">
        <v>0</v>
      </c>
      <c r="Q51" s="18" t="n">
        <v>0</v>
      </c>
      <c r="R51" s="20" t="n">
        <v>0</v>
      </c>
    </row>
    <row r="52" spans="1:18">
      <c r="A52" s="15" t="s">
        <v>476</v>
      </c>
      <c r="B52" s="17" t="n">
        <v>2796</v>
      </c>
      <c r="C52" s="18">
        <f>(2453.0/B52*100)</f>
        <v/>
      </c>
      <c r="D52" s="19" t="n">
        <v>343</v>
      </c>
      <c r="E52" s="18" t="n">
        <v>77.82617611000001</v>
      </c>
      <c r="F52" s="20" t="n">
        <v>2.14611299</v>
      </c>
      <c r="G52" s="18" t="n">
        <v>21.90670402</v>
      </c>
      <c r="H52" s="20" t="n">
        <v>2.13074107</v>
      </c>
      <c r="I52" s="18" t="s">
        <v>431</v>
      </c>
      <c r="J52" s="20" t="s">
        <v>431</v>
      </c>
      <c r="K52" s="18" t="n">
        <v>0.26711987</v>
      </c>
      <c r="L52" s="20" t="n">
        <v>0.26653492</v>
      </c>
      <c r="M52" s="18" t="n">
        <v>0</v>
      </c>
      <c r="N52" s="20" t="n">
        <v>0</v>
      </c>
      <c r="O52" s="18" t="n">
        <v>0</v>
      </c>
      <c r="P52" s="20" t="n">
        <v>0</v>
      </c>
      <c r="Q52" s="18" t="n">
        <v>0</v>
      </c>
      <c r="R52" s="20" t="n">
        <v>0</v>
      </c>
    </row>
    <row r="53" spans="1:18">
      <c r="A53" s="15" t="s">
        <v>477</v>
      </c>
      <c r="B53" s="17" t="n">
        <v>2811</v>
      </c>
      <c r="C53" s="18">
        <f>(2476.0/B53*100)</f>
        <v/>
      </c>
      <c r="D53" s="19" t="n">
        <v>335</v>
      </c>
      <c r="E53" s="18" t="n">
        <v>82.74449835</v>
      </c>
      <c r="F53" s="20" t="n">
        <v>2.05573069</v>
      </c>
      <c r="G53" s="18" t="n">
        <v>14.94810622</v>
      </c>
      <c r="H53" s="20" t="n">
        <v>1.90313592</v>
      </c>
      <c r="I53" s="18" t="s">
        <v>431</v>
      </c>
      <c r="J53" s="20" t="s">
        <v>431</v>
      </c>
      <c r="K53" s="18" t="n">
        <v>2.30739543</v>
      </c>
      <c r="L53" s="20" t="n">
        <v>0.8866794099999999</v>
      </c>
      <c r="M53" s="18" t="n">
        <v>0</v>
      </c>
      <c r="N53" s="20" t="n">
        <v>0</v>
      </c>
      <c r="O53" s="18" t="n">
        <v>0</v>
      </c>
      <c r="P53" s="20" t="n">
        <v>0</v>
      </c>
      <c r="Q53" s="18" t="n">
        <v>0</v>
      </c>
      <c r="R53" s="20" t="n">
        <v>0</v>
      </c>
    </row>
    <row r="54" spans="1:18">
      <c r="A54" s="15" t="s">
        <v>478</v>
      </c>
      <c r="B54" s="17" t="n">
        <v>2266</v>
      </c>
      <c r="C54" s="18">
        <f>(1905.0/B54*100)</f>
        <v/>
      </c>
      <c r="D54" s="19" t="n">
        <v>361</v>
      </c>
      <c r="E54" s="18" t="n">
        <v>74.48220422999999</v>
      </c>
      <c r="F54" s="20" t="n">
        <v>2.4948043</v>
      </c>
      <c r="G54" s="18" t="n">
        <v>5.07867415</v>
      </c>
      <c r="H54" s="20" t="n">
        <v>1.27107891</v>
      </c>
      <c r="I54" s="18" t="s">
        <v>431</v>
      </c>
      <c r="J54" s="20" t="s">
        <v>431</v>
      </c>
      <c r="K54" s="18" t="n">
        <v>20.43912161</v>
      </c>
      <c r="L54" s="20" t="n">
        <v>2.18990361</v>
      </c>
      <c r="M54" s="18" t="n">
        <v>0</v>
      </c>
      <c r="N54" s="20" t="n">
        <v>0</v>
      </c>
      <c r="O54" s="18" t="n">
        <v>0</v>
      </c>
      <c r="P54" s="20" t="n">
        <v>0</v>
      </c>
      <c r="Q54" s="18" t="n">
        <v>0</v>
      </c>
      <c r="R54" s="20" t="n">
        <v>0</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(2347.0/B56*100)</f>
        <v/>
      </c>
      <c r="D56" s="19" t="n">
        <v>337</v>
      </c>
      <c r="E56" s="18" t="n">
        <v>57.69989915</v>
      </c>
      <c r="F56" s="20" t="n">
        <v>2.90541272</v>
      </c>
      <c r="G56" s="18" t="n">
        <v>40.61507569</v>
      </c>
      <c r="H56" s="20" t="n">
        <v>2.96615286</v>
      </c>
      <c r="I56" s="18" t="s">
        <v>431</v>
      </c>
      <c r="J56" s="20" t="s">
        <v>431</v>
      </c>
      <c r="K56" s="18" t="n">
        <v>1.68502516</v>
      </c>
      <c r="L56" s="20" t="n">
        <v>0.77300333</v>
      </c>
      <c r="M56" s="18" t="n">
        <v>0</v>
      </c>
      <c r="N56" s="20" t="n">
        <v>0</v>
      </c>
      <c r="O56" s="18" t="n">
        <v>0</v>
      </c>
      <c r="P56" s="20" t="n">
        <v>0</v>
      </c>
      <c r="Q56" s="18" t="n">
        <v>0</v>
      </c>
      <c r="R56" s="20" t="n">
        <v>0</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(2946.0/B61*100)</f>
        <v/>
      </c>
      <c r="D61" s="19" t="n">
        <v>378</v>
      </c>
      <c r="E61" s="18" t="n">
        <v>84.17085416</v>
      </c>
      <c r="F61" s="20" t="n">
        <v>2.01949669</v>
      </c>
      <c r="G61" s="18" t="n">
        <v>15.09781655</v>
      </c>
      <c r="H61" s="20" t="n">
        <v>1.99035139</v>
      </c>
      <c r="I61" s="18" t="s">
        <v>431</v>
      </c>
      <c r="J61" s="20" t="s">
        <v>431</v>
      </c>
      <c r="K61" s="18" t="n">
        <v>0.73132928</v>
      </c>
      <c r="L61" s="20" t="n">
        <v>0.47698238</v>
      </c>
      <c r="M61" s="18" t="n">
        <v>0</v>
      </c>
      <c r="N61" s="20" t="n">
        <v>0</v>
      </c>
      <c r="O61" s="18" t="n">
        <v>0</v>
      </c>
      <c r="P61" s="20" t="n">
        <v>0</v>
      </c>
      <c r="Q61" s="18" t="n">
        <v>0</v>
      </c>
      <c r="R61" s="20" t="n">
        <v>0</v>
      </c>
    </row>
    <row r="62" spans="1:18">
      <c r="A62" s="15" t="s">
        <v>486</v>
      </c>
      <c r="B62" s="17" t="n">
        <v>2246</v>
      </c>
      <c r="C62" s="18">
        <f>(1967.0/B62*100)</f>
        <v/>
      </c>
      <c r="D62" s="19" t="n">
        <v>279</v>
      </c>
      <c r="E62" s="18" t="n">
        <v>64.78895539</v>
      </c>
      <c r="F62" s="20" t="n">
        <v>2.96379161</v>
      </c>
      <c r="G62" s="18" t="n">
        <v>34.84265543</v>
      </c>
      <c r="H62" s="20" t="n">
        <v>3.06390523</v>
      </c>
      <c r="I62" s="18" t="s">
        <v>431</v>
      </c>
      <c r="J62" s="20" t="s">
        <v>431</v>
      </c>
      <c r="K62" s="18" t="n">
        <v>0.36838918</v>
      </c>
      <c r="L62" s="20" t="n">
        <v>0.36597271</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(2555.0/B66*100)</f>
        <v/>
      </c>
      <c r="D66" s="19" t="n">
        <v>339</v>
      </c>
      <c r="E66" s="18" t="n">
        <v>77.25956988999999</v>
      </c>
      <c r="F66" s="20" t="n">
        <v>2.20371363</v>
      </c>
      <c r="G66" s="18" t="n">
        <v>17.99797949</v>
      </c>
      <c r="H66" s="20" t="n">
        <v>1.97639923</v>
      </c>
      <c r="I66" s="18" t="s">
        <v>431</v>
      </c>
      <c r="J66" s="20" t="s">
        <v>431</v>
      </c>
      <c r="K66" s="18" t="n">
        <v>4.74245062</v>
      </c>
      <c r="L66" s="20" t="n">
        <v>1.32977644</v>
      </c>
      <c r="M66" s="18" t="n">
        <v>0</v>
      </c>
      <c r="N66" s="20" t="n">
        <v>0</v>
      </c>
      <c r="O66" s="18" t="n">
        <v>0</v>
      </c>
      <c r="P66" s="20" t="n">
        <v>0</v>
      </c>
      <c r="Q66" s="18" t="n">
        <v>0</v>
      </c>
      <c r="R66" s="20" t="n">
        <v>0</v>
      </c>
    </row>
    <row r="67" spans="1:18">
      <c r="A67" s="15" t="s">
        <v>491</v>
      </c>
      <c r="B67" s="17" t="n">
        <v>3511</v>
      </c>
      <c r="C67" s="18">
        <f>(3164.0/B67*100)</f>
        <v/>
      </c>
      <c r="D67" s="19" t="n">
        <v>347</v>
      </c>
      <c r="E67" s="18" t="n">
        <v>90.07186514</v>
      </c>
      <c r="F67" s="20" t="n">
        <v>1.74860781</v>
      </c>
      <c r="G67" s="18" t="n">
        <v>8.93116446</v>
      </c>
      <c r="H67" s="20" t="n">
        <v>1.71024998</v>
      </c>
      <c r="I67" s="18" t="s">
        <v>431</v>
      </c>
      <c r="J67" s="20" t="s">
        <v>431</v>
      </c>
      <c r="K67" s="18" t="n">
        <v>0.99697041</v>
      </c>
      <c r="L67" s="20" t="n">
        <v>0.49941513</v>
      </c>
      <c r="M67" s="18" t="n">
        <v>0</v>
      </c>
      <c r="N67" s="20" t="n">
        <v>0</v>
      </c>
      <c r="O67" s="18" t="n">
        <v>0</v>
      </c>
      <c r="P67" s="20" t="n">
        <v>0</v>
      </c>
      <c r="Q67" s="18" t="n">
        <v>0</v>
      </c>
      <c r="R67" s="20" t="n">
        <v>0</v>
      </c>
    </row>
    <row r="68" spans="1:18">
      <c r="A68" s="15" t="s">
        <v>492</v>
      </c>
      <c r="B68" s="17" t="n">
        <v>6049</v>
      </c>
      <c r="C68" s="18">
        <f>(5038.0/B68*100)</f>
        <v/>
      </c>
      <c r="D68" s="19" t="n">
        <v>1011</v>
      </c>
      <c r="E68" s="18" t="n">
        <v>83.95516828</v>
      </c>
      <c r="F68" s="20" t="n">
        <v>1.17343796</v>
      </c>
      <c r="G68" s="18" t="n">
        <v>7.83424642</v>
      </c>
      <c r="H68" s="20" t="n">
        <v>0.8991929400000001</v>
      </c>
      <c r="I68" s="18" t="s">
        <v>431</v>
      </c>
      <c r="J68" s="20" t="s">
        <v>431</v>
      </c>
      <c r="K68" s="18" t="n">
        <v>8.210585310000001</v>
      </c>
      <c r="L68" s="20" t="n">
        <v>0.8171094</v>
      </c>
      <c r="M68" s="18" t="n">
        <v>0</v>
      </c>
      <c r="N68" s="20" t="n">
        <v>0</v>
      </c>
      <c r="O68" s="18" t="n">
        <v>0</v>
      </c>
      <c r="P68" s="20" t="n">
        <v>0</v>
      </c>
      <c r="Q68" s="18" t="n">
        <v>0</v>
      </c>
      <c r="R68" s="20" t="n">
        <v>0</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(2593.0/B70*100)</f>
        <v/>
      </c>
      <c r="D70" s="19" t="n">
        <v>336</v>
      </c>
      <c r="E70" s="18" t="n">
        <v>75.79260434</v>
      </c>
      <c r="F70" s="20" t="n">
        <v>2.1228731</v>
      </c>
      <c r="G70" s="18" t="n">
        <v>24.18296034</v>
      </c>
      <c r="H70" s="20" t="n">
        <v>2.12146859</v>
      </c>
      <c r="I70" s="18" t="s">
        <v>431</v>
      </c>
      <c r="J70" s="20" t="s">
        <v>431</v>
      </c>
      <c r="K70" s="18" t="n">
        <v>0.02443533</v>
      </c>
      <c r="L70" s="20" t="n">
        <v>0.02463926</v>
      </c>
      <c r="M70" s="18" t="n">
        <v>0</v>
      </c>
      <c r="N70" s="20" t="n">
        <v>0</v>
      </c>
      <c r="O70" s="18" t="n">
        <v>0</v>
      </c>
      <c r="P70" s="20" t="n">
        <v>0</v>
      </c>
      <c r="Q70" s="18" t="n">
        <v>0</v>
      </c>
      <c r="R70" s="20" t="n">
        <v>0</v>
      </c>
    </row>
    <row r="71" spans="1:18">
      <c r="A71" s="15" t="s">
        <v>495</v>
      </c>
      <c r="B71" s="17" t="n">
        <v>3142</v>
      </c>
      <c r="C71" s="18">
        <f>(2755.0/B71*100)</f>
        <v/>
      </c>
      <c r="D71" s="19" t="n">
        <v>387</v>
      </c>
      <c r="E71" s="18" t="n">
        <v>63.16801533</v>
      </c>
      <c r="F71" s="20" t="n">
        <v>2.59579006</v>
      </c>
      <c r="G71" s="18" t="n">
        <v>36.05154712</v>
      </c>
      <c r="H71" s="20" t="n">
        <v>2.54474347</v>
      </c>
      <c r="I71" s="18" t="s">
        <v>431</v>
      </c>
      <c r="J71" s="20" t="s">
        <v>431</v>
      </c>
      <c r="K71" s="18" t="n">
        <v>0.78043755</v>
      </c>
      <c r="L71" s="20" t="n">
        <v>0.46295356</v>
      </c>
      <c r="M71" s="18" t="n">
        <v>0</v>
      </c>
      <c r="N71" s="20" t="n">
        <v>0</v>
      </c>
      <c r="O71" s="18" t="n">
        <v>0</v>
      </c>
      <c r="P71" s="20" t="n">
        <v>0</v>
      </c>
      <c r="Q71" s="18" t="n">
        <v>0</v>
      </c>
      <c r="R71" s="20" t="n">
        <v>0</v>
      </c>
    </row>
    <row r="72" spans="1:18">
      <c r="A72" s="15" t="s">
        <v>496</v>
      </c>
      <c r="B72" s="17" t="n">
        <v>3889</v>
      </c>
      <c r="C72" s="18">
        <f>(3408.0/B72*100)</f>
        <v/>
      </c>
      <c r="D72" s="19" t="n">
        <v>481</v>
      </c>
      <c r="E72" s="18" t="n">
        <v>63.2920605</v>
      </c>
      <c r="F72" s="20" t="n">
        <v>2.78144237</v>
      </c>
      <c r="G72" s="18" t="n">
        <v>36.7079395</v>
      </c>
      <c r="H72" s="20" t="n">
        <v>2.78144237</v>
      </c>
      <c r="I72" s="18" t="s">
        <v>431</v>
      </c>
      <c r="J72" s="20" t="s">
        <v>431</v>
      </c>
      <c r="K72" s="18" t="n">
        <v>0</v>
      </c>
      <c r="L72" s="20" t="n">
        <v>0</v>
      </c>
      <c r="M72" s="18" t="n">
        <v>0</v>
      </c>
      <c r="N72" s="20" t="n">
        <v>0</v>
      </c>
      <c r="O72" s="18" t="n">
        <v>0</v>
      </c>
      <c r="P72" s="20" t="n">
        <v>0</v>
      </c>
      <c r="Q72" s="18" t="n">
        <v>0</v>
      </c>
      <c r="R72" s="20" t="n">
        <v>0</v>
      </c>
    </row>
    <row r="73" spans="1:18">
      <c r="A73" s="15" t="s">
        <v>497</v>
      </c>
      <c r="B73" s="17" t="n">
        <v>3597</v>
      </c>
      <c r="C73" s="18">
        <f>(3188.0/B73*100)</f>
        <v/>
      </c>
      <c r="D73" s="19" t="n">
        <v>409</v>
      </c>
      <c r="E73" s="18" t="n">
        <v>85.9003458</v>
      </c>
      <c r="F73" s="20" t="n">
        <v>1.9416085</v>
      </c>
      <c r="G73" s="18" t="n">
        <v>12.32787362</v>
      </c>
      <c r="H73" s="20" t="n">
        <v>1.8672639</v>
      </c>
      <c r="I73" s="18" t="s">
        <v>431</v>
      </c>
      <c r="J73" s="20" t="s">
        <v>431</v>
      </c>
      <c r="K73" s="18" t="n">
        <v>1.77178058</v>
      </c>
      <c r="L73" s="20" t="n">
        <v>0.82322207</v>
      </c>
      <c r="M73" s="18" t="n">
        <v>0</v>
      </c>
      <c r="N73" s="20" t="n">
        <v>0</v>
      </c>
      <c r="O73" s="18" t="n">
        <v>0</v>
      </c>
      <c r="P73" s="20" t="n">
        <v>0</v>
      </c>
      <c r="Q73" s="18" t="n">
        <v>0</v>
      </c>
      <c r="R73" s="20" t="n">
        <v>0</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(2142.0/B75*100)</f>
        <v/>
      </c>
      <c r="D75" s="19" t="n">
        <v>264</v>
      </c>
      <c r="E75" s="18" t="n">
        <v>91.97387919000001</v>
      </c>
      <c r="F75" s="20" t="n">
        <v>1.85134275</v>
      </c>
      <c r="G75" s="18" t="n">
        <v>1.68332196</v>
      </c>
      <c r="H75" s="20" t="n">
        <v>0.76417898</v>
      </c>
      <c r="I75" s="18" t="s">
        <v>431</v>
      </c>
      <c r="J75" s="20" t="s">
        <v>431</v>
      </c>
      <c r="K75" s="18" t="n">
        <v>6.34279885</v>
      </c>
      <c r="L75" s="20" t="n">
        <v>1.55500013</v>
      </c>
      <c r="M75" s="18" t="n">
        <v>0</v>
      </c>
      <c r="N75" s="20" t="n">
        <v>0</v>
      </c>
      <c r="O75" s="18" t="n">
        <v>0</v>
      </c>
      <c r="P75" s="20" t="n">
        <v>0</v>
      </c>
      <c r="Q75" s="18" t="n">
        <v>0</v>
      </c>
      <c r="R75" s="20" t="n">
        <v>0</v>
      </c>
    </row>
    <row r="76" spans="1:18">
      <c r="A76" s="15" t="s">
        <v>500</v>
      </c>
      <c r="B76" s="17" t="n">
        <v>7052</v>
      </c>
      <c r="C76" s="18">
        <f>(6200.0/B76*100)</f>
        <v/>
      </c>
      <c r="D76" s="19" t="n">
        <v>852</v>
      </c>
      <c r="E76" s="18" t="n">
        <v>87.12048025999999</v>
      </c>
      <c r="F76" s="20" t="n">
        <v>1.23508888</v>
      </c>
      <c r="G76" s="18" t="n">
        <v>10.0121245</v>
      </c>
      <c r="H76" s="20" t="n">
        <v>1.13361002</v>
      </c>
      <c r="I76" s="18" t="s">
        <v>431</v>
      </c>
      <c r="J76" s="20" t="s">
        <v>431</v>
      </c>
      <c r="K76" s="18" t="n">
        <v>2.86739524</v>
      </c>
      <c r="L76" s="20" t="n">
        <v>0.6595040599999999</v>
      </c>
      <c r="M76" s="18" t="n">
        <v>0</v>
      </c>
      <c r="N76" s="20" t="n">
        <v>0</v>
      </c>
      <c r="O76" s="18" t="n">
        <v>0</v>
      </c>
      <c r="P76" s="20" t="n">
        <v>0</v>
      </c>
      <c r="Q76" s="18" t="n">
        <v>0</v>
      </c>
      <c r="R76" s="20" t="n">
        <v>0</v>
      </c>
    </row>
    <row r="77" spans="1:18">
      <c r="A77" s="15" t="s">
        <v>501</v>
      </c>
      <c r="B77" s="17" t="n">
        <v>2908</v>
      </c>
      <c r="C77" s="18">
        <f>(2562.0/B77*100)</f>
        <v/>
      </c>
      <c r="D77" s="19" t="n">
        <v>346</v>
      </c>
      <c r="E77" s="18" t="n">
        <v>88.99548944</v>
      </c>
      <c r="F77" s="20" t="n">
        <v>1.7156732</v>
      </c>
      <c r="G77" s="18" t="n">
        <v>5.54978697</v>
      </c>
      <c r="H77" s="20" t="n">
        <v>1.28102207</v>
      </c>
      <c r="I77" s="18" t="s">
        <v>431</v>
      </c>
      <c r="J77" s="20" t="s">
        <v>431</v>
      </c>
      <c r="K77" s="18" t="n">
        <v>5.45472358</v>
      </c>
      <c r="L77" s="20" t="n">
        <v>1.14869785</v>
      </c>
      <c r="M77" s="18" t="n">
        <v>0</v>
      </c>
      <c r="N77" s="20" t="n">
        <v>0</v>
      </c>
      <c r="O77" s="18" t="n">
        <v>0</v>
      </c>
      <c r="P77" s="20" t="n">
        <v>0</v>
      </c>
      <c r="Q77" s="18" t="n">
        <v>0</v>
      </c>
      <c r="R77" s="20" t="n">
        <v>0</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(3653.0/B81*100)</f>
        <v/>
      </c>
      <c r="D81" s="19" t="n">
        <v>510</v>
      </c>
      <c r="E81" s="18" t="n">
        <v>94.73848721</v>
      </c>
      <c r="F81" s="20" t="n">
        <v>1.20293285</v>
      </c>
      <c r="G81" s="18" t="n">
        <v>4.60280734</v>
      </c>
      <c r="H81" s="20" t="n">
        <v>1.1141149</v>
      </c>
      <c r="I81" s="18" t="s">
        <v>431</v>
      </c>
      <c r="J81" s="20" t="s">
        <v>431</v>
      </c>
      <c r="K81" s="18" t="n">
        <v>0.65870545</v>
      </c>
      <c r="L81" s="20" t="n">
        <v>0.44001258</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(6435.0/B7*100)</f>
        <v/>
      </c>
      <c r="D7" s="19" t="n">
        <v>932</v>
      </c>
      <c r="E7" s="18" t="n">
        <v>43.28289954</v>
      </c>
      <c r="F7" s="20" t="n">
        <v>1.9582641</v>
      </c>
      <c r="G7" s="18" t="n">
        <v>54.47048978</v>
      </c>
      <c r="H7" s="20" t="n">
        <v>2.00410689</v>
      </c>
      <c r="I7" s="18" t="s">
        <v>431</v>
      </c>
      <c r="J7" s="20" t="s">
        <v>431</v>
      </c>
      <c r="K7" s="18" t="n">
        <v>0.07781275</v>
      </c>
      <c r="L7" s="20" t="n">
        <v>0.04885486</v>
      </c>
      <c r="M7" s="18" t="n">
        <v>0</v>
      </c>
      <c r="N7" s="20" t="n">
        <v>0</v>
      </c>
      <c r="O7" s="18" t="n">
        <v>0</v>
      </c>
      <c r="P7" s="20" t="n">
        <v>0</v>
      </c>
      <c r="Q7" s="18" t="n">
        <v>2.16879793</v>
      </c>
      <c r="R7" s="20" t="n">
        <v>0.56790463</v>
      </c>
    </row>
    <row r="8" spans="1:18">
      <c r="A8" s="15" t="s">
        <v>432</v>
      </c>
      <c r="B8" s="17" t="n">
        <v>3564</v>
      </c>
      <c r="C8" s="18">
        <f>(3144.0/B8*100)</f>
        <v/>
      </c>
      <c r="D8" s="19" t="n">
        <v>420</v>
      </c>
      <c r="E8" s="18" t="n">
        <v>36.96079231</v>
      </c>
      <c r="F8" s="20" t="n">
        <v>2.33417971</v>
      </c>
      <c r="G8" s="18" t="n">
        <v>61.6053749</v>
      </c>
      <c r="H8" s="20" t="n">
        <v>2.3782251</v>
      </c>
      <c r="I8" s="18" t="s">
        <v>431</v>
      </c>
      <c r="J8" s="20" t="s">
        <v>431</v>
      </c>
      <c r="K8" s="18" t="n">
        <v>0</v>
      </c>
      <c r="L8" s="20" t="n">
        <v>0</v>
      </c>
      <c r="M8" s="18" t="n">
        <v>0</v>
      </c>
      <c r="N8" s="20" t="n">
        <v>0</v>
      </c>
      <c r="O8" s="18" t="n">
        <v>0</v>
      </c>
      <c r="P8" s="20" t="n">
        <v>0</v>
      </c>
      <c r="Q8" s="18" t="n">
        <v>1.43383279</v>
      </c>
      <c r="R8" s="20" t="n">
        <v>0.61895266</v>
      </c>
    </row>
    <row r="9" spans="1:18">
      <c r="A9" s="15" t="s">
        <v>433</v>
      </c>
      <c r="B9" s="17" t="n">
        <v>4899</v>
      </c>
      <c r="C9" s="18">
        <f>(4293.0/B9*100)</f>
        <v/>
      </c>
      <c r="D9" s="19" t="n">
        <v>606</v>
      </c>
      <c r="E9" s="18" t="n">
        <v>37.66174237</v>
      </c>
      <c r="F9" s="20" t="n">
        <v>2.020519</v>
      </c>
      <c r="G9" s="18" t="n">
        <v>60.48194172</v>
      </c>
      <c r="H9" s="20" t="n">
        <v>1.90546032</v>
      </c>
      <c r="I9" s="18" t="s">
        <v>431</v>
      </c>
      <c r="J9" s="20" t="s">
        <v>431</v>
      </c>
      <c r="K9" s="18" t="n">
        <v>0</v>
      </c>
      <c r="L9" s="20" t="n">
        <v>0</v>
      </c>
      <c r="M9" s="18" t="n">
        <v>0</v>
      </c>
      <c r="N9" s="20" t="n">
        <v>0</v>
      </c>
      <c r="O9" s="18" t="n">
        <v>0</v>
      </c>
      <c r="P9" s="20" t="n">
        <v>0</v>
      </c>
      <c r="Q9" s="18" t="n">
        <v>1.85631591</v>
      </c>
      <c r="R9" s="20" t="n">
        <v>0.6710364599999999</v>
      </c>
    </row>
    <row r="10" spans="1:18">
      <c r="A10" s="15" t="s">
        <v>434</v>
      </c>
      <c r="B10" s="17" t="n">
        <v>10036</v>
      </c>
      <c r="C10" s="18">
        <f>(8825.0/B10*100)</f>
        <v/>
      </c>
      <c r="D10" s="19" t="n">
        <v>1211</v>
      </c>
      <c r="E10" s="18" t="n">
        <v>42.69869183</v>
      </c>
      <c r="F10" s="20" t="n">
        <v>2.07972354</v>
      </c>
      <c r="G10" s="18" t="n">
        <v>55.49667002</v>
      </c>
      <c r="H10" s="20" t="n">
        <v>2.04319619</v>
      </c>
      <c r="I10" s="18" t="s">
        <v>431</v>
      </c>
      <c r="J10" s="20" t="s">
        <v>431</v>
      </c>
      <c r="K10" s="18" t="n">
        <v>0.3148059</v>
      </c>
      <c r="L10" s="20" t="n">
        <v>0.27804456</v>
      </c>
      <c r="M10" s="18" t="n">
        <v>0</v>
      </c>
      <c r="N10" s="20" t="n">
        <v>0</v>
      </c>
      <c r="O10" s="18" t="n">
        <v>0</v>
      </c>
      <c r="P10" s="20" t="n">
        <v>0</v>
      </c>
      <c r="Q10" s="18" t="n">
        <v>1.48983225</v>
      </c>
      <c r="R10" s="20" t="n">
        <v>0.5304019</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(3039.0/B12*100)</f>
        <v/>
      </c>
      <c r="D12" s="19" t="n">
        <v>433</v>
      </c>
      <c r="E12" s="18" t="n">
        <v>44.32457984</v>
      </c>
      <c r="F12" s="20" t="n">
        <v>2.75091193</v>
      </c>
      <c r="G12" s="18" t="n">
        <v>54.44172085</v>
      </c>
      <c r="H12" s="20" t="n">
        <v>2.7141133</v>
      </c>
      <c r="I12" s="18" t="s">
        <v>431</v>
      </c>
      <c r="J12" s="20" t="s">
        <v>431</v>
      </c>
      <c r="K12" s="18" t="n">
        <v>0</v>
      </c>
      <c r="L12" s="20" t="n">
        <v>0</v>
      </c>
      <c r="M12" s="18" t="n">
        <v>0</v>
      </c>
      <c r="N12" s="20" t="n">
        <v>0</v>
      </c>
      <c r="O12" s="18" t="n">
        <v>0</v>
      </c>
      <c r="P12" s="20" t="n">
        <v>0</v>
      </c>
      <c r="Q12" s="18" t="n">
        <v>1.23369932</v>
      </c>
      <c r="R12" s="20" t="n">
        <v>0.43301163</v>
      </c>
    </row>
    <row r="13" spans="1:18">
      <c r="A13" s="15" t="s">
        <v>437</v>
      </c>
      <c r="B13" s="17" t="n">
        <v>3559</v>
      </c>
      <c r="C13" s="18">
        <f>(3139.0/B13*100)</f>
        <v/>
      </c>
      <c r="D13" s="19" t="n">
        <v>420</v>
      </c>
      <c r="E13" s="18" t="n">
        <v>39.92720387</v>
      </c>
      <c r="F13" s="20" t="n">
        <v>2.4698297</v>
      </c>
      <c r="G13" s="18" t="n">
        <v>58.48608657</v>
      </c>
      <c r="H13" s="20" t="n">
        <v>2.4283511</v>
      </c>
      <c r="I13" s="18" t="s">
        <v>431</v>
      </c>
      <c r="J13" s="20" t="s">
        <v>431</v>
      </c>
      <c r="K13" s="18" t="n">
        <v>0.14323886</v>
      </c>
      <c r="L13" s="20" t="n">
        <v>0.14704399</v>
      </c>
      <c r="M13" s="18" t="n">
        <v>0</v>
      </c>
      <c r="N13" s="20" t="n">
        <v>0</v>
      </c>
      <c r="O13" s="18" t="n">
        <v>0</v>
      </c>
      <c r="P13" s="20" t="n">
        <v>0</v>
      </c>
      <c r="Q13" s="18" t="n">
        <v>1.4434707</v>
      </c>
      <c r="R13" s="20" t="n">
        <v>1.50188346</v>
      </c>
    </row>
    <row r="14" spans="1:18">
      <c r="A14" s="15" t="s">
        <v>438</v>
      </c>
      <c r="B14" s="17" t="n">
        <v>2799</v>
      </c>
      <c r="C14" s="18">
        <f>(2450.0/B14*100)</f>
        <v/>
      </c>
      <c r="D14" s="19" t="n">
        <v>349</v>
      </c>
      <c r="E14" s="18" t="n">
        <v>34.84572742</v>
      </c>
      <c r="F14" s="20" t="n">
        <v>2.90945917</v>
      </c>
      <c r="G14" s="18" t="n">
        <v>63.65627278</v>
      </c>
      <c r="H14" s="20" t="n">
        <v>3.002448</v>
      </c>
      <c r="I14" s="18" t="s">
        <v>431</v>
      </c>
      <c r="J14" s="20" t="s">
        <v>431</v>
      </c>
      <c r="K14" s="18" t="n">
        <v>0</v>
      </c>
      <c r="L14" s="20" t="n">
        <v>0</v>
      </c>
      <c r="M14" s="18" t="n">
        <v>0</v>
      </c>
      <c r="N14" s="20" t="n">
        <v>0</v>
      </c>
      <c r="O14" s="18" t="n">
        <v>0</v>
      </c>
      <c r="P14" s="20" t="n">
        <v>0</v>
      </c>
      <c r="Q14" s="18" t="n">
        <v>1.4979998</v>
      </c>
      <c r="R14" s="20" t="n">
        <v>0.9396338400000001</v>
      </c>
    </row>
    <row r="15" spans="1:18">
      <c r="A15" s="15" t="s">
        <v>439</v>
      </c>
      <c r="B15" s="17" t="n">
        <v>3019</v>
      </c>
      <c r="C15" s="18">
        <f>(2640.0/B15*100)</f>
        <v/>
      </c>
      <c r="D15" s="19" t="n">
        <v>379</v>
      </c>
      <c r="E15" s="18" t="n">
        <v>43.18033961</v>
      </c>
      <c r="F15" s="20" t="n">
        <v>3.00252793</v>
      </c>
      <c r="G15" s="18" t="n">
        <v>55.2741484</v>
      </c>
      <c r="H15" s="20" t="n">
        <v>3.06016191</v>
      </c>
      <c r="I15" s="18" t="s">
        <v>431</v>
      </c>
      <c r="J15" s="20" t="s">
        <v>431</v>
      </c>
      <c r="K15" s="18" t="n">
        <v>0.7549755</v>
      </c>
      <c r="L15" s="20" t="n">
        <v>0.44086105</v>
      </c>
      <c r="M15" s="18" t="n">
        <v>0</v>
      </c>
      <c r="N15" s="20" t="n">
        <v>0</v>
      </c>
      <c r="O15" s="18" t="n">
        <v>0</v>
      </c>
      <c r="P15" s="20" t="n">
        <v>0</v>
      </c>
      <c r="Q15" s="18" t="n">
        <v>0.7905365</v>
      </c>
      <c r="R15" s="20" t="n">
        <v>0.48688966</v>
      </c>
    </row>
    <row r="16" spans="1:18">
      <c r="A16" s="15" t="s">
        <v>440</v>
      </c>
      <c r="B16" s="17" t="n">
        <v>2997</v>
      </c>
      <c r="C16" s="18">
        <f>(2613.0/B16*100)</f>
        <v/>
      </c>
      <c r="D16" s="19" t="n">
        <v>384</v>
      </c>
      <c r="E16" s="18" t="n">
        <v>40.52267205</v>
      </c>
      <c r="F16" s="20" t="n">
        <v>2.51379441</v>
      </c>
      <c r="G16" s="18" t="n">
        <v>55.82146045</v>
      </c>
      <c r="H16" s="20" t="n">
        <v>2.60092751</v>
      </c>
      <c r="I16" s="18" t="s">
        <v>431</v>
      </c>
      <c r="J16" s="20" t="s">
        <v>431</v>
      </c>
      <c r="K16" s="18" t="n">
        <v>0.89934682</v>
      </c>
      <c r="L16" s="20" t="n">
        <v>0.5178935</v>
      </c>
      <c r="M16" s="18" t="n">
        <v>0</v>
      </c>
      <c r="N16" s="20" t="n">
        <v>0</v>
      </c>
      <c r="O16" s="18" t="n">
        <v>0</v>
      </c>
      <c r="P16" s="20" t="n">
        <v>0</v>
      </c>
      <c r="Q16" s="18" t="n">
        <v>2.75652069</v>
      </c>
      <c r="R16" s="20" t="n">
        <v>0.72117345</v>
      </c>
    </row>
    <row r="17" spans="1:18">
      <c r="A17" s="15" t="s">
        <v>441</v>
      </c>
      <c r="B17" s="17" t="n">
        <v>3307</v>
      </c>
      <c r="C17" s="18">
        <f>(2907.0/B17*100)</f>
        <v/>
      </c>
      <c r="D17" s="19" t="n">
        <v>400</v>
      </c>
      <c r="E17" s="18" t="n">
        <v>36.56254893</v>
      </c>
      <c r="F17" s="20" t="n">
        <v>2.48411917</v>
      </c>
      <c r="G17" s="18" t="n">
        <v>61.01522149</v>
      </c>
      <c r="H17" s="20" t="n">
        <v>2.47461051</v>
      </c>
      <c r="I17" s="18" t="s">
        <v>431</v>
      </c>
      <c r="J17" s="20" t="s">
        <v>431</v>
      </c>
      <c r="K17" s="18" t="n">
        <v>0.31737101</v>
      </c>
      <c r="L17" s="20" t="n">
        <v>0.30738941</v>
      </c>
      <c r="M17" s="18" t="n">
        <v>0</v>
      </c>
      <c r="N17" s="20" t="n">
        <v>0</v>
      </c>
      <c r="O17" s="18" t="n">
        <v>0</v>
      </c>
      <c r="P17" s="20" t="n">
        <v>0</v>
      </c>
      <c r="Q17" s="18" t="n">
        <v>2.10485858</v>
      </c>
      <c r="R17" s="20" t="n">
        <v>0.89704997</v>
      </c>
    </row>
    <row r="18" spans="1:18">
      <c r="A18" s="15" t="s">
        <v>442</v>
      </c>
      <c r="B18" s="17" t="n">
        <v>2826</v>
      </c>
      <c r="C18" s="18">
        <f>(2473.0/B18*100)</f>
        <v/>
      </c>
      <c r="D18" s="19" t="n">
        <v>353</v>
      </c>
      <c r="E18" s="18" t="n">
        <v>39.50730167</v>
      </c>
      <c r="F18" s="20" t="n">
        <v>3.00755488</v>
      </c>
      <c r="G18" s="18" t="n">
        <v>55.86730813</v>
      </c>
      <c r="H18" s="20" t="n">
        <v>3.17373613</v>
      </c>
      <c r="I18" s="18" t="s">
        <v>431</v>
      </c>
      <c r="J18" s="20" t="s">
        <v>431</v>
      </c>
      <c r="K18" s="18" t="n">
        <v>0</v>
      </c>
      <c r="L18" s="20" t="n">
        <v>0</v>
      </c>
      <c r="M18" s="18" t="n">
        <v>0</v>
      </c>
      <c r="N18" s="20" t="n">
        <v>0</v>
      </c>
      <c r="O18" s="18" t="n">
        <v>0</v>
      </c>
      <c r="P18" s="20" t="n">
        <v>0</v>
      </c>
      <c r="Q18" s="18" t="n">
        <v>4.6253902</v>
      </c>
      <c r="R18" s="20" t="n">
        <v>1.53363339</v>
      </c>
    </row>
    <row r="19" spans="1:18">
      <c r="A19" s="15" t="s">
        <v>443</v>
      </c>
      <c r="B19" s="17" t="n">
        <v>2808</v>
      </c>
      <c r="C19" s="18">
        <f>(2459.0/B19*100)</f>
        <v/>
      </c>
      <c r="D19" s="19" t="n">
        <v>349</v>
      </c>
      <c r="E19" s="18" t="n">
        <v>57.57760564</v>
      </c>
      <c r="F19" s="20" t="n">
        <v>2.5582987</v>
      </c>
      <c r="G19" s="18" t="n">
        <v>41.59476781</v>
      </c>
      <c r="H19" s="20" t="n">
        <v>2.66449466</v>
      </c>
      <c r="I19" s="18" t="s">
        <v>431</v>
      </c>
      <c r="J19" s="20" t="s">
        <v>431</v>
      </c>
      <c r="K19" s="18" t="n">
        <v>0</v>
      </c>
      <c r="L19" s="20" t="n">
        <v>0</v>
      </c>
      <c r="M19" s="18" t="n">
        <v>0</v>
      </c>
      <c r="N19" s="20" t="n">
        <v>0</v>
      </c>
      <c r="O19" s="18" t="n">
        <v>0</v>
      </c>
      <c r="P19" s="20" t="n">
        <v>0</v>
      </c>
      <c r="Q19" s="18" t="n">
        <v>0.82762654</v>
      </c>
      <c r="R19" s="20" t="n">
        <v>0.50600956</v>
      </c>
    </row>
    <row r="20" spans="1:18">
      <c r="A20" s="15" t="s">
        <v>444</v>
      </c>
      <c r="B20" s="17" t="n">
        <v>1630</v>
      </c>
      <c r="C20" s="18">
        <f>(1438.0/B20*100)</f>
        <v/>
      </c>
      <c r="D20" s="19" t="n">
        <v>192</v>
      </c>
      <c r="E20" s="18" t="n">
        <v>47.63426615</v>
      </c>
      <c r="F20" s="20" t="n">
        <v>3.36480179</v>
      </c>
      <c r="G20" s="18" t="n">
        <v>51.38720319</v>
      </c>
      <c r="H20" s="20" t="n">
        <v>3.40338529</v>
      </c>
      <c r="I20" s="18" t="s">
        <v>431</v>
      </c>
      <c r="J20" s="20" t="s">
        <v>431</v>
      </c>
      <c r="K20" s="18" t="n">
        <v>0</v>
      </c>
      <c r="L20" s="20" t="n">
        <v>0</v>
      </c>
      <c r="M20" s="18" t="n">
        <v>0</v>
      </c>
      <c r="N20" s="20" t="n">
        <v>0</v>
      </c>
      <c r="O20" s="18" t="n">
        <v>0</v>
      </c>
      <c r="P20" s="20" t="n">
        <v>0</v>
      </c>
      <c r="Q20" s="18" t="n">
        <v>0.97853067</v>
      </c>
      <c r="R20" s="20" t="n">
        <v>0.68687221</v>
      </c>
    </row>
    <row r="21" spans="1:18">
      <c r="A21" s="15" t="s">
        <v>445</v>
      </c>
      <c r="B21" s="17" t="n">
        <v>2908</v>
      </c>
      <c r="C21" s="18">
        <f>(2418.0/B21*100)</f>
        <v/>
      </c>
      <c r="D21" s="19" t="n">
        <v>490</v>
      </c>
      <c r="E21" s="18" t="n">
        <v>39.49328675</v>
      </c>
      <c r="F21" s="20" t="n">
        <v>2.29325912</v>
      </c>
      <c r="G21" s="18" t="n">
        <v>58.50202727</v>
      </c>
      <c r="H21" s="20" t="n">
        <v>2.30352549</v>
      </c>
      <c r="I21" s="18" t="s">
        <v>431</v>
      </c>
      <c r="J21" s="20" t="s">
        <v>431</v>
      </c>
      <c r="K21" s="18" t="n">
        <v>0</v>
      </c>
      <c r="L21" s="20" t="n">
        <v>0</v>
      </c>
      <c r="M21" s="18" t="n">
        <v>0</v>
      </c>
      <c r="N21" s="20" t="n">
        <v>0</v>
      </c>
      <c r="O21" s="18" t="n">
        <v>0</v>
      </c>
      <c r="P21" s="20" t="n">
        <v>0</v>
      </c>
      <c r="Q21" s="18" t="n">
        <v>2.00468598</v>
      </c>
      <c r="R21" s="20" t="n">
        <v>0.61619256</v>
      </c>
    </row>
    <row r="22" spans="1:18">
      <c r="A22" s="15" t="s">
        <v>446</v>
      </c>
      <c r="B22" s="17" t="n">
        <v>2931</v>
      </c>
      <c r="C22" s="18">
        <f>(2576.0/B22*100)</f>
        <v/>
      </c>
      <c r="D22" s="19" t="n">
        <v>355</v>
      </c>
      <c r="E22" s="18" t="n">
        <v>41.39385574</v>
      </c>
      <c r="F22" s="20" t="n">
        <v>3.27023468</v>
      </c>
      <c r="G22" s="18" t="n">
        <v>52.55068475</v>
      </c>
      <c r="H22" s="20" t="n">
        <v>3.19701236</v>
      </c>
      <c r="I22" s="18" t="s">
        <v>431</v>
      </c>
      <c r="J22" s="20" t="s">
        <v>431</v>
      </c>
      <c r="K22" s="18" t="n">
        <v>0.74722773</v>
      </c>
      <c r="L22" s="20" t="n">
        <v>0.38035401</v>
      </c>
      <c r="M22" s="18" t="n">
        <v>0</v>
      </c>
      <c r="N22" s="20" t="n">
        <v>0</v>
      </c>
      <c r="O22" s="18" t="n">
        <v>0</v>
      </c>
      <c r="P22" s="20" t="n">
        <v>0</v>
      </c>
      <c r="Q22" s="18" t="n">
        <v>5.30823179</v>
      </c>
      <c r="R22" s="20" t="n">
        <v>1.52943803</v>
      </c>
    </row>
    <row r="23" spans="1:18">
      <c r="A23" s="15" t="s">
        <v>447</v>
      </c>
      <c r="B23" s="17" t="n">
        <v>5791</v>
      </c>
      <c r="C23" s="18">
        <f>(5105.0/B23*100)</f>
        <v/>
      </c>
      <c r="D23" s="19" t="n">
        <v>686</v>
      </c>
      <c r="E23" s="18" t="n">
        <v>40.51090896</v>
      </c>
      <c r="F23" s="20" t="n">
        <v>2.7207272</v>
      </c>
      <c r="G23" s="18" t="n">
        <v>57.66419173</v>
      </c>
      <c r="H23" s="20" t="n">
        <v>2.78288884</v>
      </c>
      <c r="I23" s="18" t="s">
        <v>431</v>
      </c>
      <c r="J23" s="20" t="s">
        <v>431</v>
      </c>
      <c r="K23" s="18" t="n">
        <v>0.24068463</v>
      </c>
      <c r="L23" s="20" t="n">
        <v>0.23921763</v>
      </c>
      <c r="M23" s="18" t="n">
        <v>0</v>
      </c>
      <c r="N23" s="20" t="n">
        <v>0</v>
      </c>
      <c r="O23" s="18" t="n">
        <v>0</v>
      </c>
      <c r="P23" s="20" t="n">
        <v>0</v>
      </c>
      <c r="Q23" s="18" t="n">
        <v>1.58421467</v>
      </c>
      <c r="R23" s="20" t="n">
        <v>0.65272703</v>
      </c>
    </row>
    <row r="24" spans="1:18">
      <c r="A24" s="15" t="s">
        <v>448</v>
      </c>
      <c r="B24" s="17" t="n">
        <v>3338</v>
      </c>
      <c r="C24" s="18">
        <f>(2923.0/B24*100)</f>
        <v/>
      </c>
      <c r="D24" s="19" t="n">
        <v>415</v>
      </c>
      <c r="E24" s="18" t="n">
        <v>43.96953364</v>
      </c>
      <c r="F24" s="20" t="n">
        <v>2.53512726</v>
      </c>
      <c r="G24" s="18" t="n">
        <v>55.13915092</v>
      </c>
      <c r="H24" s="20" t="n">
        <v>2.59166283</v>
      </c>
      <c r="I24" s="18" t="s">
        <v>431</v>
      </c>
      <c r="J24" s="20" t="s">
        <v>431</v>
      </c>
      <c r="K24" s="18" t="n">
        <v>0</v>
      </c>
      <c r="L24" s="20" t="n">
        <v>0</v>
      </c>
      <c r="M24" s="18" t="n">
        <v>0</v>
      </c>
      <c r="N24" s="20" t="n">
        <v>0</v>
      </c>
      <c r="O24" s="18" t="n">
        <v>0</v>
      </c>
      <c r="P24" s="20" t="n">
        <v>0</v>
      </c>
      <c r="Q24" s="18" t="n">
        <v>0.89131544</v>
      </c>
      <c r="R24" s="20" t="n">
        <v>0.45139192</v>
      </c>
    </row>
    <row r="25" spans="1:18">
      <c r="A25" s="15" t="s">
        <v>449</v>
      </c>
      <c r="B25" s="17" t="n">
        <v>2912</v>
      </c>
      <c r="C25" s="18">
        <f>(2547.0/B25*100)</f>
        <v/>
      </c>
      <c r="D25" s="19" t="n">
        <v>365</v>
      </c>
      <c r="E25" s="18" t="n">
        <v>39.52957548</v>
      </c>
      <c r="F25" s="20" t="n">
        <v>2.50999933</v>
      </c>
      <c r="G25" s="18" t="n">
        <v>59.91903354</v>
      </c>
      <c r="H25" s="20" t="n">
        <v>2.53972567</v>
      </c>
      <c r="I25" s="18" t="s">
        <v>431</v>
      </c>
      <c r="J25" s="20" t="s">
        <v>431</v>
      </c>
      <c r="K25" s="18" t="n">
        <v>0</v>
      </c>
      <c r="L25" s="20" t="n">
        <v>0</v>
      </c>
      <c r="M25" s="18" t="n">
        <v>0</v>
      </c>
      <c r="N25" s="20" t="n">
        <v>0</v>
      </c>
      <c r="O25" s="18" t="n">
        <v>0</v>
      </c>
      <c r="P25" s="20" t="n">
        <v>0</v>
      </c>
      <c r="Q25" s="18" t="n">
        <v>0.55139098</v>
      </c>
      <c r="R25" s="20" t="n">
        <v>0.39037112</v>
      </c>
    </row>
    <row r="26" spans="1:18">
      <c r="A26" s="15" t="s">
        <v>450</v>
      </c>
      <c r="B26" s="17" t="n">
        <v>2450</v>
      </c>
      <c r="C26" s="18">
        <f>(2152.0/B26*100)</f>
        <v/>
      </c>
      <c r="D26" s="19" t="n">
        <v>298</v>
      </c>
      <c r="E26" s="18" t="n">
        <v>48.8978083</v>
      </c>
      <c r="F26" s="20" t="n">
        <v>3.06861264</v>
      </c>
      <c r="G26" s="18" t="n">
        <v>50.86451732</v>
      </c>
      <c r="H26" s="20" t="n">
        <v>3.06067677</v>
      </c>
      <c r="I26" s="18" t="s">
        <v>431</v>
      </c>
      <c r="J26" s="20" t="s">
        <v>431</v>
      </c>
      <c r="K26" s="18" t="n">
        <v>0</v>
      </c>
      <c r="L26" s="20" t="n">
        <v>0</v>
      </c>
      <c r="M26" s="18" t="n">
        <v>0</v>
      </c>
      <c r="N26" s="20" t="n">
        <v>0</v>
      </c>
      <c r="O26" s="18" t="n">
        <v>0</v>
      </c>
      <c r="P26" s="20" t="n">
        <v>0</v>
      </c>
      <c r="Q26" s="18" t="n">
        <v>0.23767438</v>
      </c>
      <c r="R26" s="20" t="n">
        <v>0.23714202</v>
      </c>
    </row>
    <row r="27" spans="1:18">
      <c r="A27" s="15" t="s">
        <v>451</v>
      </c>
      <c r="B27" s="17" t="n">
        <v>2616</v>
      </c>
      <c r="C27" s="18">
        <f>(2287.0/B27*100)</f>
        <v/>
      </c>
      <c r="D27" s="19" t="n">
        <v>329</v>
      </c>
      <c r="E27" s="18" t="n">
        <v>38.28307367</v>
      </c>
      <c r="F27" s="20" t="n">
        <v>2.56862315</v>
      </c>
      <c r="G27" s="18" t="n">
        <v>58.27038992</v>
      </c>
      <c r="H27" s="20" t="n">
        <v>2.64732883</v>
      </c>
      <c r="I27" s="18" t="s">
        <v>431</v>
      </c>
      <c r="J27" s="20" t="s">
        <v>431</v>
      </c>
      <c r="K27" s="18" t="n">
        <v>0.30285656</v>
      </c>
      <c r="L27" s="20" t="n">
        <v>0.30530609</v>
      </c>
      <c r="M27" s="18" t="n">
        <v>0</v>
      </c>
      <c r="N27" s="20" t="n">
        <v>0</v>
      </c>
      <c r="O27" s="18" t="n">
        <v>0</v>
      </c>
      <c r="P27" s="20" t="n">
        <v>0</v>
      </c>
      <c r="Q27" s="18" t="n">
        <v>3.14367985</v>
      </c>
      <c r="R27" s="20" t="n">
        <v>0.90364678</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46.0201093</v>
      </c>
      <c r="F29" s="20" t="n">
        <v>3.2681069</v>
      </c>
      <c r="G29" s="18" t="n">
        <v>51.94055699</v>
      </c>
      <c r="H29" s="20" t="n">
        <v>3.20267292</v>
      </c>
      <c r="I29" s="18" t="s">
        <v>431</v>
      </c>
      <c r="J29" s="20" t="s">
        <v>431</v>
      </c>
      <c r="K29" s="18" t="n">
        <v>0.41915537</v>
      </c>
      <c r="L29" s="20" t="n">
        <v>0.4186789</v>
      </c>
      <c r="M29" s="18" t="n">
        <v>0</v>
      </c>
      <c r="N29" s="20" t="n">
        <v>0</v>
      </c>
      <c r="O29" s="18" t="n">
        <v>0</v>
      </c>
      <c r="P29" s="20" t="n">
        <v>0</v>
      </c>
      <c r="Q29" s="18" t="n">
        <v>1.62017834</v>
      </c>
      <c r="R29" s="20" t="n">
        <v>0.73351968</v>
      </c>
    </row>
    <row r="30" spans="1:18">
      <c r="A30" s="15" t="s">
        <v>454</v>
      </c>
      <c r="B30" s="17" t="n">
        <v>2263</v>
      </c>
      <c r="C30" s="18">
        <f>(1992.0/B30*100)</f>
        <v/>
      </c>
      <c r="D30" s="19" t="n">
        <v>271</v>
      </c>
      <c r="E30" s="18" t="n">
        <v>45.46150397</v>
      </c>
      <c r="F30" s="20" t="n">
        <v>3.1426317</v>
      </c>
      <c r="G30" s="18" t="n">
        <v>52.73898987</v>
      </c>
      <c r="H30" s="20" t="n">
        <v>3.14902718</v>
      </c>
      <c r="I30" s="18" t="s">
        <v>431</v>
      </c>
      <c r="J30" s="20" t="s">
        <v>431</v>
      </c>
      <c r="K30" s="18" t="n">
        <v>0</v>
      </c>
      <c r="L30" s="20" t="n">
        <v>0</v>
      </c>
      <c r="M30" s="18" t="n">
        <v>0</v>
      </c>
      <c r="N30" s="20" t="n">
        <v>0</v>
      </c>
      <c r="O30" s="18" t="n">
        <v>0</v>
      </c>
      <c r="P30" s="20" t="n">
        <v>0</v>
      </c>
      <c r="Q30" s="18" t="n">
        <v>1.79950616</v>
      </c>
      <c r="R30" s="20" t="n">
        <v>0.8023465400000001</v>
      </c>
    </row>
    <row r="31" spans="1:18">
      <c r="A31" s="15" t="s">
        <v>455</v>
      </c>
      <c r="B31" s="17" t="n">
        <v>2750</v>
      </c>
      <c r="C31" s="18">
        <f>(2408.0/B31*100)</f>
        <v/>
      </c>
      <c r="D31" s="19" t="n">
        <v>342</v>
      </c>
      <c r="E31" s="18" t="n">
        <v>50.94791694</v>
      </c>
      <c r="F31" s="20" t="n">
        <v>2.6763345</v>
      </c>
      <c r="G31" s="18" t="n">
        <v>46.86822571</v>
      </c>
      <c r="H31" s="20" t="n">
        <v>2.82895402</v>
      </c>
      <c r="I31" s="18" t="s">
        <v>431</v>
      </c>
      <c r="J31" s="20" t="s">
        <v>431</v>
      </c>
      <c r="K31" s="18" t="n">
        <v>0</v>
      </c>
      <c r="L31" s="20" t="n">
        <v>0</v>
      </c>
      <c r="M31" s="18" t="n">
        <v>0</v>
      </c>
      <c r="N31" s="20" t="n">
        <v>0</v>
      </c>
      <c r="O31" s="18" t="n">
        <v>0</v>
      </c>
      <c r="P31" s="20" t="n">
        <v>0</v>
      </c>
      <c r="Q31" s="18" t="n">
        <v>2.18385735</v>
      </c>
      <c r="R31" s="20" t="n">
        <v>0.7811179499999999</v>
      </c>
    </row>
    <row r="32" spans="1:18">
      <c r="A32" s="15" t="s">
        <v>456</v>
      </c>
      <c r="B32" s="17" t="n">
        <v>2269</v>
      </c>
      <c r="C32" s="18">
        <f>(1890.0/B32*100)</f>
        <v/>
      </c>
      <c r="D32" s="19" t="n">
        <v>379</v>
      </c>
      <c r="E32" s="18" t="n">
        <v>40.95746035</v>
      </c>
      <c r="F32" s="20" t="n">
        <v>2.86680575</v>
      </c>
      <c r="G32" s="18" t="n">
        <v>58.02450487</v>
      </c>
      <c r="H32" s="20" t="n">
        <v>2.92052031</v>
      </c>
      <c r="I32" s="18" t="s">
        <v>431</v>
      </c>
      <c r="J32" s="20" t="s">
        <v>431</v>
      </c>
      <c r="K32" s="18" t="n">
        <v>0.2725056</v>
      </c>
      <c r="L32" s="20" t="n">
        <v>0.23746833</v>
      </c>
      <c r="M32" s="18" t="n">
        <v>0</v>
      </c>
      <c r="N32" s="20" t="n">
        <v>0</v>
      </c>
      <c r="O32" s="18" t="n">
        <v>0</v>
      </c>
      <c r="P32" s="20" t="n">
        <v>0</v>
      </c>
      <c r="Q32" s="18" t="n">
        <v>0.74552918</v>
      </c>
      <c r="R32" s="20" t="n">
        <v>0.45664178</v>
      </c>
    </row>
    <row r="33" spans="1:18">
      <c r="A33" s="15" t="s">
        <v>457</v>
      </c>
      <c r="B33" s="17" t="n">
        <v>3674</v>
      </c>
      <c r="C33" s="18">
        <f>(3227.0/B33*100)</f>
        <v/>
      </c>
      <c r="D33" s="19" t="n">
        <v>447</v>
      </c>
      <c r="E33" s="18" t="n">
        <v>38.38376495</v>
      </c>
      <c r="F33" s="20" t="n">
        <v>3.15504651</v>
      </c>
      <c r="G33" s="18" t="n">
        <v>60.23140938</v>
      </c>
      <c r="H33" s="20" t="n">
        <v>3.0823023</v>
      </c>
      <c r="I33" s="18" t="s">
        <v>431</v>
      </c>
      <c r="J33" s="20" t="s">
        <v>431</v>
      </c>
      <c r="K33" s="18" t="n">
        <v>0</v>
      </c>
      <c r="L33" s="20" t="n">
        <v>0</v>
      </c>
      <c r="M33" s="18" t="n">
        <v>0</v>
      </c>
      <c r="N33" s="20" t="n">
        <v>0</v>
      </c>
      <c r="O33" s="18" t="n">
        <v>0</v>
      </c>
      <c r="P33" s="20" t="n">
        <v>0</v>
      </c>
      <c r="Q33" s="18" t="n">
        <v>1.38482568</v>
      </c>
      <c r="R33" s="20" t="n">
        <v>0.87604297</v>
      </c>
    </row>
    <row r="34" spans="1:18">
      <c r="A34" s="15" t="s">
        <v>458</v>
      </c>
      <c r="B34" s="17" t="n">
        <v>3315</v>
      </c>
      <c r="C34" s="18">
        <f>(2912.0/B34*100)</f>
        <v/>
      </c>
      <c r="D34" s="19" t="n">
        <v>403</v>
      </c>
      <c r="E34" s="18" t="n">
        <v>44.07106429</v>
      </c>
      <c r="F34" s="20" t="n">
        <v>2.47168598</v>
      </c>
      <c r="G34" s="18" t="n">
        <v>53.12890777</v>
      </c>
      <c r="H34" s="20" t="n">
        <v>2.55234937</v>
      </c>
      <c r="I34" s="18" t="s">
        <v>431</v>
      </c>
      <c r="J34" s="20" t="s">
        <v>431</v>
      </c>
      <c r="K34" s="18" t="n">
        <v>0.19193332</v>
      </c>
      <c r="L34" s="20" t="n">
        <v>0.19106766</v>
      </c>
      <c r="M34" s="18" t="n">
        <v>0</v>
      </c>
      <c r="N34" s="20" t="n">
        <v>0</v>
      </c>
      <c r="O34" s="18" t="n">
        <v>0</v>
      </c>
      <c r="P34" s="20" t="n">
        <v>0</v>
      </c>
      <c r="Q34" s="18" t="n">
        <v>2.60809462</v>
      </c>
      <c r="R34" s="20" t="n">
        <v>1.06752751</v>
      </c>
    </row>
    <row r="35" spans="1:18">
      <c r="A35" s="15" t="s">
        <v>459</v>
      </c>
      <c r="B35" s="17" t="n">
        <v>3505</v>
      </c>
      <c r="C35" s="18">
        <f>(3083.0/B35*100)</f>
        <v/>
      </c>
      <c r="D35" s="19" t="n">
        <v>422</v>
      </c>
      <c r="E35" s="18" t="n">
        <v>39.40363843</v>
      </c>
      <c r="F35" s="20" t="n">
        <v>2.73251962</v>
      </c>
      <c r="G35" s="18" t="n">
        <v>58.87801066</v>
      </c>
      <c r="H35" s="20" t="n">
        <v>2.81630368</v>
      </c>
      <c r="I35" s="18" t="s">
        <v>431</v>
      </c>
      <c r="J35" s="20" t="s">
        <v>431</v>
      </c>
      <c r="K35" s="18" t="n">
        <v>0.13620103</v>
      </c>
      <c r="L35" s="20" t="n">
        <v>0.13467953</v>
      </c>
      <c r="M35" s="18" t="n">
        <v>0</v>
      </c>
      <c r="N35" s="20" t="n">
        <v>0</v>
      </c>
      <c r="O35" s="18" t="n">
        <v>0</v>
      </c>
      <c r="P35" s="20" t="n">
        <v>0</v>
      </c>
      <c r="Q35" s="18" t="n">
        <v>1.58214987</v>
      </c>
      <c r="R35" s="20" t="n">
        <v>0.5251627800000001</v>
      </c>
    </row>
    <row r="36" spans="1:18">
      <c r="A36" s="15" t="s">
        <v>460</v>
      </c>
      <c r="B36" s="17" t="n">
        <v>3332</v>
      </c>
      <c r="C36" s="18">
        <f>(2913.0/B36*100)</f>
        <v/>
      </c>
      <c r="D36" s="19" t="n">
        <v>419</v>
      </c>
      <c r="E36" s="18" t="n">
        <v>40.37232864</v>
      </c>
      <c r="F36" s="20" t="n">
        <v>2.44580328</v>
      </c>
      <c r="G36" s="18" t="n">
        <v>59.10583385</v>
      </c>
      <c r="H36" s="20" t="n">
        <v>2.45022612</v>
      </c>
      <c r="I36" s="18" t="s">
        <v>431</v>
      </c>
      <c r="J36" s="20" t="s">
        <v>431</v>
      </c>
      <c r="K36" s="18" t="n">
        <v>0</v>
      </c>
      <c r="L36" s="20" t="n">
        <v>0</v>
      </c>
      <c r="M36" s="18" t="n">
        <v>0</v>
      </c>
      <c r="N36" s="20" t="n">
        <v>0</v>
      </c>
      <c r="O36" s="18" t="n">
        <v>0</v>
      </c>
      <c r="P36" s="20" t="n">
        <v>0</v>
      </c>
      <c r="Q36" s="18" t="n">
        <v>0.5218375</v>
      </c>
      <c r="R36" s="20" t="n">
        <v>0.377634</v>
      </c>
    </row>
    <row r="37" spans="1:18">
      <c r="A37" s="15" t="s">
        <v>461</v>
      </c>
      <c r="B37" s="17" t="n">
        <v>2727</v>
      </c>
      <c r="C37" s="18">
        <f>(2384.0/B37*100)</f>
        <v/>
      </c>
      <c r="D37" s="19" t="n">
        <v>343</v>
      </c>
      <c r="E37" s="18" t="n">
        <v>36.02321764</v>
      </c>
      <c r="F37" s="20" t="n">
        <v>2.91360395</v>
      </c>
      <c r="G37" s="18" t="n">
        <v>60.58139588</v>
      </c>
      <c r="H37" s="20" t="n">
        <v>2.98319652</v>
      </c>
      <c r="I37" s="18" t="s">
        <v>431</v>
      </c>
      <c r="J37" s="20" t="s">
        <v>431</v>
      </c>
      <c r="K37" s="18" t="n">
        <v>0.34165437</v>
      </c>
      <c r="L37" s="20" t="n">
        <v>0.33737638</v>
      </c>
      <c r="M37" s="18" t="n">
        <v>0</v>
      </c>
      <c r="N37" s="20" t="n">
        <v>0</v>
      </c>
      <c r="O37" s="18" t="n">
        <v>0</v>
      </c>
      <c r="P37" s="20" t="n">
        <v>0</v>
      </c>
      <c r="Q37" s="18" t="n">
        <v>3.0537321</v>
      </c>
      <c r="R37" s="20" t="n">
        <v>0.91988844</v>
      </c>
    </row>
    <row r="38" spans="1:18">
      <c r="A38" s="15" t="s">
        <v>462</v>
      </c>
      <c r="B38" s="17" t="n">
        <v>3053</v>
      </c>
      <c r="C38" s="18">
        <f>(2508.0/B38*100)</f>
        <v/>
      </c>
      <c r="D38" s="19" t="n">
        <v>545</v>
      </c>
      <c r="E38" s="18" t="n">
        <v>43.23964539</v>
      </c>
      <c r="F38" s="20" t="n">
        <v>2.318147</v>
      </c>
      <c r="G38" s="18" t="n">
        <v>54.5716068</v>
      </c>
      <c r="H38" s="20" t="n">
        <v>2.28600985</v>
      </c>
      <c r="I38" s="18" t="s">
        <v>431</v>
      </c>
      <c r="J38" s="20" t="s">
        <v>431</v>
      </c>
      <c r="K38" s="18" t="n">
        <v>0.17789475</v>
      </c>
      <c r="L38" s="20" t="n">
        <v>0.1779323</v>
      </c>
      <c r="M38" s="18" t="n">
        <v>0</v>
      </c>
      <c r="N38" s="20" t="n">
        <v>0</v>
      </c>
      <c r="O38" s="18" t="n">
        <v>0</v>
      </c>
      <c r="P38" s="20" t="n">
        <v>0</v>
      </c>
      <c r="Q38" s="18" t="n">
        <v>2.01085306</v>
      </c>
      <c r="R38" s="20" t="n">
        <v>0.58922221</v>
      </c>
    </row>
    <row r="39" spans="1:18">
      <c r="A39" s="15" t="s">
        <v>463</v>
      </c>
      <c r="B39" s="17" t="n">
        <v>2957</v>
      </c>
      <c r="C39" s="18">
        <f>(2585.0/B39*100)</f>
        <v/>
      </c>
      <c r="D39" s="19" t="n">
        <v>372</v>
      </c>
      <c r="E39" s="18" t="n">
        <v>59.00546394</v>
      </c>
      <c r="F39" s="20" t="n">
        <v>3.06187794</v>
      </c>
      <c r="G39" s="18" t="n">
        <v>38.09143855</v>
      </c>
      <c r="H39" s="20" t="n">
        <v>3.09361705</v>
      </c>
      <c r="I39" s="18" t="s">
        <v>431</v>
      </c>
      <c r="J39" s="20" t="s">
        <v>431</v>
      </c>
      <c r="K39" s="18" t="n">
        <v>0</v>
      </c>
      <c r="L39" s="20" t="n">
        <v>0</v>
      </c>
      <c r="M39" s="18" t="n">
        <v>0</v>
      </c>
      <c r="N39" s="20" t="n">
        <v>0</v>
      </c>
      <c r="O39" s="18" t="n">
        <v>0</v>
      </c>
      <c r="P39" s="20" t="n">
        <v>0</v>
      </c>
      <c r="Q39" s="18" t="n">
        <v>2.90309751</v>
      </c>
      <c r="R39" s="20" t="n">
        <v>0.89846229</v>
      </c>
    </row>
    <row r="40" spans="1:18">
      <c r="A40" s="15" t="s">
        <v>464</v>
      </c>
      <c r="B40" s="17" t="n">
        <v>7235</v>
      </c>
      <c r="C40" s="18">
        <f>(6333.0/B40*100)</f>
        <v/>
      </c>
      <c r="D40" s="19" t="n">
        <v>902</v>
      </c>
      <c r="E40" s="18" t="n">
        <v>52.01034682</v>
      </c>
      <c r="F40" s="20" t="n">
        <v>2.59950601</v>
      </c>
      <c r="G40" s="18" t="n">
        <v>46.38198672</v>
      </c>
      <c r="H40" s="20" t="n">
        <v>2.60039044</v>
      </c>
      <c r="I40" s="18" t="s">
        <v>431</v>
      </c>
      <c r="J40" s="20" t="s">
        <v>431</v>
      </c>
      <c r="K40" s="18" t="n">
        <v>0.04822503</v>
      </c>
      <c r="L40" s="20" t="n">
        <v>0.03999811</v>
      </c>
      <c r="M40" s="18" t="n">
        <v>0</v>
      </c>
      <c r="N40" s="20" t="n">
        <v>0</v>
      </c>
      <c r="O40" s="18" t="n">
        <v>0</v>
      </c>
      <c r="P40" s="20" t="n">
        <v>0</v>
      </c>
      <c r="Q40" s="18" t="n">
        <v>1.55944143</v>
      </c>
      <c r="R40" s="20" t="n">
        <v>0.7467087100000001</v>
      </c>
    </row>
    <row r="41" spans="1:18">
      <c r="A41" s="15" t="s">
        <v>465</v>
      </c>
      <c r="B41" s="17" t="n">
        <v>2858</v>
      </c>
      <c r="C41" s="18">
        <f>(2497.0/B41*100)</f>
        <v/>
      </c>
      <c r="D41" s="19" t="n">
        <v>361</v>
      </c>
      <c r="E41" s="18" t="n">
        <v>51.53451732</v>
      </c>
      <c r="F41" s="20" t="n">
        <v>2.93278685</v>
      </c>
      <c r="G41" s="18" t="n">
        <v>48.46548268</v>
      </c>
      <c r="H41" s="20" t="n">
        <v>2.93278685</v>
      </c>
      <c r="I41" s="18" t="s">
        <v>431</v>
      </c>
      <c r="J41" s="20" t="s">
        <v>431</v>
      </c>
      <c r="K41" s="18" t="n">
        <v>0</v>
      </c>
      <c r="L41" s="20" t="n">
        <v>0</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(4510.0/B48*100)</f>
        <v/>
      </c>
      <c r="D48" s="19" t="n">
        <v>649</v>
      </c>
      <c r="E48" s="18" t="n">
        <v>46.78367645</v>
      </c>
      <c r="F48" s="20" t="n">
        <v>2.75453734</v>
      </c>
      <c r="G48" s="18" t="n">
        <v>51.08270773</v>
      </c>
      <c r="H48" s="20" t="n">
        <v>2.7591259</v>
      </c>
      <c r="I48" s="18" t="s">
        <v>431</v>
      </c>
      <c r="J48" s="20" t="s">
        <v>431</v>
      </c>
      <c r="K48" s="18" t="n">
        <v>0.27346367</v>
      </c>
      <c r="L48" s="20" t="n">
        <v>0.28353373</v>
      </c>
      <c r="M48" s="18" t="n">
        <v>0</v>
      </c>
      <c r="N48" s="20" t="n">
        <v>0</v>
      </c>
      <c r="O48" s="18" t="n">
        <v>0</v>
      </c>
      <c r="P48" s="20" t="n">
        <v>0</v>
      </c>
      <c r="Q48" s="18" t="n">
        <v>1.86015214</v>
      </c>
      <c r="R48" s="20" t="n">
        <v>0.59273714</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(2453.0/B52*100)</f>
        <v/>
      </c>
      <c r="D52" s="19" t="n">
        <v>343</v>
      </c>
      <c r="E52" s="18" t="n">
        <v>43.81179167</v>
      </c>
      <c r="F52" s="20" t="n">
        <v>2.81309982</v>
      </c>
      <c r="G52" s="18" t="n">
        <v>55.89243845</v>
      </c>
      <c r="H52" s="20" t="n">
        <v>2.80010593</v>
      </c>
      <c r="I52" s="18" t="s">
        <v>431</v>
      </c>
      <c r="J52" s="20" t="s">
        <v>431</v>
      </c>
      <c r="K52" s="18" t="n">
        <v>0</v>
      </c>
      <c r="L52" s="20" t="n">
        <v>0</v>
      </c>
      <c r="M52" s="18" t="n">
        <v>0</v>
      </c>
      <c r="N52" s="20" t="n">
        <v>0</v>
      </c>
      <c r="O52" s="18" t="n">
        <v>0</v>
      </c>
      <c r="P52" s="20" t="n">
        <v>0</v>
      </c>
      <c r="Q52" s="18" t="n">
        <v>0.29576988</v>
      </c>
      <c r="R52" s="20" t="n">
        <v>0.28014782</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37.72847353</v>
      </c>
      <c r="F56" s="20" t="n">
        <v>2.87807534</v>
      </c>
      <c r="G56" s="18" t="n">
        <v>60.47681686</v>
      </c>
      <c r="H56" s="20" t="n">
        <v>3.03534718</v>
      </c>
      <c r="I56" s="18" t="s">
        <v>431</v>
      </c>
      <c r="J56" s="20" t="s">
        <v>431</v>
      </c>
      <c r="K56" s="18" t="n">
        <v>0</v>
      </c>
      <c r="L56" s="20" t="n">
        <v>0</v>
      </c>
      <c r="M56" s="18" t="n">
        <v>0</v>
      </c>
      <c r="N56" s="20" t="n">
        <v>0</v>
      </c>
      <c r="O56" s="18" t="n">
        <v>0</v>
      </c>
      <c r="P56" s="20" t="n">
        <v>0</v>
      </c>
      <c r="Q56" s="18" t="n">
        <v>1.79470962</v>
      </c>
      <c r="R56" s="20" t="n">
        <v>0.86541375</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(2891.0/B61*100)</f>
        <v/>
      </c>
      <c r="D61" s="19" t="n">
        <v>433</v>
      </c>
      <c r="E61" s="18" t="n">
        <v>49.3172227</v>
      </c>
      <c r="F61" s="20" t="n">
        <v>2.4853959</v>
      </c>
      <c r="G61" s="18" t="n">
        <v>48.65251413</v>
      </c>
      <c r="H61" s="20" t="n">
        <v>2.48030484</v>
      </c>
      <c r="I61" s="18" t="s">
        <v>431</v>
      </c>
      <c r="J61" s="20" t="s">
        <v>431</v>
      </c>
      <c r="K61" s="18" t="n">
        <v>0</v>
      </c>
      <c r="L61" s="20" t="n">
        <v>0</v>
      </c>
      <c r="M61" s="18" t="n">
        <v>0</v>
      </c>
      <c r="N61" s="20" t="n">
        <v>0</v>
      </c>
      <c r="O61" s="18" t="n">
        <v>0</v>
      </c>
      <c r="P61" s="20" t="n">
        <v>0</v>
      </c>
      <c r="Q61" s="18" t="n">
        <v>2.03026317</v>
      </c>
      <c r="R61" s="20" t="n">
        <v>0.76092779</v>
      </c>
    </row>
    <row r="62" spans="1:18">
      <c r="A62" s="15" t="s">
        <v>486</v>
      </c>
      <c r="B62" s="17" t="n">
        <v>2246</v>
      </c>
      <c r="C62" s="18">
        <f>(1963.0/B62*100)</f>
        <v/>
      </c>
      <c r="D62" s="19" t="n">
        <v>283</v>
      </c>
      <c r="E62" s="18" t="n">
        <v>40.98602861</v>
      </c>
      <c r="F62" s="20" t="n">
        <v>3.08445666</v>
      </c>
      <c r="G62" s="18" t="n">
        <v>57.58965745</v>
      </c>
      <c r="H62" s="20" t="n">
        <v>3.10359915</v>
      </c>
      <c r="I62" s="18" t="s">
        <v>431</v>
      </c>
      <c r="J62" s="20" t="s">
        <v>431</v>
      </c>
      <c r="K62" s="18" t="n">
        <v>0.3630653</v>
      </c>
      <c r="L62" s="20" t="n">
        <v>0.36152681</v>
      </c>
      <c r="M62" s="18" t="n">
        <v>0</v>
      </c>
      <c r="N62" s="20" t="n">
        <v>0</v>
      </c>
      <c r="O62" s="18" t="n">
        <v>0</v>
      </c>
      <c r="P62" s="20" t="n">
        <v>0</v>
      </c>
      <c r="Q62" s="18" t="n">
        <v>1.06124863</v>
      </c>
      <c r="R62" s="20" t="n">
        <v>0.61292634</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(2548.0/B66*100)</f>
        <v/>
      </c>
      <c r="D66" s="19" t="n">
        <v>346</v>
      </c>
      <c r="E66" s="18" t="n">
        <v>50.86725407</v>
      </c>
      <c r="F66" s="20" t="n">
        <v>2.93739863</v>
      </c>
      <c r="G66" s="18" t="n">
        <v>42.44405045</v>
      </c>
      <c r="H66" s="20" t="n">
        <v>2.67386349</v>
      </c>
      <c r="I66" s="18" t="s">
        <v>431</v>
      </c>
      <c r="J66" s="20" t="s">
        <v>431</v>
      </c>
      <c r="K66" s="18" t="n">
        <v>0.84949385</v>
      </c>
      <c r="L66" s="20" t="n">
        <v>0.50058508</v>
      </c>
      <c r="M66" s="18" t="n">
        <v>0</v>
      </c>
      <c r="N66" s="20" t="n">
        <v>0</v>
      </c>
      <c r="O66" s="18" t="n">
        <v>0</v>
      </c>
      <c r="P66" s="20" t="n">
        <v>0</v>
      </c>
      <c r="Q66" s="18" t="n">
        <v>5.83920163</v>
      </c>
      <c r="R66" s="20" t="n">
        <v>1.32455027</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(2575.0/B70*100)</f>
        <v/>
      </c>
      <c r="D70" s="19" t="n">
        <v>354</v>
      </c>
      <c r="E70" s="18" t="n">
        <v>41.27992045</v>
      </c>
      <c r="F70" s="20" t="n">
        <v>3.04973938</v>
      </c>
      <c r="G70" s="18" t="n">
        <v>56.38596311</v>
      </c>
      <c r="H70" s="20" t="n">
        <v>3.06455865</v>
      </c>
      <c r="I70" s="18" t="s">
        <v>431</v>
      </c>
      <c r="J70" s="20" t="s">
        <v>431</v>
      </c>
      <c r="K70" s="18" t="n">
        <v>0.23629908</v>
      </c>
      <c r="L70" s="20" t="n">
        <v>0.33525562</v>
      </c>
      <c r="M70" s="18" t="n">
        <v>0</v>
      </c>
      <c r="N70" s="20" t="n">
        <v>0</v>
      </c>
      <c r="O70" s="18" t="n">
        <v>0</v>
      </c>
      <c r="P70" s="20" t="n">
        <v>0</v>
      </c>
      <c r="Q70" s="18" t="n">
        <v>2.09781737</v>
      </c>
      <c r="R70" s="20" t="n">
        <v>1.14613787</v>
      </c>
    </row>
    <row r="71" spans="1:18">
      <c r="A71" s="15" t="s">
        <v>495</v>
      </c>
      <c r="B71" s="17" t="n">
        <v>3142</v>
      </c>
      <c r="C71" s="18">
        <f>(2763.0/B71*100)</f>
        <v/>
      </c>
      <c r="D71" s="19" t="n">
        <v>379</v>
      </c>
      <c r="E71" s="18" t="n">
        <v>41.70919163</v>
      </c>
      <c r="F71" s="20" t="n">
        <v>2.2792204</v>
      </c>
      <c r="G71" s="18" t="n">
        <v>56.6982599</v>
      </c>
      <c r="H71" s="20" t="n">
        <v>2.33247001</v>
      </c>
      <c r="I71" s="18" t="s">
        <v>431</v>
      </c>
      <c r="J71" s="20" t="s">
        <v>431</v>
      </c>
      <c r="K71" s="18" t="n">
        <v>0.48518651</v>
      </c>
      <c r="L71" s="20" t="n">
        <v>0.34179447</v>
      </c>
      <c r="M71" s="18" t="n">
        <v>0</v>
      </c>
      <c r="N71" s="20" t="n">
        <v>0</v>
      </c>
      <c r="O71" s="18" t="n">
        <v>0</v>
      </c>
      <c r="P71" s="20" t="n">
        <v>0</v>
      </c>
      <c r="Q71" s="18" t="n">
        <v>1.10736196</v>
      </c>
      <c r="R71" s="20" t="n">
        <v>0.56318439</v>
      </c>
    </row>
    <row r="72" spans="1:18">
      <c r="A72" s="15" t="s">
        <v>496</v>
      </c>
      <c r="B72" s="17" t="n">
        <v>3889</v>
      </c>
      <c r="C72" s="18">
        <f>(3414.0/B72*100)</f>
        <v/>
      </c>
      <c r="D72" s="19" t="n">
        <v>475</v>
      </c>
      <c r="E72" s="18" t="n">
        <v>46.90383704</v>
      </c>
      <c r="F72" s="20" t="n">
        <v>2.40979724</v>
      </c>
      <c r="G72" s="18" t="n">
        <v>51.93583712</v>
      </c>
      <c r="H72" s="20" t="n">
        <v>2.38230352</v>
      </c>
      <c r="I72" s="18" t="s">
        <v>431</v>
      </c>
      <c r="J72" s="20" t="s">
        <v>431</v>
      </c>
      <c r="K72" s="18" t="n">
        <v>0.16507679</v>
      </c>
      <c r="L72" s="20" t="n">
        <v>0.16561767</v>
      </c>
      <c r="M72" s="18" t="n">
        <v>0</v>
      </c>
      <c r="N72" s="20" t="n">
        <v>0</v>
      </c>
      <c r="O72" s="18" t="n">
        <v>0</v>
      </c>
      <c r="P72" s="20" t="n">
        <v>0</v>
      </c>
      <c r="Q72" s="18" t="n">
        <v>0.99524905</v>
      </c>
      <c r="R72" s="20" t="n">
        <v>0.56850944</v>
      </c>
    </row>
    <row r="73" spans="1:18">
      <c r="A73" s="15" t="s">
        <v>497</v>
      </c>
      <c r="B73" s="17" t="n">
        <v>3597</v>
      </c>
      <c r="C73" s="18">
        <f>(3142.0/B73*100)</f>
        <v/>
      </c>
      <c r="D73" s="19" t="n">
        <v>455</v>
      </c>
      <c r="E73" s="18" t="n">
        <v>65.19087098999999</v>
      </c>
      <c r="F73" s="20" t="n">
        <v>2.51015312</v>
      </c>
      <c r="G73" s="18" t="n">
        <v>31.76638155</v>
      </c>
      <c r="H73" s="20" t="n">
        <v>2.52932407</v>
      </c>
      <c r="I73" s="18" t="s">
        <v>431</v>
      </c>
      <c r="J73" s="20" t="s">
        <v>431</v>
      </c>
      <c r="K73" s="18" t="n">
        <v>0</v>
      </c>
      <c r="L73" s="20" t="n">
        <v>0</v>
      </c>
      <c r="M73" s="18" t="n">
        <v>0</v>
      </c>
      <c r="N73" s="20" t="n">
        <v>0</v>
      </c>
      <c r="O73" s="18" t="n">
        <v>0</v>
      </c>
      <c r="P73" s="20" t="n">
        <v>0</v>
      </c>
      <c r="Q73" s="18" t="n">
        <v>3.04274746</v>
      </c>
      <c r="R73" s="20" t="n">
        <v>0.98024097</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(6435.0/B7*100)</f>
        <v/>
      </c>
      <c r="D7" s="19" t="n">
        <v>932</v>
      </c>
      <c r="E7" s="18" t="n">
        <v>18.49077778</v>
      </c>
      <c r="F7" s="20" t="n">
        <v>1.35551769</v>
      </c>
      <c r="G7" s="18" t="n">
        <v>78.44480021</v>
      </c>
      <c r="H7" s="20" t="n">
        <v>1.42186199</v>
      </c>
      <c r="I7" s="18" t="s">
        <v>431</v>
      </c>
      <c r="J7" s="20" t="s">
        <v>431</v>
      </c>
      <c r="K7" s="18" t="n">
        <v>0.07781275</v>
      </c>
      <c r="L7" s="20" t="n">
        <v>0.04885486</v>
      </c>
      <c r="M7" s="18" t="n">
        <v>0</v>
      </c>
      <c r="N7" s="20" t="n">
        <v>0</v>
      </c>
      <c r="O7" s="18" t="n">
        <v>0</v>
      </c>
      <c r="P7" s="20" t="n">
        <v>0</v>
      </c>
      <c r="Q7" s="18" t="n">
        <v>2.98660925</v>
      </c>
      <c r="R7" s="20" t="n">
        <v>0.61482269</v>
      </c>
    </row>
    <row r="8" spans="1:18">
      <c r="A8" s="15" t="s">
        <v>432</v>
      </c>
      <c r="B8" s="17" t="n">
        <v>3564</v>
      </c>
      <c r="C8" s="18">
        <f>(3144.0/B8*100)</f>
        <v/>
      </c>
      <c r="D8" s="19" t="n">
        <v>420</v>
      </c>
      <c r="E8" s="18" t="n">
        <v>25.92740914</v>
      </c>
      <c r="F8" s="20" t="n">
        <v>2.06603317</v>
      </c>
      <c r="G8" s="18" t="n">
        <v>71.89868704</v>
      </c>
      <c r="H8" s="20" t="n">
        <v>2.34112049</v>
      </c>
      <c r="I8" s="18" t="s">
        <v>431</v>
      </c>
      <c r="J8" s="20" t="s">
        <v>431</v>
      </c>
      <c r="K8" s="18" t="n">
        <v>0</v>
      </c>
      <c r="L8" s="20" t="n">
        <v>0</v>
      </c>
      <c r="M8" s="18" t="n">
        <v>0</v>
      </c>
      <c r="N8" s="20" t="n">
        <v>0</v>
      </c>
      <c r="O8" s="18" t="n">
        <v>0</v>
      </c>
      <c r="P8" s="20" t="n">
        <v>0</v>
      </c>
      <c r="Q8" s="18" t="n">
        <v>2.17390382</v>
      </c>
      <c r="R8" s="20" t="n">
        <v>0.79385365</v>
      </c>
    </row>
    <row r="9" spans="1:18">
      <c r="A9" s="15" t="s">
        <v>433</v>
      </c>
      <c r="B9" s="17" t="n">
        <v>4899</v>
      </c>
      <c r="C9" s="18">
        <f>(4293.0/B9*100)</f>
        <v/>
      </c>
      <c r="D9" s="19" t="n">
        <v>606</v>
      </c>
      <c r="E9" s="18" t="n">
        <v>16.88532156</v>
      </c>
      <c r="F9" s="20" t="n">
        <v>1.57754394</v>
      </c>
      <c r="G9" s="18" t="n">
        <v>80.48315279000001</v>
      </c>
      <c r="H9" s="20" t="n">
        <v>1.84465676</v>
      </c>
      <c r="I9" s="18" t="s">
        <v>431</v>
      </c>
      <c r="J9" s="20" t="s">
        <v>431</v>
      </c>
      <c r="K9" s="18" t="n">
        <v>0</v>
      </c>
      <c r="L9" s="20" t="n">
        <v>0</v>
      </c>
      <c r="M9" s="18" t="n">
        <v>0</v>
      </c>
      <c r="N9" s="20" t="n">
        <v>0</v>
      </c>
      <c r="O9" s="18" t="n">
        <v>0</v>
      </c>
      <c r="P9" s="20" t="n">
        <v>0</v>
      </c>
      <c r="Q9" s="18" t="n">
        <v>2.63152565</v>
      </c>
      <c r="R9" s="20" t="n">
        <v>0.75492718</v>
      </c>
    </row>
    <row r="10" spans="1:18">
      <c r="A10" s="15" t="s">
        <v>434</v>
      </c>
      <c r="B10" s="17" t="n">
        <v>10036</v>
      </c>
      <c r="C10" s="18">
        <f>(8825.0/B10*100)</f>
        <v/>
      </c>
      <c r="D10" s="19" t="n">
        <v>1211</v>
      </c>
      <c r="E10" s="18" t="n">
        <v>18.31360552</v>
      </c>
      <c r="F10" s="20" t="n">
        <v>1.69938175</v>
      </c>
      <c r="G10" s="18" t="n">
        <v>79.23130996</v>
      </c>
      <c r="H10" s="20" t="n">
        <v>1.73151773</v>
      </c>
      <c r="I10" s="18" t="s">
        <v>431</v>
      </c>
      <c r="J10" s="20" t="s">
        <v>431</v>
      </c>
      <c r="K10" s="18" t="n">
        <v>0.3148059</v>
      </c>
      <c r="L10" s="20" t="n">
        <v>0.27804456</v>
      </c>
      <c r="M10" s="18" t="n">
        <v>0</v>
      </c>
      <c r="N10" s="20" t="n">
        <v>0</v>
      </c>
      <c r="O10" s="18" t="n">
        <v>0</v>
      </c>
      <c r="P10" s="20" t="n">
        <v>0</v>
      </c>
      <c r="Q10" s="18" t="n">
        <v>2.14027862</v>
      </c>
      <c r="R10" s="20" t="n">
        <v>0.59090549</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(3040.0/B12*100)</f>
        <v/>
      </c>
      <c r="D12" s="19" t="n">
        <v>432</v>
      </c>
      <c r="E12" s="18" t="n">
        <v>20.81506523</v>
      </c>
      <c r="F12" s="20" t="n">
        <v>2.21565304</v>
      </c>
      <c r="G12" s="18" t="n">
        <v>78.15426377</v>
      </c>
      <c r="H12" s="20" t="n">
        <v>2.24265301</v>
      </c>
      <c r="I12" s="18" t="s">
        <v>431</v>
      </c>
      <c r="J12" s="20" t="s">
        <v>431</v>
      </c>
      <c r="K12" s="18" t="n">
        <v>0</v>
      </c>
      <c r="L12" s="20" t="n">
        <v>0</v>
      </c>
      <c r="M12" s="18" t="n">
        <v>0</v>
      </c>
      <c r="N12" s="20" t="n">
        <v>0</v>
      </c>
      <c r="O12" s="18" t="n">
        <v>0</v>
      </c>
      <c r="P12" s="20" t="n">
        <v>0</v>
      </c>
      <c r="Q12" s="18" t="n">
        <v>1.03067101</v>
      </c>
      <c r="R12" s="20" t="n">
        <v>0.43284303</v>
      </c>
    </row>
    <row r="13" spans="1:18">
      <c r="A13" s="15" t="s">
        <v>437</v>
      </c>
      <c r="B13" s="17" t="n">
        <v>3559</v>
      </c>
      <c r="C13" s="18">
        <f>(3139.0/B13*100)</f>
        <v/>
      </c>
      <c r="D13" s="19" t="n">
        <v>420</v>
      </c>
      <c r="E13" s="18" t="n">
        <v>19.10409523</v>
      </c>
      <c r="F13" s="20" t="n">
        <v>2.15158605</v>
      </c>
      <c r="G13" s="18" t="n">
        <v>79.16513990999999</v>
      </c>
      <c r="H13" s="20" t="n">
        <v>2.3761831</v>
      </c>
      <c r="I13" s="18" t="s">
        <v>431</v>
      </c>
      <c r="J13" s="20" t="s">
        <v>431</v>
      </c>
      <c r="K13" s="18" t="n">
        <v>0.14323886</v>
      </c>
      <c r="L13" s="20" t="n">
        <v>0.14704399</v>
      </c>
      <c r="M13" s="18" t="n">
        <v>0</v>
      </c>
      <c r="N13" s="20" t="n">
        <v>0</v>
      </c>
      <c r="O13" s="18" t="n">
        <v>0</v>
      </c>
      <c r="P13" s="20" t="n">
        <v>0</v>
      </c>
      <c r="Q13" s="18" t="n">
        <v>1.58752599</v>
      </c>
      <c r="R13" s="20" t="n">
        <v>0.6790379</v>
      </c>
    </row>
    <row r="14" spans="1:18">
      <c r="A14" s="15" t="s">
        <v>438</v>
      </c>
      <c r="B14" s="17" t="n">
        <v>2799</v>
      </c>
      <c r="C14" s="18">
        <f>(2450.0/B14*100)</f>
        <v/>
      </c>
      <c r="D14" s="19" t="n">
        <v>349</v>
      </c>
      <c r="E14" s="18" t="n">
        <v>15.16573737</v>
      </c>
      <c r="F14" s="20" t="n">
        <v>2.1901011</v>
      </c>
      <c r="G14" s="18" t="n">
        <v>84.63281868</v>
      </c>
      <c r="H14" s="20" t="n">
        <v>2.15428805</v>
      </c>
      <c r="I14" s="18" t="s">
        <v>431</v>
      </c>
      <c r="J14" s="20" t="s">
        <v>431</v>
      </c>
      <c r="K14" s="18" t="n">
        <v>0</v>
      </c>
      <c r="L14" s="20" t="n">
        <v>0</v>
      </c>
      <c r="M14" s="18" t="n">
        <v>0</v>
      </c>
      <c r="N14" s="20" t="n">
        <v>0</v>
      </c>
      <c r="O14" s="18" t="n">
        <v>0</v>
      </c>
      <c r="P14" s="20" t="n">
        <v>0</v>
      </c>
      <c r="Q14" s="18" t="n">
        <v>0.20144395</v>
      </c>
      <c r="R14" s="20" t="n">
        <v>0.20146986</v>
      </c>
    </row>
    <row r="15" spans="1:18">
      <c r="A15" s="15" t="s">
        <v>439</v>
      </c>
      <c r="B15" s="17" t="n">
        <v>3019</v>
      </c>
      <c r="C15" s="18">
        <f>(2640.0/B15*100)</f>
        <v/>
      </c>
      <c r="D15" s="19" t="n">
        <v>379</v>
      </c>
      <c r="E15" s="18" t="n">
        <v>28.1851466</v>
      </c>
      <c r="F15" s="20" t="n">
        <v>2.48362034</v>
      </c>
      <c r="G15" s="18" t="n">
        <v>70.03635631</v>
      </c>
      <c r="H15" s="20" t="n">
        <v>2.48529177</v>
      </c>
      <c r="I15" s="18" t="s">
        <v>431</v>
      </c>
      <c r="J15" s="20" t="s">
        <v>431</v>
      </c>
      <c r="K15" s="18" t="n">
        <v>0.7549755</v>
      </c>
      <c r="L15" s="20" t="n">
        <v>0.44086105</v>
      </c>
      <c r="M15" s="18" t="n">
        <v>0</v>
      </c>
      <c r="N15" s="20" t="n">
        <v>0</v>
      </c>
      <c r="O15" s="18" t="n">
        <v>0</v>
      </c>
      <c r="P15" s="20" t="n">
        <v>0</v>
      </c>
      <c r="Q15" s="18" t="n">
        <v>1.02352159</v>
      </c>
      <c r="R15" s="20" t="n">
        <v>0.50776077</v>
      </c>
    </row>
    <row r="16" spans="1:18">
      <c r="A16" s="15" t="s">
        <v>440</v>
      </c>
      <c r="B16" s="17" t="n">
        <v>2997</v>
      </c>
      <c r="C16" s="18">
        <f>(2613.0/B16*100)</f>
        <v/>
      </c>
      <c r="D16" s="19" t="n">
        <v>384</v>
      </c>
      <c r="E16" s="18" t="n">
        <v>18.6783208</v>
      </c>
      <c r="F16" s="20" t="n">
        <v>2.00044863</v>
      </c>
      <c r="G16" s="18" t="n">
        <v>76.65342262</v>
      </c>
      <c r="H16" s="20" t="n">
        <v>2.20823269</v>
      </c>
      <c r="I16" s="18" t="s">
        <v>431</v>
      </c>
      <c r="J16" s="20" t="s">
        <v>431</v>
      </c>
      <c r="K16" s="18" t="n">
        <v>0.89934682</v>
      </c>
      <c r="L16" s="20" t="n">
        <v>0.5178935</v>
      </c>
      <c r="M16" s="18" t="n">
        <v>0</v>
      </c>
      <c r="N16" s="20" t="n">
        <v>0</v>
      </c>
      <c r="O16" s="18" t="n">
        <v>0</v>
      </c>
      <c r="P16" s="20" t="n">
        <v>0</v>
      </c>
      <c r="Q16" s="18" t="n">
        <v>3.76890976</v>
      </c>
      <c r="R16" s="20" t="n">
        <v>0.86269085</v>
      </c>
    </row>
    <row r="17" spans="1:18">
      <c r="A17" s="15" t="s">
        <v>441</v>
      </c>
      <c r="B17" s="17" t="n">
        <v>3307</v>
      </c>
      <c r="C17" s="18">
        <f>(2907.0/B17*100)</f>
        <v/>
      </c>
      <c r="D17" s="19" t="n">
        <v>400</v>
      </c>
      <c r="E17" s="18" t="n">
        <v>23.26450355</v>
      </c>
      <c r="F17" s="20" t="n">
        <v>2.37999363</v>
      </c>
      <c r="G17" s="18" t="n">
        <v>75.02428205</v>
      </c>
      <c r="H17" s="20" t="n">
        <v>2.45014866</v>
      </c>
      <c r="I17" s="18" t="s">
        <v>431</v>
      </c>
      <c r="J17" s="20" t="s">
        <v>431</v>
      </c>
      <c r="K17" s="18" t="n">
        <v>0.31737101</v>
      </c>
      <c r="L17" s="20" t="n">
        <v>0.30738941</v>
      </c>
      <c r="M17" s="18" t="n">
        <v>0</v>
      </c>
      <c r="N17" s="20" t="n">
        <v>0</v>
      </c>
      <c r="O17" s="18" t="n">
        <v>0</v>
      </c>
      <c r="P17" s="20" t="n">
        <v>0</v>
      </c>
      <c r="Q17" s="18" t="n">
        <v>1.3938434</v>
      </c>
      <c r="R17" s="20" t="n">
        <v>0.62383502</v>
      </c>
    </row>
    <row r="18" spans="1:18">
      <c r="A18" s="15" t="s">
        <v>442</v>
      </c>
      <c r="B18" s="17" t="n">
        <v>2826</v>
      </c>
      <c r="C18" s="18">
        <f>(2473.0/B18*100)</f>
        <v/>
      </c>
      <c r="D18" s="19" t="n">
        <v>353</v>
      </c>
      <c r="E18" s="18" t="n">
        <v>29.56343986</v>
      </c>
      <c r="F18" s="20" t="n">
        <v>2.41913484</v>
      </c>
      <c r="G18" s="18" t="n">
        <v>64.90140943</v>
      </c>
      <c r="H18" s="20" t="n">
        <v>2.98097339</v>
      </c>
      <c r="I18" s="18" t="s">
        <v>431</v>
      </c>
      <c r="J18" s="20" t="s">
        <v>431</v>
      </c>
      <c r="K18" s="18" t="n">
        <v>0</v>
      </c>
      <c r="L18" s="20" t="n">
        <v>0</v>
      </c>
      <c r="M18" s="18" t="n">
        <v>0</v>
      </c>
      <c r="N18" s="20" t="n">
        <v>0</v>
      </c>
      <c r="O18" s="18" t="n">
        <v>0</v>
      </c>
      <c r="P18" s="20" t="n">
        <v>0</v>
      </c>
      <c r="Q18" s="18" t="n">
        <v>5.53515071</v>
      </c>
      <c r="R18" s="20" t="n">
        <v>1.76552519</v>
      </c>
    </row>
    <row r="19" spans="1:18">
      <c r="A19" s="15" t="s">
        <v>443</v>
      </c>
      <c r="B19" s="17" t="n">
        <v>2808</v>
      </c>
      <c r="C19" s="18">
        <f>(2459.0/B19*100)</f>
        <v/>
      </c>
      <c r="D19" s="19" t="n">
        <v>349</v>
      </c>
      <c r="E19" s="18" t="n">
        <v>28.23330418</v>
      </c>
      <c r="F19" s="20" t="n">
        <v>2.72981106</v>
      </c>
      <c r="G19" s="18" t="n">
        <v>69.27510924000001</v>
      </c>
      <c r="H19" s="20" t="n">
        <v>2.7924556</v>
      </c>
      <c r="I19" s="18" t="s">
        <v>431</v>
      </c>
      <c r="J19" s="20" t="s">
        <v>431</v>
      </c>
      <c r="K19" s="18" t="n">
        <v>0</v>
      </c>
      <c r="L19" s="20" t="n">
        <v>0</v>
      </c>
      <c r="M19" s="18" t="n">
        <v>0</v>
      </c>
      <c r="N19" s="20" t="n">
        <v>0</v>
      </c>
      <c r="O19" s="18" t="n">
        <v>0</v>
      </c>
      <c r="P19" s="20" t="n">
        <v>0</v>
      </c>
      <c r="Q19" s="18" t="n">
        <v>2.49158657</v>
      </c>
      <c r="R19" s="20" t="n">
        <v>0.92949485</v>
      </c>
    </row>
    <row r="20" spans="1:18">
      <c r="A20" s="15" t="s">
        <v>444</v>
      </c>
      <c r="B20" s="17" t="n">
        <v>1630</v>
      </c>
      <c r="C20" s="18">
        <f>(1438.0/B20*100)</f>
        <v/>
      </c>
      <c r="D20" s="19" t="n">
        <v>192</v>
      </c>
      <c r="E20" s="18" t="n">
        <v>27.57262816</v>
      </c>
      <c r="F20" s="20" t="n">
        <v>3.21883621</v>
      </c>
      <c r="G20" s="18" t="n">
        <v>69.92100768</v>
      </c>
      <c r="H20" s="20" t="n">
        <v>3.25442549</v>
      </c>
      <c r="I20" s="18" t="s">
        <v>431</v>
      </c>
      <c r="J20" s="20" t="s">
        <v>431</v>
      </c>
      <c r="K20" s="18" t="n">
        <v>0</v>
      </c>
      <c r="L20" s="20" t="n">
        <v>0</v>
      </c>
      <c r="M20" s="18" t="n">
        <v>0</v>
      </c>
      <c r="N20" s="20" t="n">
        <v>0</v>
      </c>
      <c r="O20" s="18" t="n">
        <v>0</v>
      </c>
      <c r="P20" s="20" t="n">
        <v>0</v>
      </c>
      <c r="Q20" s="18" t="n">
        <v>2.50636416</v>
      </c>
      <c r="R20" s="20" t="n">
        <v>0.82423239</v>
      </c>
    </row>
    <row r="21" spans="1:18">
      <c r="A21" s="15" t="s">
        <v>445</v>
      </c>
      <c r="B21" s="17" t="n">
        <v>2908</v>
      </c>
      <c r="C21" s="18">
        <f>(2418.0/B21*100)</f>
        <v/>
      </c>
      <c r="D21" s="19" t="n">
        <v>490</v>
      </c>
      <c r="E21" s="18" t="n">
        <v>18.4527864</v>
      </c>
      <c r="F21" s="20" t="n">
        <v>1.5913597</v>
      </c>
      <c r="G21" s="18" t="n">
        <v>79.47752796</v>
      </c>
      <c r="H21" s="20" t="n">
        <v>1.64670261</v>
      </c>
      <c r="I21" s="18" t="s">
        <v>431</v>
      </c>
      <c r="J21" s="20" t="s">
        <v>431</v>
      </c>
      <c r="K21" s="18" t="n">
        <v>0</v>
      </c>
      <c r="L21" s="20" t="n">
        <v>0</v>
      </c>
      <c r="M21" s="18" t="n">
        <v>0</v>
      </c>
      <c r="N21" s="20" t="n">
        <v>0</v>
      </c>
      <c r="O21" s="18" t="n">
        <v>0</v>
      </c>
      <c r="P21" s="20" t="n">
        <v>0</v>
      </c>
      <c r="Q21" s="18" t="n">
        <v>2.06968564</v>
      </c>
      <c r="R21" s="20" t="n">
        <v>0.58135426</v>
      </c>
    </row>
    <row r="22" spans="1:18">
      <c r="A22" s="15" t="s">
        <v>446</v>
      </c>
      <c r="B22" s="17" t="n">
        <v>2931</v>
      </c>
      <c r="C22" s="18">
        <f>(2576.0/B22*100)</f>
        <v/>
      </c>
      <c r="D22" s="19" t="n">
        <v>355</v>
      </c>
      <c r="E22" s="18" t="n">
        <v>26.72448071</v>
      </c>
      <c r="F22" s="20" t="n">
        <v>3.38914654</v>
      </c>
      <c r="G22" s="18" t="n">
        <v>66.87684269</v>
      </c>
      <c r="H22" s="20" t="n">
        <v>3.36136458</v>
      </c>
      <c r="I22" s="18" t="s">
        <v>431</v>
      </c>
      <c r="J22" s="20" t="s">
        <v>431</v>
      </c>
      <c r="K22" s="18" t="n">
        <v>0.74722773</v>
      </c>
      <c r="L22" s="20" t="n">
        <v>0.38035401</v>
      </c>
      <c r="M22" s="18" t="n">
        <v>0</v>
      </c>
      <c r="N22" s="20" t="n">
        <v>0</v>
      </c>
      <c r="O22" s="18" t="n">
        <v>0</v>
      </c>
      <c r="P22" s="20" t="n">
        <v>0</v>
      </c>
      <c r="Q22" s="18" t="n">
        <v>5.65144887</v>
      </c>
      <c r="R22" s="20" t="n">
        <v>1.52784681</v>
      </c>
    </row>
    <row r="23" spans="1:18">
      <c r="A23" s="15" t="s">
        <v>447</v>
      </c>
      <c r="B23" s="17" t="n">
        <v>5791</v>
      </c>
      <c r="C23" s="18">
        <f>(5106.0/B23*100)</f>
        <v/>
      </c>
      <c r="D23" s="19" t="n">
        <v>685</v>
      </c>
      <c r="E23" s="18" t="n">
        <v>21.74311735</v>
      </c>
      <c r="F23" s="20" t="n">
        <v>2.0273573</v>
      </c>
      <c r="G23" s="18" t="n">
        <v>75.16821127999999</v>
      </c>
      <c r="H23" s="20" t="n">
        <v>2.20263769</v>
      </c>
      <c r="I23" s="18" t="s">
        <v>431</v>
      </c>
      <c r="J23" s="20" t="s">
        <v>431</v>
      </c>
      <c r="K23" s="18" t="n">
        <v>0.24070169</v>
      </c>
      <c r="L23" s="20" t="n">
        <v>0.23923506</v>
      </c>
      <c r="M23" s="18" t="n">
        <v>0</v>
      </c>
      <c r="N23" s="20" t="n">
        <v>0</v>
      </c>
      <c r="O23" s="18" t="n">
        <v>0</v>
      </c>
      <c r="P23" s="20" t="n">
        <v>0</v>
      </c>
      <c r="Q23" s="18" t="n">
        <v>2.84796969</v>
      </c>
      <c r="R23" s="20" t="n">
        <v>0.78185882</v>
      </c>
    </row>
    <row r="24" spans="1:18">
      <c r="A24" s="15" t="s">
        <v>448</v>
      </c>
      <c r="B24" s="17" t="n">
        <v>3338</v>
      </c>
      <c r="C24" s="18">
        <f>(2923.0/B24*100)</f>
        <v/>
      </c>
      <c r="D24" s="19" t="n">
        <v>415</v>
      </c>
      <c r="E24" s="18" t="n">
        <v>15.06827201</v>
      </c>
      <c r="F24" s="20" t="n">
        <v>1.59408956</v>
      </c>
      <c r="G24" s="18" t="n">
        <v>83.24120019</v>
      </c>
      <c r="H24" s="20" t="n">
        <v>1.74251185</v>
      </c>
      <c r="I24" s="18" t="s">
        <v>431</v>
      </c>
      <c r="J24" s="20" t="s">
        <v>431</v>
      </c>
      <c r="K24" s="18" t="n">
        <v>0</v>
      </c>
      <c r="L24" s="20" t="n">
        <v>0</v>
      </c>
      <c r="M24" s="18" t="n">
        <v>0</v>
      </c>
      <c r="N24" s="20" t="n">
        <v>0</v>
      </c>
      <c r="O24" s="18" t="n">
        <v>0</v>
      </c>
      <c r="P24" s="20" t="n">
        <v>0</v>
      </c>
      <c r="Q24" s="18" t="n">
        <v>1.6905278</v>
      </c>
      <c r="R24" s="20" t="n">
        <v>0.63033465</v>
      </c>
    </row>
    <row r="25" spans="1:18">
      <c r="A25" s="15" t="s">
        <v>449</v>
      </c>
      <c r="B25" s="17" t="n">
        <v>2912</v>
      </c>
      <c r="C25" s="18">
        <f>(2547.0/B25*100)</f>
        <v/>
      </c>
      <c r="D25" s="19" t="n">
        <v>365</v>
      </c>
      <c r="E25" s="18" t="n">
        <v>14.73553936</v>
      </c>
      <c r="F25" s="20" t="n">
        <v>1.86536452</v>
      </c>
      <c r="G25" s="18" t="n">
        <v>83.88558472</v>
      </c>
      <c r="H25" s="20" t="n">
        <v>1.9959727</v>
      </c>
      <c r="I25" s="18" t="s">
        <v>431</v>
      </c>
      <c r="J25" s="20" t="s">
        <v>431</v>
      </c>
      <c r="K25" s="18" t="n">
        <v>0</v>
      </c>
      <c r="L25" s="20" t="n">
        <v>0</v>
      </c>
      <c r="M25" s="18" t="n">
        <v>0</v>
      </c>
      <c r="N25" s="20" t="n">
        <v>0</v>
      </c>
      <c r="O25" s="18" t="n">
        <v>0</v>
      </c>
      <c r="P25" s="20" t="n">
        <v>0</v>
      </c>
      <c r="Q25" s="18" t="n">
        <v>1.37887592</v>
      </c>
      <c r="R25" s="20" t="n">
        <v>0.62079127</v>
      </c>
    </row>
    <row r="26" spans="1:18">
      <c r="A26" s="15" t="s">
        <v>450</v>
      </c>
      <c r="B26" s="17" t="n">
        <v>2450</v>
      </c>
      <c r="C26" s="18">
        <f>(2152.0/B26*100)</f>
        <v/>
      </c>
      <c r="D26" s="19" t="n">
        <v>298</v>
      </c>
      <c r="E26" s="18" t="n">
        <v>24.01247134</v>
      </c>
      <c r="F26" s="20" t="n">
        <v>2.33914316</v>
      </c>
      <c r="G26" s="18" t="n">
        <v>74.15192192000001</v>
      </c>
      <c r="H26" s="20" t="n">
        <v>2.4203501</v>
      </c>
      <c r="I26" s="18" t="s">
        <v>431</v>
      </c>
      <c r="J26" s="20" t="s">
        <v>431</v>
      </c>
      <c r="K26" s="18" t="n">
        <v>0</v>
      </c>
      <c r="L26" s="20" t="n">
        <v>0</v>
      </c>
      <c r="M26" s="18" t="n">
        <v>0</v>
      </c>
      <c r="N26" s="20" t="n">
        <v>0</v>
      </c>
      <c r="O26" s="18" t="n">
        <v>0</v>
      </c>
      <c r="P26" s="20" t="n">
        <v>0</v>
      </c>
      <c r="Q26" s="18" t="n">
        <v>1.83560675</v>
      </c>
      <c r="R26" s="20" t="n">
        <v>0.8664719400000001</v>
      </c>
    </row>
    <row r="27" spans="1:18">
      <c r="A27" s="15" t="s">
        <v>451</v>
      </c>
      <c r="B27" s="17" t="n">
        <v>2616</v>
      </c>
      <c r="C27" s="18">
        <f>(2287.0/B27*100)</f>
        <v/>
      </c>
      <c r="D27" s="19" t="n">
        <v>329</v>
      </c>
      <c r="E27" s="18" t="n">
        <v>26.81917798</v>
      </c>
      <c r="F27" s="20" t="n">
        <v>2.4016175</v>
      </c>
      <c r="G27" s="18" t="n">
        <v>69.17778005</v>
      </c>
      <c r="H27" s="20" t="n">
        <v>2.5311919</v>
      </c>
      <c r="I27" s="18" t="s">
        <v>431</v>
      </c>
      <c r="J27" s="20" t="s">
        <v>431</v>
      </c>
      <c r="K27" s="18" t="n">
        <v>0.30285656</v>
      </c>
      <c r="L27" s="20" t="n">
        <v>0.30530609</v>
      </c>
      <c r="M27" s="18" t="n">
        <v>0</v>
      </c>
      <c r="N27" s="20" t="n">
        <v>0</v>
      </c>
      <c r="O27" s="18" t="n">
        <v>0</v>
      </c>
      <c r="P27" s="20" t="n">
        <v>0</v>
      </c>
      <c r="Q27" s="18" t="n">
        <v>3.70018542</v>
      </c>
      <c r="R27" s="20" t="n">
        <v>1.03684798</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20.70994169</v>
      </c>
      <c r="F29" s="20" t="n">
        <v>2.54287842</v>
      </c>
      <c r="G29" s="18" t="n">
        <v>76.53472425</v>
      </c>
      <c r="H29" s="20" t="n">
        <v>2.60794289</v>
      </c>
      <c r="I29" s="18" t="s">
        <v>431</v>
      </c>
      <c r="J29" s="20" t="s">
        <v>431</v>
      </c>
      <c r="K29" s="18" t="n">
        <v>0.70136714</v>
      </c>
      <c r="L29" s="20" t="n">
        <v>0.50028068</v>
      </c>
      <c r="M29" s="18" t="n">
        <v>0</v>
      </c>
      <c r="N29" s="20" t="n">
        <v>0</v>
      </c>
      <c r="O29" s="18" t="n">
        <v>0</v>
      </c>
      <c r="P29" s="20" t="n">
        <v>0</v>
      </c>
      <c r="Q29" s="18" t="n">
        <v>2.05396692</v>
      </c>
      <c r="R29" s="20" t="n">
        <v>0.81293628</v>
      </c>
    </row>
    <row r="30" spans="1:18">
      <c r="A30" s="15" t="s">
        <v>454</v>
      </c>
      <c r="B30" s="17" t="n">
        <v>2263</v>
      </c>
      <c r="C30" s="18">
        <f>(1992.0/B30*100)</f>
        <v/>
      </c>
      <c r="D30" s="19" t="n">
        <v>271</v>
      </c>
      <c r="E30" s="18" t="n">
        <v>22.74915124</v>
      </c>
      <c r="F30" s="20" t="n">
        <v>2.7449051</v>
      </c>
      <c r="G30" s="18" t="n">
        <v>75.27299702000001</v>
      </c>
      <c r="H30" s="20" t="n">
        <v>2.8582399</v>
      </c>
      <c r="I30" s="18" t="s">
        <v>431</v>
      </c>
      <c r="J30" s="20" t="s">
        <v>431</v>
      </c>
      <c r="K30" s="18" t="n">
        <v>0</v>
      </c>
      <c r="L30" s="20" t="n">
        <v>0</v>
      </c>
      <c r="M30" s="18" t="n">
        <v>0</v>
      </c>
      <c r="N30" s="20" t="n">
        <v>0</v>
      </c>
      <c r="O30" s="18" t="n">
        <v>0</v>
      </c>
      <c r="P30" s="20" t="n">
        <v>0</v>
      </c>
      <c r="Q30" s="18" t="n">
        <v>1.97785175</v>
      </c>
      <c r="R30" s="20" t="n">
        <v>1.07380657</v>
      </c>
    </row>
    <row r="31" spans="1:18">
      <c r="A31" s="15" t="s">
        <v>455</v>
      </c>
      <c r="B31" s="17" t="n">
        <v>2750</v>
      </c>
      <c r="C31" s="18">
        <f>(2408.0/B31*100)</f>
        <v/>
      </c>
      <c r="D31" s="19" t="n">
        <v>342</v>
      </c>
      <c r="E31" s="18" t="n">
        <v>25.04267142</v>
      </c>
      <c r="F31" s="20" t="n">
        <v>2.20448547</v>
      </c>
      <c r="G31" s="18" t="n">
        <v>74.27348302999999</v>
      </c>
      <c r="H31" s="20" t="n">
        <v>2.2385094</v>
      </c>
      <c r="I31" s="18" t="s">
        <v>431</v>
      </c>
      <c r="J31" s="20" t="s">
        <v>431</v>
      </c>
      <c r="K31" s="18" t="n">
        <v>0</v>
      </c>
      <c r="L31" s="20" t="n">
        <v>0</v>
      </c>
      <c r="M31" s="18" t="n">
        <v>0</v>
      </c>
      <c r="N31" s="20" t="n">
        <v>0</v>
      </c>
      <c r="O31" s="18" t="n">
        <v>0</v>
      </c>
      <c r="P31" s="20" t="n">
        <v>0</v>
      </c>
      <c r="Q31" s="18" t="n">
        <v>0.68384555</v>
      </c>
      <c r="R31" s="20" t="n">
        <v>0.44443882</v>
      </c>
    </row>
    <row r="32" spans="1:18">
      <c r="A32" s="15" t="s">
        <v>456</v>
      </c>
      <c r="B32" s="17" t="n">
        <v>2269</v>
      </c>
      <c r="C32" s="18">
        <f>(1890.0/B32*100)</f>
        <v/>
      </c>
      <c r="D32" s="19" t="n">
        <v>379</v>
      </c>
      <c r="E32" s="18" t="n">
        <v>15.23490927</v>
      </c>
      <c r="F32" s="20" t="n">
        <v>1.87418807</v>
      </c>
      <c r="G32" s="18" t="n">
        <v>82.44842738</v>
      </c>
      <c r="H32" s="20" t="n">
        <v>2.11155335</v>
      </c>
      <c r="I32" s="18" t="s">
        <v>431</v>
      </c>
      <c r="J32" s="20" t="s">
        <v>431</v>
      </c>
      <c r="K32" s="18" t="n">
        <v>0.2725056</v>
      </c>
      <c r="L32" s="20" t="n">
        <v>0.23746833</v>
      </c>
      <c r="M32" s="18" t="n">
        <v>0</v>
      </c>
      <c r="N32" s="20" t="n">
        <v>0</v>
      </c>
      <c r="O32" s="18" t="n">
        <v>0</v>
      </c>
      <c r="P32" s="20" t="n">
        <v>0</v>
      </c>
      <c r="Q32" s="18" t="n">
        <v>2.04415775</v>
      </c>
      <c r="R32" s="20" t="n">
        <v>0.81077414</v>
      </c>
    </row>
    <row r="33" spans="1:18">
      <c r="A33" s="15" t="s">
        <v>457</v>
      </c>
      <c r="B33" s="17" t="n">
        <v>3674</v>
      </c>
      <c r="C33" s="18">
        <f>(3227.0/B33*100)</f>
        <v/>
      </c>
      <c r="D33" s="19" t="n">
        <v>447</v>
      </c>
      <c r="E33" s="18" t="n">
        <v>14.64231612</v>
      </c>
      <c r="F33" s="20" t="n">
        <v>2.283012</v>
      </c>
      <c r="G33" s="18" t="n">
        <v>83.77014312</v>
      </c>
      <c r="H33" s="20" t="n">
        <v>2.24121096</v>
      </c>
      <c r="I33" s="18" t="s">
        <v>431</v>
      </c>
      <c r="J33" s="20" t="s">
        <v>431</v>
      </c>
      <c r="K33" s="18" t="n">
        <v>0</v>
      </c>
      <c r="L33" s="20" t="n">
        <v>0</v>
      </c>
      <c r="M33" s="18" t="n">
        <v>0</v>
      </c>
      <c r="N33" s="20" t="n">
        <v>0</v>
      </c>
      <c r="O33" s="18" t="n">
        <v>0</v>
      </c>
      <c r="P33" s="20" t="n">
        <v>0</v>
      </c>
      <c r="Q33" s="18" t="n">
        <v>1.58754076</v>
      </c>
      <c r="R33" s="20" t="n">
        <v>0.64617118</v>
      </c>
    </row>
    <row r="34" spans="1:18">
      <c r="A34" s="15" t="s">
        <v>458</v>
      </c>
      <c r="B34" s="17" t="n">
        <v>3315</v>
      </c>
      <c r="C34" s="18">
        <f>(2912.0/B34*100)</f>
        <v/>
      </c>
      <c r="D34" s="19" t="n">
        <v>403</v>
      </c>
      <c r="E34" s="18" t="n">
        <v>24.28959054</v>
      </c>
      <c r="F34" s="20" t="n">
        <v>2.30387139</v>
      </c>
      <c r="G34" s="18" t="n">
        <v>71.70077692</v>
      </c>
      <c r="H34" s="20" t="n">
        <v>2.74493181</v>
      </c>
      <c r="I34" s="18" t="s">
        <v>431</v>
      </c>
      <c r="J34" s="20" t="s">
        <v>431</v>
      </c>
      <c r="K34" s="18" t="n">
        <v>0.19193332</v>
      </c>
      <c r="L34" s="20" t="n">
        <v>0.19106766</v>
      </c>
      <c r="M34" s="18" t="n">
        <v>0</v>
      </c>
      <c r="N34" s="20" t="n">
        <v>0</v>
      </c>
      <c r="O34" s="18" t="n">
        <v>0</v>
      </c>
      <c r="P34" s="20" t="n">
        <v>0</v>
      </c>
      <c r="Q34" s="18" t="n">
        <v>3.81769922</v>
      </c>
      <c r="R34" s="20" t="n">
        <v>1.13689543</v>
      </c>
    </row>
    <row r="35" spans="1:18">
      <c r="A35" s="15" t="s">
        <v>459</v>
      </c>
      <c r="B35" s="17" t="n">
        <v>3505</v>
      </c>
      <c r="C35" s="18">
        <f>(3083.0/B35*100)</f>
        <v/>
      </c>
      <c r="D35" s="19" t="n">
        <v>422</v>
      </c>
      <c r="E35" s="18" t="n">
        <v>17.54148069</v>
      </c>
      <c r="F35" s="20" t="n">
        <v>1.88874802</v>
      </c>
      <c r="G35" s="18" t="n">
        <v>81.64956639</v>
      </c>
      <c r="H35" s="20" t="n">
        <v>1.9001161</v>
      </c>
      <c r="I35" s="18" t="s">
        <v>431</v>
      </c>
      <c r="J35" s="20" t="s">
        <v>431</v>
      </c>
      <c r="K35" s="18" t="n">
        <v>0.13620103</v>
      </c>
      <c r="L35" s="20" t="n">
        <v>0.13467953</v>
      </c>
      <c r="M35" s="18" t="n">
        <v>0</v>
      </c>
      <c r="N35" s="20" t="n">
        <v>0</v>
      </c>
      <c r="O35" s="18" t="n">
        <v>0</v>
      </c>
      <c r="P35" s="20" t="n">
        <v>0</v>
      </c>
      <c r="Q35" s="18" t="n">
        <v>0.67275189</v>
      </c>
      <c r="R35" s="20" t="n">
        <v>0.23714622</v>
      </c>
    </row>
    <row r="36" spans="1:18">
      <c r="A36" s="15" t="s">
        <v>460</v>
      </c>
      <c r="B36" s="17" t="n">
        <v>3332</v>
      </c>
      <c r="C36" s="18">
        <f>(2913.0/B36*100)</f>
        <v/>
      </c>
      <c r="D36" s="19" t="n">
        <v>419</v>
      </c>
      <c r="E36" s="18" t="n">
        <v>17.52858825</v>
      </c>
      <c r="F36" s="20" t="n">
        <v>2.08125423</v>
      </c>
      <c r="G36" s="18" t="n">
        <v>80.39134516</v>
      </c>
      <c r="H36" s="20" t="n">
        <v>2.01450101</v>
      </c>
      <c r="I36" s="18" t="s">
        <v>431</v>
      </c>
      <c r="J36" s="20" t="s">
        <v>431</v>
      </c>
      <c r="K36" s="18" t="n">
        <v>0</v>
      </c>
      <c r="L36" s="20" t="n">
        <v>0</v>
      </c>
      <c r="M36" s="18" t="n">
        <v>0</v>
      </c>
      <c r="N36" s="20" t="n">
        <v>0</v>
      </c>
      <c r="O36" s="18" t="n">
        <v>0</v>
      </c>
      <c r="P36" s="20" t="n">
        <v>0</v>
      </c>
      <c r="Q36" s="18" t="n">
        <v>2.08006659</v>
      </c>
      <c r="R36" s="20" t="n">
        <v>0.70115795</v>
      </c>
    </row>
    <row r="37" spans="1:18">
      <c r="A37" s="15" t="s">
        <v>461</v>
      </c>
      <c r="B37" s="17" t="n">
        <v>2727</v>
      </c>
      <c r="C37" s="18">
        <f>(2384.0/B37*100)</f>
        <v/>
      </c>
      <c r="D37" s="19" t="n">
        <v>343</v>
      </c>
      <c r="E37" s="18" t="n">
        <v>17.95609459</v>
      </c>
      <c r="F37" s="20" t="n">
        <v>2.39744618</v>
      </c>
      <c r="G37" s="18" t="n">
        <v>77.46446528</v>
      </c>
      <c r="H37" s="20" t="n">
        <v>2.43293717</v>
      </c>
      <c r="I37" s="18" t="s">
        <v>431</v>
      </c>
      <c r="J37" s="20" t="s">
        <v>431</v>
      </c>
      <c r="K37" s="18" t="n">
        <v>0.34165437</v>
      </c>
      <c r="L37" s="20" t="n">
        <v>0.33737638</v>
      </c>
      <c r="M37" s="18" t="n">
        <v>0</v>
      </c>
      <c r="N37" s="20" t="n">
        <v>0</v>
      </c>
      <c r="O37" s="18" t="n">
        <v>0</v>
      </c>
      <c r="P37" s="20" t="n">
        <v>0</v>
      </c>
      <c r="Q37" s="18" t="n">
        <v>4.23778576</v>
      </c>
      <c r="R37" s="20" t="n">
        <v>1.09087624</v>
      </c>
    </row>
    <row r="38" spans="1:18">
      <c r="A38" s="15" t="s">
        <v>462</v>
      </c>
      <c r="B38" s="17" t="n">
        <v>3053</v>
      </c>
      <c r="C38" s="18">
        <f>(2508.0/B38*100)</f>
        <v/>
      </c>
      <c r="D38" s="19" t="n">
        <v>545</v>
      </c>
      <c r="E38" s="18" t="n">
        <v>20.67941037</v>
      </c>
      <c r="F38" s="20" t="n">
        <v>1.95957871</v>
      </c>
      <c r="G38" s="18" t="n">
        <v>76.66031964</v>
      </c>
      <c r="H38" s="20" t="n">
        <v>1.98344643</v>
      </c>
      <c r="I38" s="18" t="s">
        <v>431</v>
      </c>
      <c r="J38" s="20" t="s">
        <v>431</v>
      </c>
      <c r="K38" s="18" t="n">
        <v>0.17789475</v>
      </c>
      <c r="L38" s="20" t="n">
        <v>0.1779323</v>
      </c>
      <c r="M38" s="18" t="n">
        <v>0</v>
      </c>
      <c r="N38" s="20" t="n">
        <v>0</v>
      </c>
      <c r="O38" s="18" t="n">
        <v>0</v>
      </c>
      <c r="P38" s="20" t="n">
        <v>0</v>
      </c>
      <c r="Q38" s="18" t="n">
        <v>2.48237525</v>
      </c>
      <c r="R38" s="20" t="n">
        <v>0.60151227</v>
      </c>
    </row>
    <row r="39" spans="1:18">
      <c r="A39" s="15" t="s">
        <v>463</v>
      </c>
      <c r="B39" s="17" t="n">
        <v>2957</v>
      </c>
      <c r="C39" s="18">
        <f>(2585.0/B39*100)</f>
        <v/>
      </c>
      <c r="D39" s="19" t="n">
        <v>372</v>
      </c>
      <c r="E39" s="18" t="n">
        <v>37.33477081</v>
      </c>
      <c r="F39" s="20" t="n">
        <v>3.03463604</v>
      </c>
      <c r="G39" s="18" t="n">
        <v>60.09813363</v>
      </c>
      <c r="H39" s="20" t="n">
        <v>3.10106476</v>
      </c>
      <c r="I39" s="18" t="s">
        <v>431</v>
      </c>
      <c r="J39" s="20" t="s">
        <v>431</v>
      </c>
      <c r="K39" s="18" t="n">
        <v>0</v>
      </c>
      <c r="L39" s="20" t="n">
        <v>0</v>
      </c>
      <c r="M39" s="18" t="n">
        <v>0</v>
      </c>
      <c r="N39" s="20" t="n">
        <v>0</v>
      </c>
      <c r="O39" s="18" t="n">
        <v>0</v>
      </c>
      <c r="P39" s="20" t="n">
        <v>0</v>
      </c>
      <c r="Q39" s="18" t="n">
        <v>2.56709556</v>
      </c>
      <c r="R39" s="20" t="n">
        <v>0.88890147</v>
      </c>
    </row>
    <row r="40" spans="1:18">
      <c r="A40" s="15" t="s">
        <v>464</v>
      </c>
      <c r="B40" s="17" t="n">
        <v>7235</v>
      </c>
      <c r="C40" s="18">
        <f>(6333.0/B40*100)</f>
        <v/>
      </c>
      <c r="D40" s="19" t="n">
        <v>902</v>
      </c>
      <c r="E40" s="18" t="n">
        <v>22.66193613</v>
      </c>
      <c r="F40" s="20" t="n">
        <v>2.14662614</v>
      </c>
      <c r="G40" s="18" t="n">
        <v>74.76752075</v>
      </c>
      <c r="H40" s="20" t="n">
        <v>2.14752271</v>
      </c>
      <c r="I40" s="18" t="s">
        <v>431</v>
      </c>
      <c r="J40" s="20" t="s">
        <v>431</v>
      </c>
      <c r="K40" s="18" t="n">
        <v>0.04822503</v>
      </c>
      <c r="L40" s="20" t="n">
        <v>0.03999811</v>
      </c>
      <c r="M40" s="18" t="n">
        <v>0</v>
      </c>
      <c r="N40" s="20" t="n">
        <v>0</v>
      </c>
      <c r="O40" s="18" t="n">
        <v>0</v>
      </c>
      <c r="P40" s="20" t="n">
        <v>0</v>
      </c>
      <c r="Q40" s="18" t="n">
        <v>2.52231809</v>
      </c>
      <c r="R40" s="20" t="n">
        <v>0.679408</v>
      </c>
    </row>
    <row r="41" spans="1:18">
      <c r="A41" s="15" t="s">
        <v>465</v>
      </c>
      <c r="B41" s="17" t="n">
        <v>2858</v>
      </c>
      <c r="C41" s="18">
        <f>(2497.0/B41*100)</f>
        <v/>
      </c>
      <c r="D41" s="19" t="n">
        <v>361</v>
      </c>
      <c r="E41" s="18" t="n">
        <v>18.45468862</v>
      </c>
      <c r="F41" s="20" t="n">
        <v>1.77647892</v>
      </c>
      <c r="G41" s="18" t="n">
        <v>80.54530932</v>
      </c>
      <c r="H41" s="20" t="n">
        <v>1.82907486</v>
      </c>
      <c r="I41" s="18" t="s">
        <v>431</v>
      </c>
      <c r="J41" s="20" t="s">
        <v>431</v>
      </c>
      <c r="K41" s="18" t="n">
        <v>0</v>
      </c>
      <c r="L41" s="20" t="n">
        <v>0</v>
      </c>
      <c r="M41" s="18" t="n">
        <v>0</v>
      </c>
      <c r="N41" s="20" t="n">
        <v>0</v>
      </c>
      <c r="O41" s="18" t="n">
        <v>0</v>
      </c>
      <c r="P41" s="20" t="n">
        <v>0</v>
      </c>
      <c r="Q41" s="18" t="n">
        <v>1.00000207</v>
      </c>
      <c r="R41" s="20" t="n">
        <v>0.62242362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(4510.0/B48*100)</f>
        <v/>
      </c>
      <c r="D48" s="19" t="n">
        <v>649</v>
      </c>
      <c r="E48" s="18" t="n">
        <v>27.06167083</v>
      </c>
      <c r="F48" s="20" t="n">
        <v>2.08628671</v>
      </c>
      <c r="G48" s="18" t="n">
        <v>70.93962233000001</v>
      </c>
      <c r="H48" s="20" t="n">
        <v>2.04246956</v>
      </c>
      <c r="I48" s="18" t="s">
        <v>431</v>
      </c>
      <c r="J48" s="20" t="s">
        <v>431</v>
      </c>
      <c r="K48" s="18" t="n">
        <v>0.27346367</v>
      </c>
      <c r="L48" s="20" t="n">
        <v>0.28353373</v>
      </c>
      <c r="M48" s="18" t="n">
        <v>0</v>
      </c>
      <c r="N48" s="20" t="n">
        <v>0</v>
      </c>
      <c r="O48" s="18" t="n">
        <v>0</v>
      </c>
      <c r="P48" s="20" t="n">
        <v>0</v>
      </c>
      <c r="Q48" s="18" t="n">
        <v>1.72524317</v>
      </c>
      <c r="R48" s="20" t="n">
        <v>0.5792502</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(2453.0/B52*100)</f>
        <v/>
      </c>
      <c r="D52" s="19" t="n">
        <v>343</v>
      </c>
      <c r="E52" s="18" t="n">
        <v>33.74746099</v>
      </c>
      <c r="F52" s="20" t="n">
        <v>2.63381265</v>
      </c>
      <c r="G52" s="18" t="n">
        <v>62.28286101</v>
      </c>
      <c r="H52" s="20" t="n">
        <v>2.79011308</v>
      </c>
      <c r="I52" s="18" t="s">
        <v>431</v>
      </c>
      <c r="J52" s="20" t="s">
        <v>431</v>
      </c>
      <c r="K52" s="18" t="n">
        <v>0</v>
      </c>
      <c r="L52" s="20" t="n">
        <v>0</v>
      </c>
      <c r="M52" s="18" t="n">
        <v>0</v>
      </c>
      <c r="N52" s="20" t="n">
        <v>0</v>
      </c>
      <c r="O52" s="18" t="n">
        <v>0</v>
      </c>
      <c r="P52" s="20" t="n">
        <v>0</v>
      </c>
      <c r="Q52" s="18" t="n">
        <v>3.969678</v>
      </c>
      <c r="R52" s="20" t="n">
        <v>1.17284676</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17.83628079</v>
      </c>
      <c r="F56" s="20" t="n">
        <v>2.1786274</v>
      </c>
      <c r="G56" s="18" t="n">
        <v>80.99165107</v>
      </c>
      <c r="H56" s="20" t="n">
        <v>2.47975375</v>
      </c>
      <c r="I56" s="18" t="s">
        <v>431</v>
      </c>
      <c r="J56" s="20" t="s">
        <v>431</v>
      </c>
      <c r="K56" s="18" t="n">
        <v>0</v>
      </c>
      <c r="L56" s="20" t="n">
        <v>0</v>
      </c>
      <c r="M56" s="18" t="n">
        <v>0</v>
      </c>
      <c r="N56" s="20" t="n">
        <v>0</v>
      </c>
      <c r="O56" s="18" t="n">
        <v>0</v>
      </c>
      <c r="P56" s="20" t="n">
        <v>0</v>
      </c>
      <c r="Q56" s="18" t="n">
        <v>1.17206814</v>
      </c>
      <c r="R56" s="20" t="n">
        <v>0.70977248</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(2891.0/B61*100)</f>
        <v/>
      </c>
      <c r="D61" s="19" t="n">
        <v>433</v>
      </c>
      <c r="E61" s="18" t="n">
        <v>26.71615466</v>
      </c>
      <c r="F61" s="20" t="n">
        <v>2.58147747</v>
      </c>
      <c r="G61" s="18" t="n">
        <v>70.84817151</v>
      </c>
      <c r="H61" s="20" t="n">
        <v>2.56058381</v>
      </c>
      <c r="I61" s="18" t="s">
        <v>431</v>
      </c>
      <c r="J61" s="20" t="s">
        <v>431</v>
      </c>
      <c r="K61" s="18" t="n">
        <v>0</v>
      </c>
      <c r="L61" s="20" t="n">
        <v>0</v>
      </c>
      <c r="M61" s="18" t="n">
        <v>0</v>
      </c>
      <c r="N61" s="20" t="n">
        <v>0</v>
      </c>
      <c r="O61" s="18" t="n">
        <v>0</v>
      </c>
      <c r="P61" s="20" t="n">
        <v>0</v>
      </c>
      <c r="Q61" s="18" t="n">
        <v>2.43567383</v>
      </c>
      <c r="R61" s="20" t="n">
        <v>0.78949846</v>
      </c>
    </row>
    <row r="62" spans="1:18">
      <c r="A62" s="15" t="s">
        <v>486</v>
      </c>
      <c r="B62" s="17" t="n">
        <v>2246</v>
      </c>
      <c r="C62" s="18">
        <f>(1963.0/B62*100)</f>
        <v/>
      </c>
      <c r="D62" s="19" t="n">
        <v>283</v>
      </c>
      <c r="E62" s="18" t="n">
        <v>16.64553746</v>
      </c>
      <c r="F62" s="20" t="n">
        <v>2.54071916</v>
      </c>
      <c r="G62" s="18" t="n">
        <v>81.93850506</v>
      </c>
      <c r="H62" s="20" t="n">
        <v>2.61186402</v>
      </c>
      <c r="I62" s="18" t="s">
        <v>431</v>
      </c>
      <c r="J62" s="20" t="s">
        <v>431</v>
      </c>
      <c r="K62" s="18" t="n">
        <v>0.3630653</v>
      </c>
      <c r="L62" s="20" t="n">
        <v>0.36152681</v>
      </c>
      <c r="M62" s="18" t="n">
        <v>0</v>
      </c>
      <c r="N62" s="20" t="n">
        <v>0</v>
      </c>
      <c r="O62" s="18" t="n">
        <v>0</v>
      </c>
      <c r="P62" s="20" t="n">
        <v>0</v>
      </c>
      <c r="Q62" s="18" t="n">
        <v>1.05289218</v>
      </c>
      <c r="R62" s="20" t="n">
        <v>0.60880925</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(2549.0/B66*100)</f>
        <v/>
      </c>
      <c r="D66" s="19" t="n">
        <v>345</v>
      </c>
      <c r="E66" s="18" t="n">
        <v>27.83906993</v>
      </c>
      <c r="F66" s="20" t="n">
        <v>2.71722002</v>
      </c>
      <c r="G66" s="18" t="n">
        <v>58.19347702</v>
      </c>
      <c r="H66" s="20" t="n">
        <v>2.88539213</v>
      </c>
      <c r="I66" s="18" t="s">
        <v>431</v>
      </c>
      <c r="J66" s="20" t="s">
        <v>431</v>
      </c>
      <c r="K66" s="18" t="n">
        <v>0.85163467</v>
      </c>
      <c r="L66" s="20" t="n">
        <v>0.50181485</v>
      </c>
      <c r="M66" s="18" t="n">
        <v>0</v>
      </c>
      <c r="N66" s="20" t="n">
        <v>0</v>
      </c>
      <c r="O66" s="18" t="n">
        <v>0</v>
      </c>
      <c r="P66" s="20" t="n">
        <v>0</v>
      </c>
      <c r="Q66" s="18" t="n">
        <v>13.11581837</v>
      </c>
      <c r="R66" s="20" t="n">
        <v>1.90089181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(2575.0/B70*100)</f>
        <v/>
      </c>
      <c r="D70" s="19" t="n">
        <v>354</v>
      </c>
      <c r="E70" s="18" t="n">
        <v>22.0486908</v>
      </c>
      <c r="F70" s="20" t="n">
        <v>2.63327201</v>
      </c>
      <c r="G70" s="18" t="n">
        <v>75.80925173</v>
      </c>
      <c r="H70" s="20" t="n">
        <v>2.78182139</v>
      </c>
      <c r="I70" s="18" t="s">
        <v>431</v>
      </c>
      <c r="J70" s="20" t="s">
        <v>431</v>
      </c>
      <c r="K70" s="18" t="n">
        <v>0.23629908</v>
      </c>
      <c r="L70" s="20" t="n">
        <v>0.33525562</v>
      </c>
      <c r="M70" s="18" t="n">
        <v>0</v>
      </c>
      <c r="N70" s="20" t="n">
        <v>0</v>
      </c>
      <c r="O70" s="18" t="n">
        <v>0</v>
      </c>
      <c r="P70" s="20" t="n">
        <v>0</v>
      </c>
      <c r="Q70" s="18" t="n">
        <v>1.90575839</v>
      </c>
      <c r="R70" s="20" t="n">
        <v>0.79156678</v>
      </c>
    </row>
    <row r="71" spans="1:18">
      <c r="A71" s="15" t="s">
        <v>495</v>
      </c>
      <c r="B71" s="17" t="n">
        <v>3142</v>
      </c>
      <c r="C71" s="18">
        <f>(2763.0/B71*100)</f>
        <v/>
      </c>
      <c r="D71" s="19" t="n">
        <v>379</v>
      </c>
      <c r="E71" s="18" t="n">
        <v>17.68545374</v>
      </c>
      <c r="F71" s="20" t="n">
        <v>1.91541157</v>
      </c>
      <c r="G71" s="18" t="n">
        <v>81.09604034</v>
      </c>
      <c r="H71" s="20" t="n">
        <v>2.02811802</v>
      </c>
      <c r="I71" s="18" t="s">
        <v>431</v>
      </c>
      <c r="J71" s="20" t="s">
        <v>431</v>
      </c>
      <c r="K71" s="18" t="n">
        <v>0.48518651</v>
      </c>
      <c r="L71" s="20" t="n">
        <v>0.34179447</v>
      </c>
      <c r="M71" s="18" t="n">
        <v>0</v>
      </c>
      <c r="N71" s="20" t="n">
        <v>0</v>
      </c>
      <c r="O71" s="18" t="n">
        <v>0</v>
      </c>
      <c r="P71" s="20" t="n">
        <v>0</v>
      </c>
      <c r="Q71" s="18" t="n">
        <v>0.7333194200000001</v>
      </c>
      <c r="R71" s="20" t="n">
        <v>0.41855685</v>
      </c>
    </row>
    <row r="72" spans="1:18">
      <c r="A72" s="15" t="s">
        <v>496</v>
      </c>
      <c r="B72" s="17" t="n">
        <v>3889</v>
      </c>
      <c r="C72" s="18">
        <f>(3414.0/B72*100)</f>
        <v/>
      </c>
      <c r="D72" s="19" t="n">
        <v>475</v>
      </c>
      <c r="E72" s="18" t="n">
        <v>25.67744986</v>
      </c>
      <c r="F72" s="20" t="n">
        <v>2.10279753</v>
      </c>
      <c r="G72" s="18" t="n">
        <v>71.29783672000001</v>
      </c>
      <c r="H72" s="20" t="n">
        <v>2.40658425</v>
      </c>
      <c r="I72" s="18" t="s">
        <v>431</v>
      </c>
      <c r="J72" s="20" t="s">
        <v>431</v>
      </c>
      <c r="K72" s="18" t="n">
        <v>0.16507679</v>
      </c>
      <c r="L72" s="20" t="n">
        <v>0.16561767</v>
      </c>
      <c r="M72" s="18" t="n">
        <v>0</v>
      </c>
      <c r="N72" s="20" t="n">
        <v>0</v>
      </c>
      <c r="O72" s="18" t="n">
        <v>0</v>
      </c>
      <c r="P72" s="20" t="n">
        <v>0</v>
      </c>
      <c r="Q72" s="18" t="n">
        <v>2.85963662</v>
      </c>
      <c r="R72" s="20" t="n">
        <v>0.7564272</v>
      </c>
    </row>
    <row r="73" spans="1:18">
      <c r="A73" s="15" t="s">
        <v>497</v>
      </c>
      <c r="B73" s="17" t="n">
        <v>3597</v>
      </c>
      <c r="C73" s="18">
        <f>(3142.0/B73*100)</f>
        <v/>
      </c>
      <c r="D73" s="19" t="n">
        <v>455</v>
      </c>
      <c r="E73" s="18" t="n">
        <v>35.79753876</v>
      </c>
      <c r="F73" s="20" t="n">
        <v>3.1439102</v>
      </c>
      <c r="G73" s="18" t="n">
        <v>62.31722457</v>
      </c>
      <c r="H73" s="20" t="n">
        <v>3.2725551</v>
      </c>
      <c r="I73" s="18" t="s">
        <v>431</v>
      </c>
      <c r="J73" s="20" t="s">
        <v>431</v>
      </c>
      <c r="K73" s="18" t="n">
        <v>0</v>
      </c>
      <c r="L73" s="20" t="n">
        <v>0</v>
      </c>
      <c r="M73" s="18" t="n">
        <v>0</v>
      </c>
      <c r="N73" s="20" t="n">
        <v>0</v>
      </c>
      <c r="O73" s="18" t="n">
        <v>0</v>
      </c>
      <c r="P73" s="20" t="n">
        <v>0</v>
      </c>
      <c r="Q73" s="18" t="n">
        <v>1.88523667</v>
      </c>
      <c r="R73" s="20" t="n">
        <v>0.76468846</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(6435.0/B7*100)</f>
        <v/>
      </c>
      <c r="D7" s="19" t="n">
        <v>932</v>
      </c>
      <c r="E7" s="18" t="n">
        <v>29.90642893</v>
      </c>
      <c r="F7" s="20" t="n">
        <v>1.77820872</v>
      </c>
      <c r="G7" s="18" t="n">
        <v>68.38180996</v>
      </c>
      <c r="H7" s="20" t="n">
        <v>1.81607798</v>
      </c>
      <c r="I7" s="18" t="s">
        <v>431</v>
      </c>
      <c r="J7" s="20" t="s">
        <v>431</v>
      </c>
      <c r="K7" s="18" t="n">
        <v>0.07781275</v>
      </c>
      <c r="L7" s="20" t="n">
        <v>0.04885486</v>
      </c>
      <c r="M7" s="18" t="n">
        <v>0</v>
      </c>
      <c r="N7" s="20" t="n">
        <v>0</v>
      </c>
      <c r="O7" s="18" t="n">
        <v>0</v>
      </c>
      <c r="P7" s="20" t="n">
        <v>0</v>
      </c>
      <c r="Q7" s="18" t="n">
        <v>1.63394836</v>
      </c>
      <c r="R7" s="20" t="n">
        <v>0.4294351</v>
      </c>
    </row>
    <row r="8" spans="1:18">
      <c r="A8" s="15" t="s">
        <v>432</v>
      </c>
      <c r="B8" s="17" t="n">
        <v>3564</v>
      </c>
      <c r="C8" s="18">
        <f>(3144.0/B8*100)</f>
        <v/>
      </c>
      <c r="D8" s="19" t="n">
        <v>420</v>
      </c>
      <c r="E8" s="18" t="n">
        <v>30.90154492</v>
      </c>
      <c r="F8" s="20" t="n">
        <v>2.36940313</v>
      </c>
      <c r="G8" s="18" t="n">
        <v>67.20685228000001</v>
      </c>
      <c r="H8" s="20" t="n">
        <v>2.39454634</v>
      </c>
      <c r="I8" s="18" t="s">
        <v>431</v>
      </c>
      <c r="J8" s="20" t="s">
        <v>431</v>
      </c>
      <c r="K8" s="18" t="n">
        <v>0</v>
      </c>
      <c r="L8" s="20" t="n">
        <v>0</v>
      </c>
      <c r="M8" s="18" t="n">
        <v>0</v>
      </c>
      <c r="N8" s="20" t="n">
        <v>0</v>
      </c>
      <c r="O8" s="18" t="n">
        <v>0</v>
      </c>
      <c r="P8" s="20" t="n">
        <v>0</v>
      </c>
      <c r="Q8" s="18" t="n">
        <v>1.8916028</v>
      </c>
      <c r="R8" s="20" t="n">
        <v>0.62164253</v>
      </c>
    </row>
    <row r="9" spans="1:18">
      <c r="A9" s="15" t="s">
        <v>433</v>
      </c>
      <c r="B9" s="17" t="n">
        <v>4899</v>
      </c>
      <c r="C9" s="18">
        <f>(4293.0/B9*100)</f>
        <v/>
      </c>
      <c r="D9" s="19" t="n">
        <v>606</v>
      </c>
      <c r="E9" s="18" t="n">
        <v>21.62547827</v>
      </c>
      <c r="F9" s="20" t="n">
        <v>1.54941335</v>
      </c>
      <c r="G9" s="18" t="n">
        <v>77.25095147</v>
      </c>
      <c r="H9" s="20" t="n">
        <v>1.64690654</v>
      </c>
      <c r="I9" s="18" t="s">
        <v>431</v>
      </c>
      <c r="J9" s="20" t="s">
        <v>431</v>
      </c>
      <c r="K9" s="18" t="n">
        <v>0</v>
      </c>
      <c r="L9" s="20" t="n">
        <v>0</v>
      </c>
      <c r="M9" s="18" t="n">
        <v>0</v>
      </c>
      <c r="N9" s="20" t="n">
        <v>0</v>
      </c>
      <c r="O9" s="18" t="n">
        <v>0</v>
      </c>
      <c r="P9" s="20" t="n">
        <v>0</v>
      </c>
      <c r="Q9" s="18" t="n">
        <v>1.12357025</v>
      </c>
      <c r="R9" s="20" t="n">
        <v>0.49743242</v>
      </c>
    </row>
    <row r="10" spans="1:18">
      <c r="A10" s="15" t="s">
        <v>434</v>
      </c>
      <c r="B10" s="17" t="n">
        <v>10036</v>
      </c>
      <c r="C10" s="18">
        <f>(8825.0/B10*100)</f>
        <v/>
      </c>
      <c r="D10" s="19" t="n">
        <v>1211</v>
      </c>
      <c r="E10" s="18" t="n">
        <v>25.67536323</v>
      </c>
      <c r="F10" s="20" t="n">
        <v>1.86774953</v>
      </c>
      <c r="G10" s="18" t="n">
        <v>73.09897207</v>
      </c>
      <c r="H10" s="20" t="n">
        <v>1.99857837</v>
      </c>
      <c r="I10" s="18" t="s">
        <v>431</v>
      </c>
      <c r="J10" s="20" t="s">
        <v>431</v>
      </c>
      <c r="K10" s="18" t="n">
        <v>0.3148059</v>
      </c>
      <c r="L10" s="20" t="n">
        <v>0.27804456</v>
      </c>
      <c r="M10" s="18" t="n">
        <v>0</v>
      </c>
      <c r="N10" s="20" t="n">
        <v>0</v>
      </c>
      <c r="O10" s="18" t="n">
        <v>0</v>
      </c>
      <c r="P10" s="20" t="n">
        <v>0</v>
      </c>
      <c r="Q10" s="18" t="n">
        <v>0.91085881</v>
      </c>
      <c r="R10" s="20" t="n">
        <v>0.39068419</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(3039.0/B12*100)</f>
        <v/>
      </c>
      <c r="D12" s="19" t="n">
        <v>433</v>
      </c>
      <c r="E12" s="18" t="n">
        <v>28.00159</v>
      </c>
      <c r="F12" s="20" t="n">
        <v>2.02281897</v>
      </c>
      <c r="G12" s="18" t="n">
        <v>71.39948705</v>
      </c>
      <c r="H12" s="20" t="n">
        <v>2.02352514</v>
      </c>
      <c r="I12" s="18" t="s">
        <v>431</v>
      </c>
      <c r="J12" s="20" t="s">
        <v>431</v>
      </c>
      <c r="K12" s="18" t="n">
        <v>0</v>
      </c>
      <c r="L12" s="20" t="n">
        <v>0</v>
      </c>
      <c r="M12" s="18" t="n">
        <v>0</v>
      </c>
      <c r="N12" s="20" t="n">
        <v>0</v>
      </c>
      <c r="O12" s="18" t="n">
        <v>0</v>
      </c>
      <c r="P12" s="20" t="n">
        <v>0</v>
      </c>
      <c r="Q12" s="18" t="n">
        <v>0.59892295</v>
      </c>
      <c r="R12" s="20" t="n">
        <v>0.31464359</v>
      </c>
    </row>
    <row r="13" spans="1:18">
      <c r="A13" s="15" t="s">
        <v>437</v>
      </c>
      <c r="B13" s="17" t="n">
        <v>3559</v>
      </c>
      <c r="C13" s="18">
        <f>(3139.0/B13*100)</f>
        <v/>
      </c>
      <c r="D13" s="19" t="n">
        <v>420</v>
      </c>
      <c r="E13" s="18" t="n">
        <v>25.67074677</v>
      </c>
      <c r="F13" s="20" t="n">
        <v>2.79856767</v>
      </c>
      <c r="G13" s="18" t="n">
        <v>73.72191577</v>
      </c>
      <c r="H13" s="20" t="n">
        <v>2.73802906</v>
      </c>
      <c r="I13" s="18" t="s">
        <v>431</v>
      </c>
      <c r="J13" s="20" t="s">
        <v>431</v>
      </c>
      <c r="K13" s="18" t="n">
        <v>0.14323886</v>
      </c>
      <c r="L13" s="20" t="n">
        <v>0.14704399</v>
      </c>
      <c r="M13" s="18" t="n">
        <v>0</v>
      </c>
      <c r="N13" s="20" t="n">
        <v>0</v>
      </c>
      <c r="O13" s="18" t="n">
        <v>0</v>
      </c>
      <c r="P13" s="20" t="n">
        <v>0</v>
      </c>
      <c r="Q13" s="18" t="n">
        <v>0.4640986</v>
      </c>
      <c r="R13" s="20" t="n">
        <v>0.25050038</v>
      </c>
    </row>
    <row r="14" spans="1:18">
      <c r="A14" s="15" t="s">
        <v>438</v>
      </c>
      <c r="B14" s="17" t="n">
        <v>2799</v>
      </c>
      <c r="C14" s="18">
        <f>(2450.0/B14*100)</f>
        <v/>
      </c>
      <c r="D14" s="19" t="n">
        <v>349</v>
      </c>
      <c r="E14" s="18" t="n">
        <v>23.89024293</v>
      </c>
      <c r="F14" s="20" t="n">
        <v>2.50534838</v>
      </c>
      <c r="G14" s="18" t="n">
        <v>75.64380082</v>
      </c>
      <c r="H14" s="20" t="n">
        <v>2.49183168</v>
      </c>
      <c r="I14" s="18" t="s">
        <v>431</v>
      </c>
      <c r="J14" s="20" t="s">
        <v>431</v>
      </c>
      <c r="K14" s="18" t="n">
        <v>0</v>
      </c>
      <c r="L14" s="20" t="n">
        <v>0</v>
      </c>
      <c r="M14" s="18" t="n">
        <v>0</v>
      </c>
      <c r="N14" s="20" t="n">
        <v>0</v>
      </c>
      <c r="O14" s="18" t="n">
        <v>0</v>
      </c>
      <c r="P14" s="20" t="n">
        <v>0</v>
      </c>
      <c r="Q14" s="18" t="n">
        <v>0.46595625</v>
      </c>
      <c r="R14" s="20" t="n">
        <v>0.33863871</v>
      </c>
    </row>
    <row r="15" spans="1:18">
      <c r="A15" s="15" t="s">
        <v>439</v>
      </c>
      <c r="B15" s="17" t="n">
        <v>3019</v>
      </c>
      <c r="C15" s="18">
        <f>(2640.0/B15*100)</f>
        <v/>
      </c>
      <c r="D15" s="19" t="n">
        <v>379</v>
      </c>
      <c r="E15" s="18" t="n">
        <v>32.15058929</v>
      </c>
      <c r="F15" s="20" t="n">
        <v>2.22377616</v>
      </c>
      <c r="G15" s="18" t="n">
        <v>65.81098067000001</v>
      </c>
      <c r="H15" s="20" t="n">
        <v>2.21368095</v>
      </c>
      <c r="I15" s="18" t="s">
        <v>431</v>
      </c>
      <c r="J15" s="20" t="s">
        <v>431</v>
      </c>
      <c r="K15" s="18" t="n">
        <v>0.7549755</v>
      </c>
      <c r="L15" s="20" t="n">
        <v>0.44086105</v>
      </c>
      <c r="M15" s="18" t="n">
        <v>0</v>
      </c>
      <c r="N15" s="20" t="n">
        <v>0</v>
      </c>
      <c r="O15" s="18" t="n">
        <v>0</v>
      </c>
      <c r="P15" s="20" t="n">
        <v>0</v>
      </c>
      <c r="Q15" s="18" t="n">
        <v>1.28345454</v>
      </c>
      <c r="R15" s="20" t="n">
        <v>0.58617631</v>
      </c>
    </row>
    <row r="16" spans="1:18">
      <c r="A16" s="15" t="s">
        <v>440</v>
      </c>
      <c r="B16" s="17" t="n">
        <v>2997</v>
      </c>
      <c r="C16" s="18">
        <f>(2613.0/B16*100)</f>
        <v/>
      </c>
      <c r="D16" s="19" t="n">
        <v>384</v>
      </c>
      <c r="E16" s="18" t="n">
        <v>25.44823414</v>
      </c>
      <c r="F16" s="20" t="n">
        <v>2.40785646</v>
      </c>
      <c r="G16" s="18" t="n">
        <v>72.3008537</v>
      </c>
      <c r="H16" s="20" t="n">
        <v>2.27552685</v>
      </c>
      <c r="I16" s="18" t="s">
        <v>431</v>
      </c>
      <c r="J16" s="20" t="s">
        <v>431</v>
      </c>
      <c r="K16" s="18" t="n">
        <v>0.89934682</v>
      </c>
      <c r="L16" s="20" t="n">
        <v>0.5178935</v>
      </c>
      <c r="M16" s="18" t="n">
        <v>0</v>
      </c>
      <c r="N16" s="20" t="n">
        <v>0</v>
      </c>
      <c r="O16" s="18" t="n">
        <v>0</v>
      </c>
      <c r="P16" s="20" t="n">
        <v>0</v>
      </c>
      <c r="Q16" s="18" t="n">
        <v>1.35156535</v>
      </c>
      <c r="R16" s="20" t="n">
        <v>0.59326629</v>
      </c>
    </row>
    <row r="17" spans="1:18">
      <c r="A17" s="15" t="s">
        <v>441</v>
      </c>
      <c r="B17" s="17" t="n">
        <v>3307</v>
      </c>
      <c r="C17" s="18">
        <f>(2907.0/B17*100)</f>
        <v/>
      </c>
      <c r="D17" s="19" t="n">
        <v>400</v>
      </c>
      <c r="E17" s="18" t="n">
        <v>27.09527975</v>
      </c>
      <c r="F17" s="20" t="n">
        <v>2.6073837</v>
      </c>
      <c r="G17" s="18" t="n">
        <v>72.28056128999999</v>
      </c>
      <c r="H17" s="20" t="n">
        <v>2.59126453</v>
      </c>
      <c r="I17" s="18" t="s">
        <v>431</v>
      </c>
      <c r="J17" s="20" t="s">
        <v>431</v>
      </c>
      <c r="K17" s="18" t="n">
        <v>0.31737101</v>
      </c>
      <c r="L17" s="20" t="n">
        <v>0.30738941</v>
      </c>
      <c r="M17" s="18" t="n">
        <v>0</v>
      </c>
      <c r="N17" s="20" t="n">
        <v>0</v>
      </c>
      <c r="O17" s="18" t="n">
        <v>0</v>
      </c>
      <c r="P17" s="20" t="n">
        <v>0</v>
      </c>
      <c r="Q17" s="18" t="n">
        <v>0.30678795</v>
      </c>
      <c r="R17" s="20" t="n">
        <v>0.42891584</v>
      </c>
    </row>
    <row r="18" spans="1:18">
      <c r="A18" s="15" t="s">
        <v>442</v>
      </c>
      <c r="B18" s="17" t="n">
        <v>2826</v>
      </c>
      <c r="C18" s="18">
        <f>(2473.0/B18*100)</f>
        <v/>
      </c>
      <c r="D18" s="19" t="n">
        <v>353</v>
      </c>
      <c r="E18" s="18" t="n">
        <v>33.23017976</v>
      </c>
      <c r="F18" s="20" t="n">
        <v>2.70336449</v>
      </c>
      <c r="G18" s="18" t="n">
        <v>63.70104055</v>
      </c>
      <c r="H18" s="20" t="n">
        <v>2.73969686</v>
      </c>
      <c r="I18" s="18" t="s">
        <v>431</v>
      </c>
      <c r="J18" s="20" t="s">
        <v>431</v>
      </c>
      <c r="K18" s="18" t="n">
        <v>0</v>
      </c>
      <c r="L18" s="20" t="n">
        <v>0</v>
      </c>
      <c r="M18" s="18" t="n">
        <v>0</v>
      </c>
      <c r="N18" s="20" t="n">
        <v>0</v>
      </c>
      <c r="O18" s="18" t="n">
        <v>0</v>
      </c>
      <c r="P18" s="20" t="n">
        <v>0</v>
      </c>
      <c r="Q18" s="18" t="n">
        <v>3.06877969</v>
      </c>
      <c r="R18" s="20" t="n">
        <v>1.30979992</v>
      </c>
    </row>
    <row r="19" spans="1:18">
      <c r="A19" s="15" t="s">
        <v>443</v>
      </c>
      <c r="B19" s="17" t="n">
        <v>2808</v>
      </c>
      <c r="C19" s="18">
        <f>(2460.0/B19*100)</f>
        <v/>
      </c>
      <c r="D19" s="19" t="n">
        <v>348</v>
      </c>
      <c r="E19" s="18" t="n">
        <v>41.76268905</v>
      </c>
      <c r="F19" s="20" t="n">
        <v>2.46654825</v>
      </c>
      <c r="G19" s="18" t="n">
        <v>56.82349315</v>
      </c>
      <c r="H19" s="20" t="n">
        <v>2.5346275</v>
      </c>
      <c r="I19" s="18" t="s">
        <v>431</v>
      </c>
      <c r="J19" s="20" t="s">
        <v>431</v>
      </c>
      <c r="K19" s="18" t="n">
        <v>0</v>
      </c>
      <c r="L19" s="20" t="n">
        <v>0</v>
      </c>
      <c r="M19" s="18" t="n">
        <v>0</v>
      </c>
      <c r="N19" s="20" t="n">
        <v>0</v>
      </c>
      <c r="O19" s="18" t="n">
        <v>0</v>
      </c>
      <c r="P19" s="20" t="n">
        <v>0</v>
      </c>
      <c r="Q19" s="18" t="n">
        <v>1.41381781</v>
      </c>
      <c r="R19" s="20" t="n">
        <v>0.87745072</v>
      </c>
    </row>
    <row r="20" spans="1:18">
      <c r="A20" s="15" t="s">
        <v>444</v>
      </c>
      <c r="B20" s="17" t="n">
        <v>1630</v>
      </c>
      <c r="C20" s="18">
        <f>(1438.0/B20*100)</f>
        <v/>
      </c>
      <c r="D20" s="19" t="n">
        <v>192</v>
      </c>
      <c r="E20" s="18" t="n">
        <v>29.32720243</v>
      </c>
      <c r="F20" s="20" t="n">
        <v>3.34786538</v>
      </c>
      <c r="G20" s="18" t="n">
        <v>70.2037237</v>
      </c>
      <c r="H20" s="20" t="n">
        <v>3.28918034</v>
      </c>
      <c r="I20" s="18" t="s">
        <v>431</v>
      </c>
      <c r="J20" s="20" t="s">
        <v>431</v>
      </c>
      <c r="K20" s="18" t="n">
        <v>0</v>
      </c>
      <c r="L20" s="20" t="n">
        <v>0</v>
      </c>
      <c r="M20" s="18" t="n">
        <v>0</v>
      </c>
      <c r="N20" s="20" t="n">
        <v>0</v>
      </c>
      <c r="O20" s="18" t="n">
        <v>0</v>
      </c>
      <c r="P20" s="20" t="n">
        <v>0</v>
      </c>
      <c r="Q20" s="18" t="n">
        <v>0.46907387</v>
      </c>
      <c r="R20" s="20" t="n">
        <v>0.46753532</v>
      </c>
    </row>
    <row r="21" spans="1:18">
      <c r="A21" s="15" t="s">
        <v>445</v>
      </c>
      <c r="B21" s="17" t="n">
        <v>2908</v>
      </c>
      <c r="C21" s="18">
        <f>(2418.0/B21*100)</f>
        <v/>
      </c>
      <c r="D21" s="19" t="n">
        <v>490</v>
      </c>
      <c r="E21" s="18" t="n">
        <v>26.80185586</v>
      </c>
      <c r="F21" s="20" t="n">
        <v>2.1046121</v>
      </c>
      <c r="G21" s="18" t="n">
        <v>72.36665787</v>
      </c>
      <c r="H21" s="20" t="n">
        <v>2.18845806</v>
      </c>
      <c r="I21" s="18" t="s">
        <v>431</v>
      </c>
      <c r="J21" s="20" t="s">
        <v>431</v>
      </c>
      <c r="K21" s="18" t="n">
        <v>0</v>
      </c>
      <c r="L21" s="20" t="n">
        <v>0</v>
      </c>
      <c r="M21" s="18" t="n">
        <v>0</v>
      </c>
      <c r="N21" s="20" t="n">
        <v>0</v>
      </c>
      <c r="O21" s="18" t="n">
        <v>0</v>
      </c>
      <c r="P21" s="20" t="n">
        <v>0</v>
      </c>
      <c r="Q21" s="18" t="n">
        <v>0.83148627</v>
      </c>
      <c r="R21" s="20" t="n">
        <v>0.40161212</v>
      </c>
    </row>
    <row r="22" spans="1:18">
      <c r="A22" s="15" t="s">
        <v>446</v>
      </c>
      <c r="B22" s="17" t="n">
        <v>2931</v>
      </c>
      <c r="C22" s="18">
        <f>(2576.0/B22*100)</f>
        <v/>
      </c>
      <c r="D22" s="19" t="n">
        <v>355</v>
      </c>
      <c r="E22" s="18" t="n">
        <v>25.19816274</v>
      </c>
      <c r="F22" s="20" t="n">
        <v>2.66501434</v>
      </c>
      <c r="G22" s="18" t="n">
        <v>69.05050287</v>
      </c>
      <c r="H22" s="20" t="n">
        <v>2.84863376</v>
      </c>
      <c r="I22" s="18" t="s">
        <v>431</v>
      </c>
      <c r="J22" s="20" t="s">
        <v>431</v>
      </c>
      <c r="K22" s="18" t="n">
        <v>0.74722773</v>
      </c>
      <c r="L22" s="20" t="n">
        <v>0.38035401</v>
      </c>
      <c r="M22" s="18" t="n">
        <v>0</v>
      </c>
      <c r="N22" s="20" t="n">
        <v>0</v>
      </c>
      <c r="O22" s="18" t="n">
        <v>0</v>
      </c>
      <c r="P22" s="20" t="n">
        <v>0</v>
      </c>
      <c r="Q22" s="18" t="n">
        <v>5.00410667</v>
      </c>
      <c r="R22" s="20" t="n">
        <v>1.395702</v>
      </c>
    </row>
    <row r="23" spans="1:18">
      <c r="A23" s="15" t="s">
        <v>447</v>
      </c>
      <c r="B23" s="17" t="n">
        <v>5791</v>
      </c>
      <c r="C23" s="18">
        <f>(5106.0/B23*100)</f>
        <v/>
      </c>
      <c r="D23" s="19" t="n">
        <v>685</v>
      </c>
      <c r="E23" s="18" t="n">
        <v>26.46713893</v>
      </c>
      <c r="F23" s="20" t="n">
        <v>2.37398979</v>
      </c>
      <c r="G23" s="18" t="n">
        <v>72.99817038</v>
      </c>
      <c r="H23" s="20" t="n">
        <v>2.37668456</v>
      </c>
      <c r="I23" s="18" t="s">
        <v>431</v>
      </c>
      <c r="J23" s="20" t="s">
        <v>431</v>
      </c>
      <c r="K23" s="18" t="n">
        <v>0.24070169</v>
      </c>
      <c r="L23" s="20" t="n">
        <v>0.23923506</v>
      </c>
      <c r="M23" s="18" t="n">
        <v>0</v>
      </c>
      <c r="N23" s="20" t="n">
        <v>0</v>
      </c>
      <c r="O23" s="18" t="n">
        <v>0</v>
      </c>
      <c r="P23" s="20" t="n">
        <v>0</v>
      </c>
      <c r="Q23" s="18" t="n">
        <v>0.293989</v>
      </c>
      <c r="R23" s="20" t="n">
        <v>0.18599338</v>
      </c>
    </row>
    <row r="24" spans="1:18">
      <c r="A24" s="15" t="s">
        <v>448</v>
      </c>
      <c r="B24" s="17" t="n">
        <v>3338</v>
      </c>
      <c r="C24" s="18">
        <f>(2923.0/B24*100)</f>
        <v/>
      </c>
      <c r="D24" s="19" t="n">
        <v>415</v>
      </c>
      <c r="E24" s="18" t="n">
        <v>17.86398791</v>
      </c>
      <c r="F24" s="20" t="n">
        <v>1.99505503</v>
      </c>
      <c r="G24" s="18" t="n">
        <v>81.43365614</v>
      </c>
      <c r="H24" s="20" t="n">
        <v>2.06183584</v>
      </c>
      <c r="I24" s="18" t="s">
        <v>431</v>
      </c>
      <c r="J24" s="20" t="s">
        <v>431</v>
      </c>
      <c r="K24" s="18" t="n">
        <v>0</v>
      </c>
      <c r="L24" s="20" t="n">
        <v>0</v>
      </c>
      <c r="M24" s="18" t="n">
        <v>0</v>
      </c>
      <c r="N24" s="20" t="n">
        <v>0</v>
      </c>
      <c r="O24" s="18" t="n">
        <v>0</v>
      </c>
      <c r="P24" s="20" t="n">
        <v>0</v>
      </c>
      <c r="Q24" s="18" t="n">
        <v>0.70235595</v>
      </c>
      <c r="R24" s="20" t="n">
        <v>0.40787534</v>
      </c>
    </row>
    <row r="25" spans="1:18">
      <c r="A25" s="15" t="s">
        <v>449</v>
      </c>
      <c r="B25" s="17" t="n">
        <v>2912</v>
      </c>
      <c r="C25" s="18">
        <f>(2547.0/B25*100)</f>
        <v/>
      </c>
      <c r="D25" s="19" t="n">
        <v>365</v>
      </c>
      <c r="E25" s="18" t="n">
        <v>21.59488612</v>
      </c>
      <c r="F25" s="20" t="n">
        <v>2.17043124</v>
      </c>
      <c r="G25" s="18" t="n">
        <v>78.15468889</v>
      </c>
      <c r="H25" s="20" t="n">
        <v>2.21888206</v>
      </c>
      <c r="I25" s="18" t="s">
        <v>431</v>
      </c>
      <c r="J25" s="20" t="s">
        <v>431</v>
      </c>
      <c r="K25" s="18" t="n">
        <v>0</v>
      </c>
      <c r="L25" s="20" t="n">
        <v>0</v>
      </c>
      <c r="M25" s="18" t="n">
        <v>0</v>
      </c>
      <c r="N25" s="20" t="n">
        <v>0</v>
      </c>
      <c r="O25" s="18" t="n">
        <v>0</v>
      </c>
      <c r="P25" s="20" t="n">
        <v>0</v>
      </c>
      <c r="Q25" s="18" t="n">
        <v>0.25042499</v>
      </c>
      <c r="R25" s="20" t="n">
        <v>0.25087497</v>
      </c>
    </row>
    <row r="26" spans="1:18">
      <c r="A26" s="15" t="s">
        <v>450</v>
      </c>
      <c r="B26" s="17" t="n">
        <v>2450</v>
      </c>
      <c r="C26" s="18">
        <f>(2152.0/B26*100)</f>
        <v/>
      </c>
      <c r="D26" s="19" t="n">
        <v>298</v>
      </c>
      <c r="E26" s="18" t="n">
        <v>31.72795095</v>
      </c>
      <c r="F26" s="20" t="n">
        <v>3.16586811</v>
      </c>
      <c r="G26" s="18" t="n">
        <v>67.98520417</v>
      </c>
      <c r="H26" s="20" t="n">
        <v>3.14837532</v>
      </c>
      <c r="I26" s="18" t="s">
        <v>431</v>
      </c>
      <c r="J26" s="20" t="s">
        <v>431</v>
      </c>
      <c r="K26" s="18" t="n">
        <v>0</v>
      </c>
      <c r="L26" s="20" t="n">
        <v>0</v>
      </c>
      <c r="M26" s="18" t="n">
        <v>0</v>
      </c>
      <c r="N26" s="20" t="n">
        <v>0</v>
      </c>
      <c r="O26" s="18" t="n">
        <v>0</v>
      </c>
      <c r="P26" s="20" t="n">
        <v>0</v>
      </c>
      <c r="Q26" s="18" t="n">
        <v>0.28684488</v>
      </c>
      <c r="R26" s="20" t="n">
        <v>0.27861715</v>
      </c>
    </row>
    <row r="27" spans="1:18">
      <c r="A27" s="15" t="s">
        <v>451</v>
      </c>
      <c r="B27" s="17" t="n">
        <v>2616</v>
      </c>
      <c r="C27" s="18">
        <f>(2287.0/B27*100)</f>
        <v/>
      </c>
      <c r="D27" s="19" t="n">
        <v>329</v>
      </c>
      <c r="E27" s="18" t="n">
        <v>29.0728367</v>
      </c>
      <c r="F27" s="20" t="n">
        <v>2.77037454</v>
      </c>
      <c r="G27" s="18" t="n">
        <v>68.47933575</v>
      </c>
      <c r="H27" s="20" t="n">
        <v>2.7806741</v>
      </c>
      <c r="I27" s="18" t="s">
        <v>431</v>
      </c>
      <c r="J27" s="20" t="s">
        <v>431</v>
      </c>
      <c r="K27" s="18" t="n">
        <v>0.30285656</v>
      </c>
      <c r="L27" s="20" t="n">
        <v>0.30530609</v>
      </c>
      <c r="M27" s="18" t="n">
        <v>0</v>
      </c>
      <c r="N27" s="20" t="n">
        <v>0</v>
      </c>
      <c r="O27" s="18" t="n">
        <v>0</v>
      </c>
      <c r="P27" s="20" t="n">
        <v>0</v>
      </c>
      <c r="Q27" s="18" t="n">
        <v>2.14497099</v>
      </c>
      <c r="R27" s="20" t="n">
        <v>0.8020249699999999</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22.69288671</v>
      </c>
      <c r="F29" s="20" t="n">
        <v>2.55440188</v>
      </c>
      <c r="G29" s="18" t="n">
        <v>74.711637</v>
      </c>
      <c r="H29" s="20" t="n">
        <v>2.40355749</v>
      </c>
      <c r="I29" s="18" t="s">
        <v>431</v>
      </c>
      <c r="J29" s="20" t="s">
        <v>431</v>
      </c>
      <c r="K29" s="18" t="n">
        <v>0.70136714</v>
      </c>
      <c r="L29" s="20" t="n">
        <v>0.50028068</v>
      </c>
      <c r="M29" s="18" t="n">
        <v>0</v>
      </c>
      <c r="N29" s="20" t="n">
        <v>0</v>
      </c>
      <c r="O29" s="18" t="n">
        <v>0</v>
      </c>
      <c r="P29" s="20" t="n">
        <v>0</v>
      </c>
      <c r="Q29" s="18" t="n">
        <v>1.89410914</v>
      </c>
      <c r="R29" s="20" t="n">
        <v>0.8127771499999999</v>
      </c>
    </row>
    <row r="30" spans="1:18">
      <c r="A30" s="15" t="s">
        <v>454</v>
      </c>
      <c r="B30" s="17" t="n">
        <v>2263</v>
      </c>
      <c r="C30" s="18">
        <f>(1992.0/B30*100)</f>
        <v/>
      </c>
      <c r="D30" s="19" t="n">
        <v>271</v>
      </c>
      <c r="E30" s="18" t="n">
        <v>32.41782926</v>
      </c>
      <c r="F30" s="20" t="n">
        <v>2.85165838</v>
      </c>
      <c r="G30" s="18" t="n">
        <v>66.91107003</v>
      </c>
      <c r="H30" s="20" t="n">
        <v>2.91054578</v>
      </c>
      <c r="I30" s="18" t="s">
        <v>431</v>
      </c>
      <c r="J30" s="20" t="s">
        <v>431</v>
      </c>
      <c r="K30" s="18" t="n">
        <v>0</v>
      </c>
      <c r="L30" s="20" t="n">
        <v>0</v>
      </c>
      <c r="M30" s="18" t="n">
        <v>0</v>
      </c>
      <c r="N30" s="20" t="n">
        <v>0</v>
      </c>
      <c r="O30" s="18" t="n">
        <v>0</v>
      </c>
      <c r="P30" s="20" t="n">
        <v>0</v>
      </c>
      <c r="Q30" s="18" t="n">
        <v>0.6711007</v>
      </c>
      <c r="R30" s="20" t="n">
        <v>0.44480106</v>
      </c>
    </row>
    <row r="31" spans="1:18">
      <c r="A31" s="15" t="s">
        <v>455</v>
      </c>
      <c r="B31" s="17" t="n">
        <v>2750</v>
      </c>
      <c r="C31" s="18">
        <f>(2408.0/B31*100)</f>
        <v/>
      </c>
      <c r="D31" s="19" t="n">
        <v>342</v>
      </c>
      <c r="E31" s="18" t="n">
        <v>29.31097348</v>
      </c>
      <c r="F31" s="20" t="n">
        <v>2.43296062</v>
      </c>
      <c r="G31" s="18" t="n">
        <v>70.02077841000001</v>
      </c>
      <c r="H31" s="20" t="n">
        <v>2.38316952</v>
      </c>
      <c r="I31" s="18" t="s">
        <v>431</v>
      </c>
      <c r="J31" s="20" t="s">
        <v>431</v>
      </c>
      <c r="K31" s="18" t="n">
        <v>0</v>
      </c>
      <c r="L31" s="20" t="n">
        <v>0</v>
      </c>
      <c r="M31" s="18" t="n">
        <v>0</v>
      </c>
      <c r="N31" s="20" t="n">
        <v>0</v>
      </c>
      <c r="O31" s="18" t="n">
        <v>0</v>
      </c>
      <c r="P31" s="20" t="n">
        <v>0</v>
      </c>
      <c r="Q31" s="18" t="n">
        <v>0.66824811</v>
      </c>
      <c r="R31" s="20" t="n">
        <v>0.42930109</v>
      </c>
    </row>
    <row r="32" spans="1:18">
      <c r="A32" s="15" t="s">
        <v>456</v>
      </c>
      <c r="B32" s="17" t="n">
        <v>2269</v>
      </c>
      <c r="C32" s="18">
        <f>(1890.0/B32*100)</f>
        <v/>
      </c>
      <c r="D32" s="19" t="n">
        <v>379</v>
      </c>
      <c r="E32" s="18" t="n">
        <v>26.18249352</v>
      </c>
      <c r="F32" s="20" t="n">
        <v>2.57302026</v>
      </c>
      <c r="G32" s="18" t="n">
        <v>73.26573947999999</v>
      </c>
      <c r="H32" s="20" t="n">
        <v>2.5919775</v>
      </c>
      <c r="I32" s="18" t="s">
        <v>431</v>
      </c>
      <c r="J32" s="20" t="s">
        <v>431</v>
      </c>
      <c r="K32" s="18" t="n">
        <v>0.2725056</v>
      </c>
      <c r="L32" s="20" t="n">
        <v>0.23746833</v>
      </c>
      <c r="M32" s="18" t="n">
        <v>0</v>
      </c>
      <c r="N32" s="20" t="n">
        <v>0</v>
      </c>
      <c r="O32" s="18" t="n">
        <v>0</v>
      </c>
      <c r="P32" s="20" t="n">
        <v>0</v>
      </c>
      <c r="Q32" s="18" t="n">
        <v>0.27926139</v>
      </c>
      <c r="R32" s="20" t="n">
        <v>0.30883037</v>
      </c>
    </row>
    <row r="33" spans="1:18">
      <c r="A33" s="15" t="s">
        <v>457</v>
      </c>
      <c r="B33" s="17" t="n">
        <v>3674</v>
      </c>
      <c r="C33" s="18">
        <f>(3227.0/B33*100)</f>
        <v/>
      </c>
      <c r="D33" s="19" t="n">
        <v>447</v>
      </c>
      <c r="E33" s="18" t="n">
        <v>17.77664545</v>
      </c>
      <c r="F33" s="20" t="n">
        <v>2.37248543</v>
      </c>
      <c r="G33" s="18" t="n">
        <v>81.20656094</v>
      </c>
      <c r="H33" s="20" t="n">
        <v>2.40678023</v>
      </c>
      <c r="I33" s="18" t="s">
        <v>431</v>
      </c>
      <c r="J33" s="20" t="s">
        <v>431</v>
      </c>
      <c r="K33" s="18" t="n">
        <v>0</v>
      </c>
      <c r="L33" s="20" t="n">
        <v>0</v>
      </c>
      <c r="M33" s="18" t="n">
        <v>0</v>
      </c>
      <c r="N33" s="20" t="n">
        <v>0</v>
      </c>
      <c r="O33" s="18" t="n">
        <v>0</v>
      </c>
      <c r="P33" s="20" t="n">
        <v>0</v>
      </c>
      <c r="Q33" s="18" t="n">
        <v>1.01679361</v>
      </c>
      <c r="R33" s="20" t="n">
        <v>0.45298171</v>
      </c>
    </row>
    <row r="34" spans="1:18">
      <c r="A34" s="15" t="s">
        <v>458</v>
      </c>
      <c r="B34" s="17" t="n">
        <v>3315</v>
      </c>
      <c r="C34" s="18">
        <f>(2913.0/B34*100)</f>
        <v/>
      </c>
      <c r="D34" s="19" t="n">
        <v>402</v>
      </c>
      <c r="E34" s="18" t="n">
        <v>27.70172837</v>
      </c>
      <c r="F34" s="20" t="n">
        <v>2.58794738</v>
      </c>
      <c r="G34" s="18" t="n">
        <v>69.3204989</v>
      </c>
      <c r="H34" s="20" t="n">
        <v>2.79858008</v>
      </c>
      <c r="I34" s="18" t="s">
        <v>431</v>
      </c>
      <c r="J34" s="20" t="s">
        <v>431</v>
      </c>
      <c r="K34" s="18" t="n">
        <v>0.19234024</v>
      </c>
      <c r="L34" s="20" t="n">
        <v>0.19146941</v>
      </c>
      <c r="M34" s="18" t="n">
        <v>0</v>
      </c>
      <c r="N34" s="20" t="n">
        <v>0</v>
      </c>
      <c r="O34" s="18" t="n">
        <v>0</v>
      </c>
      <c r="P34" s="20" t="n">
        <v>0</v>
      </c>
      <c r="Q34" s="18" t="n">
        <v>2.78543249</v>
      </c>
      <c r="R34" s="20" t="n">
        <v>1.00524086</v>
      </c>
    </row>
    <row r="35" spans="1:18">
      <c r="A35" s="15" t="s">
        <v>459</v>
      </c>
      <c r="B35" s="17" t="n">
        <v>3505</v>
      </c>
      <c r="C35" s="18">
        <f>(3083.0/B35*100)</f>
        <v/>
      </c>
      <c r="D35" s="19" t="n">
        <v>422</v>
      </c>
      <c r="E35" s="18" t="n">
        <v>25.06386641</v>
      </c>
      <c r="F35" s="20" t="n">
        <v>1.9780353</v>
      </c>
      <c r="G35" s="18" t="n">
        <v>74.11514883</v>
      </c>
      <c r="H35" s="20" t="n">
        <v>1.98444459</v>
      </c>
      <c r="I35" s="18" t="s">
        <v>431</v>
      </c>
      <c r="J35" s="20" t="s">
        <v>431</v>
      </c>
      <c r="K35" s="18" t="n">
        <v>0.13620103</v>
      </c>
      <c r="L35" s="20" t="n">
        <v>0.13467953</v>
      </c>
      <c r="M35" s="18" t="n">
        <v>0</v>
      </c>
      <c r="N35" s="20" t="n">
        <v>0</v>
      </c>
      <c r="O35" s="18" t="n">
        <v>0</v>
      </c>
      <c r="P35" s="20" t="n">
        <v>0</v>
      </c>
      <c r="Q35" s="18" t="n">
        <v>0.68478373</v>
      </c>
      <c r="R35" s="20" t="n">
        <v>0.2814356</v>
      </c>
    </row>
    <row r="36" spans="1:18">
      <c r="A36" s="15" t="s">
        <v>460</v>
      </c>
      <c r="B36" s="17" t="n">
        <v>3332</v>
      </c>
      <c r="C36" s="18">
        <f>(2913.0/B36*100)</f>
        <v/>
      </c>
      <c r="D36" s="19" t="n">
        <v>419</v>
      </c>
      <c r="E36" s="18" t="n">
        <v>26.7554142</v>
      </c>
      <c r="F36" s="20" t="n">
        <v>2.54229651</v>
      </c>
      <c r="G36" s="18" t="n">
        <v>72.04575223000001</v>
      </c>
      <c r="H36" s="20" t="n">
        <v>2.36931851</v>
      </c>
      <c r="I36" s="18" t="s">
        <v>431</v>
      </c>
      <c r="J36" s="20" t="s">
        <v>431</v>
      </c>
      <c r="K36" s="18" t="n">
        <v>0</v>
      </c>
      <c r="L36" s="20" t="n">
        <v>0</v>
      </c>
      <c r="M36" s="18" t="n">
        <v>0</v>
      </c>
      <c r="N36" s="20" t="n">
        <v>0</v>
      </c>
      <c r="O36" s="18" t="n">
        <v>0</v>
      </c>
      <c r="P36" s="20" t="n">
        <v>0</v>
      </c>
      <c r="Q36" s="18" t="n">
        <v>1.19883357</v>
      </c>
      <c r="R36" s="20" t="n">
        <v>0.54563777</v>
      </c>
    </row>
    <row r="37" spans="1:18">
      <c r="A37" s="15" t="s">
        <v>461</v>
      </c>
      <c r="B37" s="17" t="n">
        <v>2727</v>
      </c>
      <c r="C37" s="18">
        <f>(2384.0/B37*100)</f>
        <v/>
      </c>
      <c r="D37" s="19" t="n">
        <v>343</v>
      </c>
      <c r="E37" s="18" t="n">
        <v>25.17425197</v>
      </c>
      <c r="F37" s="20" t="n">
        <v>2.54728903</v>
      </c>
      <c r="G37" s="18" t="n">
        <v>72.27047725</v>
      </c>
      <c r="H37" s="20" t="n">
        <v>2.4757109</v>
      </c>
      <c r="I37" s="18" t="s">
        <v>431</v>
      </c>
      <c r="J37" s="20" t="s">
        <v>431</v>
      </c>
      <c r="K37" s="18" t="n">
        <v>0.59424997</v>
      </c>
      <c r="L37" s="20" t="n">
        <v>0.41785183</v>
      </c>
      <c r="M37" s="18" t="n">
        <v>0</v>
      </c>
      <c r="N37" s="20" t="n">
        <v>0</v>
      </c>
      <c r="O37" s="18" t="n">
        <v>0</v>
      </c>
      <c r="P37" s="20" t="n">
        <v>0</v>
      </c>
      <c r="Q37" s="18" t="n">
        <v>1.96102081</v>
      </c>
      <c r="R37" s="20" t="n">
        <v>0.74714961</v>
      </c>
    </row>
    <row r="38" spans="1:18">
      <c r="A38" s="15" t="s">
        <v>462</v>
      </c>
      <c r="B38" s="17" t="n">
        <v>3053</v>
      </c>
      <c r="C38" s="18">
        <f>(2508.0/B38*100)</f>
        <v/>
      </c>
      <c r="D38" s="19" t="n">
        <v>545</v>
      </c>
      <c r="E38" s="18" t="n">
        <v>29.80968202</v>
      </c>
      <c r="F38" s="20" t="n">
        <v>2.07312066</v>
      </c>
      <c r="G38" s="18" t="n">
        <v>68.65838205</v>
      </c>
      <c r="H38" s="20" t="n">
        <v>2.20505072</v>
      </c>
      <c r="I38" s="18" t="s">
        <v>431</v>
      </c>
      <c r="J38" s="20" t="s">
        <v>431</v>
      </c>
      <c r="K38" s="18" t="n">
        <v>0.17789475</v>
      </c>
      <c r="L38" s="20" t="n">
        <v>0.1779323</v>
      </c>
      <c r="M38" s="18" t="n">
        <v>0</v>
      </c>
      <c r="N38" s="20" t="n">
        <v>0</v>
      </c>
      <c r="O38" s="18" t="n">
        <v>0</v>
      </c>
      <c r="P38" s="20" t="n">
        <v>0</v>
      </c>
      <c r="Q38" s="18" t="n">
        <v>1.35404119</v>
      </c>
      <c r="R38" s="20" t="n">
        <v>0.50836962</v>
      </c>
    </row>
    <row r="39" spans="1:18">
      <c r="A39" s="15" t="s">
        <v>463</v>
      </c>
      <c r="B39" s="17" t="n">
        <v>2957</v>
      </c>
      <c r="C39" s="18">
        <f>(2585.0/B39*100)</f>
        <v/>
      </c>
      <c r="D39" s="19" t="n">
        <v>372</v>
      </c>
      <c r="E39" s="18" t="n">
        <v>45.33624463</v>
      </c>
      <c r="F39" s="20" t="n">
        <v>3.45582279</v>
      </c>
      <c r="G39" s="18" t="n">
        <v>53.43956596</v>
      </c>
      <c r="H39" s="20" t="n">
        <v>3.40349287</v>
      </c>
      <c r="I39" s="18" t="s">
        <v>431</v>
      </c>
      <c r="J39" s="20" t="s">
        <v>431</v>
      </c>
      <c r="K39" s="18" t="n">
        <v>0</v>
      </c>
      <c r="L39" s="20" t="n">
        <v>0</v>
      </c>
      <c r="M39" s="18" t="n">
        <v>0</v>
      </c>
      <c r="N39" s="20" t="n">
        <v>0</v>
      </c>
      <c r="O39" s="18" t="n">
        <v>0</v>
      </c>
      <c r="P39" s="20" t="n">
        <v>0</v>
      </c>
      <c r="Q39" s="18" t="n">
        <v>1.22418941</v>
      </c>
      <c r="R39" s="20" t="n">
        <v>0.52839965</v>
      </c>
    </row>
    <row r="40" spans="1:18">
      <c r="A40" s="15" t="s">
        <v>464</v>
      </c>
      <c r="B40" s="17" t="n">
        <v>7235</v>
      </c>
      <c r="C40" s="18">
        <f>(6333.0/B40*100)</f>
        <v/>
      </c>
      <c r="D40" s="19" t="n">
        <v>902</v>
      </c>
      <c r="E40" s="18" t="n">
        <v>27.88210496</v>
      </c>
      <c r="F40" s="20" t="n">
        <v>2.14921241</v>
      </c>
      <c r="G40" s="18" t="n">
        <v>70.97667190999999</v>
      </c>
      <c r="H40" s="20" t="n">
        <v>2.27501378</v>
      </c>
      <c r="I40" s="18" t="s">
        <v>431</v>
      </c>
      <c r="J40" s="20" t="s">
        <v>431</v>
      </c>
      <c r="K40" s="18" t="n">
        <v>0.04822503</v>
      </c>
      <c r="L40" s="20" t="n">
        <v>0.03999811</v>
      </c>
      <c r="M40" s="18" t="n">
        <v>0</v>
      </c>
      <c r="N40" s="20" t="n">
        <v>0</v>
      </c>
      <c r="O40" s="18" t="n">
        <v>0</v>
      </c>
      <c r="P40" s="20" t="n">
        <v>0</v>
      </c>
      <c r="Q40" s="18" t="n">
        <v>1.09299809</v>
      </c>
      <c r="R40" s="20" t="n">
        <v>0.43963703</v>
      </c>
    </row>
    <row r="41" spans="1:18">
      <c r="A41" s="15" t="s">
        <v>465</v>
      </c>
      <c r="B41" s="17" t="n">
        <v>2858</v>
      </c>
      <c r="C41" s="18">
        <f>(2497.0/B41*100)</f>
        <v/>
      </c>
      <c r="D41" s="19" t="n">
        <v>361</v>
      </c>
      <c r="E41" s="18" t="n">
        <v>27.48684859</v>
      </c>
      <c r="F41" s="20" t="n">
        <v>2.27126184</v>
      </c>
      <c r="G41" s="18" t="n">
        <v>71.56484073</v>
      </c>
      <c r="H41" s="20" t="n">
        <v>2.32355681</v>
      </c>
      <c r="I41" s="18" t="s">
        <v>431</v>
      </c>
      <c r="J41" s="20" t="s">
        <v>431</v>
      </c>
      <c r="K41" s="18" t="n">
        <v>0</v>
      </c>
      <c r="L41" s="20" t="n">
        <v>0</v>
      </c>
      <c r="M41" s="18" t="n">
        <v>0</v>
      </c>
      <c r="N41" s="20" t="n">
        <v>0</v>
      </c>
      <c r="O41" s="18" t="n">
        <v>0</v>
      </c>
      <c r="P41" s="20" t="n">
        <v>0</v>
      </c>
      <c r="Q41" s="18" t="n">
        <v>0.94831068</v>
      </c>
      <c r="R41" s="20" t="n">
        <v>0.51898849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(4510.0/B48*100)</f>
        <v/>
      </c>
      <c r="D48" s="19" t="n">
        <v>649</v>
      </c>
      <c r="E48" s="18" t="n">
        <v>23.11128629</v>
      </c>
      <c r="F48" s="20" t="n">
        <v>2.14940872</v>
      </c>
      <c r="G48" s="18" t="n">
        <v>75.07930943</v>
      </c>
      <c r="H48" s="20" t="n">
        <v>2.21987118</v>
      </c>
      <c r="I48" s="18" t="s">
        <v>431</v>
      </c>
      <c r="J48" s="20" t="s">
        <v>431</v>
      </c>
      <c r="K48" s="18" t="n">
        <v>0.27346367</v>
      </c>
      <c r="L48" s="20" t="n">
        <v>0.28353373</v>
      </c>
      <c r="M48" s="18" t="n">
        <v>0</v>
      </c>
      <c r="N48" s="20" t="n">
        <v>0</v>
      </c>
      <c r="O48" s="18" t="n">
        <v>0</v>
      </c>
      <c r="P48" s="20" t="n">
        <v>0</v>
      </c>
      <c r="Q48" s="18" t="n">
        <v>1.53594061</v>
      </c>
      <c r="R48" s="20" t="n">
        <v>0.57247774</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(2453.0/B52*100)</f>
        <v/>
      </c>
      <c r="D52" s="19" t="n">
        <v>343</v>
      </c>
      <c r="E52" s="18" t="n">
        <v>30.67457996</v>
      </c>
      <c r="F52" s="20" t="n">
        <v>2.48321479</v>
      </c>
      <c r="G52" s="18" t="n">
        <v>67.62049598999999</v>
      </c>
      <c r="H52" s="20" t="n">
        <v>2.55711511</v>
      </c>
      <c r="I52" s="18" t="s">
        <v>431</v>
      </c>
      <c r="J52" s="20" t="s">
        <v>431</v>
      </c>
      <c r="K52" s="18" t="n">
        <v>0</v>
      </c>
      <c r="L52" s="20" t="n">
        <v>0</v>
      </c>
      <c r="M52" s="18" t="n">
        <v>0</v>
      </c>
      <c r="N52" s="20" t="n">
        <v>0</v>
      </c>
      <c r="O52" s="18" t="n">
        <v>0</v>
      </c>
      <c r="P52" s="20" t="n">
        <v>0</v>
      </c>
      <c r="Q52" s="18" t="n">
        <v>1.70492405</v>
      </c>
      <c r="R52" s="20" t="n">
        <v>0.53150343</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20.29104225</v>
      </c>
      <c r="F56" s="20" t="n">
        <v>2.5419535</v>
      </c>
      <c r="G56" s="18" t="n">
        <v>78.59729872</v>
      </c>
      <c r="H56" s="20" t="n">
        <v>2.73449493</v>
      </c>
      <c r="I56" s="18" t="s">
        <v>431</v>
      </c>
      <c r="J56" s="20" t="s">
        <v>431</v>
      </c>
      <c r="K56" s="18" t="n">
        <v>0</v>
      </c>
      <c r="L56" s="20" t="n">
        <v>0</v>
      </c>
      <c r="M56" s="18" t="n">
        <v>0</v>
      </c>
      <c r="N56" s="20" t="n">
        <v>0</v>
      </c>
      <c r="O56" s="18" t="n">
        <v>0</v>
      </c>
      <c r="P56" s="20" t="n">
        <v>0</v>
      </c>
      <c r="Q56" s="18" t="n">
        <v>1.11165903</v>
      </c>
      <c r="R56" s="20" t="n">
        <v>0.69388414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(2891.0/B61*100)</f>
        <v/>
      </c>
      <c r="D61" s="19" t="n">
        <v>433</v>
      </c>
      <c r="E61" s="18" t="n">
        <v>31.90037525</v>
      </c>
      <c r="F61" s="20" t="n">
        <v>2.53268269</v>
      </c>
      <c r="G61" s="18" t="n">
        <v>66.63908578</v>
      </c>
      <c r="H61" s="20" t="n">
        <v>2.4666513</v>
      </c>
      <c r="I61" s="18" t="s">
        <v>431</v>
      </c>
      <c r="J61" s="20" t="s">
        <v>431</v>
      </c>
      <c r="K61" s="18" t="n">
        <v>0</v>
      </c>
      <c r="L61" s="20" t="n">
        <v>0</v>
      </c>
      <c r="M61" s="18" t="n">
        <v>0</v>
      </c>
      <c r="N61" s="20" t="n">
        <v>0</v>
      </c>
      <c r="O61" s="18" t="n">
        <v>0</v>
      </c>
      <c r="P61" s="20" t="n">
        <v>0</v>
      </c>
      <c r="Q61" s="18" t="n">
        <v>1.46053897</v>
      </c>
      <c r="R61" s="20" t="n">
        <v>0.63661154</v>
      </c>
    </row>
    <row r="62" spans="1:18">
      <c r="A62" s="15" t="s">
        <v>486</v>
      </c>
      <c r="B62" s="17" t="n">
        <v>2246</v>
      </c>
      <c r="C62" s="18">
        <f>(1963.0/B62*100)</f>
        <v/>
      </c>
      <c r="D62" s="19" t="n">
        <v>283</v>
      </c>
      <c r="E62" s="18" t="n">
        <v>19.12366661</v>
      </c>
      <c r="F62" s="20" t="n">
        <v>2.37728399</v>
      </c>
      <c r="G62" s="18" t="n">
        <v>79.45257749</v>
      </c>
      <c r="H62" s="20" t="n">
        <v>2.41386249</v>
      </c>
      <c r="I62" s="18" t="s">
        <v>431</v>
      </c>
      <c r="J62" s="20" t="s">
        <v>431</v>
      </c>
      <c r="K62" s="18" t="n">
        <v>0.3630653</v>
      </c>
      <c r="L62" s="20" t="n">
        <v>0.36152681</v>
      </c>
      <c r="M62" s="18" t="n">
        <v>0</v>
      </c>
      <c r="N62" s="20" t="n">
        <v>0</v>
      </c>
      <c r="O62" s="18" t="n">
        <v>0</v>
      </c>
      <c r="P62" s="20" t="n">
        <v>0</v>
      </c>
      <c r="Q62" s="18" t="n">
        <v>1.0606906</v>
      </c>
      <c r="R62" s="20" t="n">
        <v>0.60539938</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(2548.0/B66*100)</f>
        <v/>
      </c>
      <c r="D66" s="19" t="n">
        <v>346</v>
      </c>
      <c r="E66" s="18" t="n">
        <v>44.62353655</v>
      </c>
      <c r="F66" s="20" t="n">
        <v>2.86373693</v>
      </c>
      <c r="G66" s="18" t="n">
        <v>51.06136264</v>
      </c>
      <c r="H66" s="20" t="n">
        <v>2.88882931</v>
      </c>
      <c r="I66" s="18" t="s">
        <v>431</v>
      </c>
      <c r="J66" s="20" t="s">
        <v>431</v>
      </c>
      <c r="K66" s="18" t="n">
        <v>0.84949385</v>
      </c>
      <c r="L66" s="20" t="n">
        <v>0.50058508</v>
      </c>
      <c r="M66" s="18" t="n">
        <v>0</v>
      </c>
      <c r="N66" s="20" t="n">
        <v>0</v>
      </c>
      <c r="O66" s="18" t="n">
        <v>0</v>
      </c>
      <c r="P66" s="20" t="n">
        <v>0</v>
      </c>
      <c r="Q66" s="18" t="n">
        <v>3.46560695</v>
      </c>
      <c r="R66" s="20" t="n">
        <v>0.9385424999999999</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(2575.0/B70*100)</f>
        <v/>
      </c>
      <c r="D70" s="19" t="n">
        <v>354</v>
      </c>
      <c r="E70" s="18" t="n">
        <v>24.29201331</v>
      </c>
      <c r="F70" s="20" t="n">
        <v>2.90271342</v>
      </c>
      <c r="G70" s="18" t="n">
        <v>73.86313183999999</v>
      </c>
      <c r="H70" s="20" t="n">
        <v>3.02652354</v>
      </c>
      <c r="I70" s="18" t="s">
        <v>431</v>
      </c>
      <c r="J70" s="20" t="s">
        <v>431</v>
      </c>
      <c r="K70" s="18" t="n">
        <v>0.23629908</v>
      </c>
      <c r="L70" s="20" t="n">
        <v>0.33525562</v>
      </c>
      <c r="M70" s="18" t="n">
        <v>0</v>
      </c>
      <c r="N70" s="20" t="n">
        <v>0</v>
      </c>
      <c r="O70" s="18" t="n">
        <v>0</v>
      </c>
      <c r="P70" s="20" t="n">
        <v>0</v>
      </c>
      <c r="Q70" s="18" t="n">
        <v>1.60855577</v>
      </c>
      <c r="R70" s="20" t="n">
        <v>0.78937826</v>
      </c>
    </row>
    <row r="71" spans="1:18">
      <c r="A71" s="15" t="s">
        <v>495</v>
      </c>
      <c r="B71" s="17" t="n">
        <v>3142</v>
      </c>
      <c r="C71" s="18">
        <f>(2763.0/B71*100)</f>
        <v/>
      </c>
      <c r="D71" s="19" t="n">
        <v>379</v>
      </c>
      <c r="E71" s="18" t="n">
        <v>20.8615085</v>
      </c>
      <c r="F71" s="20" t="n">
        <v>1.90151755</v>
      </c>
      <c r="G71" s="18" t="n">
        <v>77.94066398</v>
      </c>
      <c r="H71" s="20" t="n">
        <v>2.00808626</v>
      </c>
      <c r="I71" s="18" t="s">
        <v>431</v>
      </c>
      <c r="J71" s="20" t="s">
        <v>431</v>
      </c>
      <c r="K71" s="18" t="n">
        <v>0.48518651</v>
      </c>
      <c r="L71" s="20" t="n">
        <v>0.34179447</v>
      </c>
      <c r="M71" s="18" t="n">
        <v>0</v>
      </c>
      <c r="N71" s="20" t="n">
        <v>0</v>
      </c>
      <c r="O71" s="18" t="n">
        <v>0</v>
      </c>
      <c r="P71" s="20" t="n">
        <v>0</v>
      </c>
      <c r="Q71" s="18" t="n">
        <v>0.71264101</v>
      </c>
      <c r="R71" s="20" t="n">
        <v>0.40087054</v>
      </c>
    </row>
    <row r="72" spans="1:18">
      <c r="A72" s="15" t="s">
        <v>496</v>
      </c>
      <c r="B72" s="17" t="n">
        <v>3889</v>
      </c>
      <c r="C72" s="18">
        <f>(3414.0/B72*100)</f>
        <v/>
      </c>
      <c r="D72" s="19" t="n">
        <v>475</v>
      </c>
      <c r="E72" s="18" t="n">
        <v>18.74383348</v>
      </c>
      <c r="F72" s="20" t="n">
        <v>1.82862073</v>
      </c>
      <c r="G72" s="18" t="n">
        <v>80.24146912</v>
      </c>
      <c r="H72" s="20" t="n">
        <v>1.96457971</v>
      </c>
      <c r="I72" s="18" t="s">
        <v>431</v>
      </c>
      <c r="J72" s="20" t="s">
        <v>431</v>
      </c>
      <c r="K72" s="18" t="n">
        <v>0.16507679</v>
      </c>
      <c r="L72" s="20" t="n">
        <v>0.16561767</v>
      </c>
      <c r="M72" s="18" t="n">
        <v>0</v>
      </c>
      <c r="N72" s="20" t="n">
        <v>0</v>
      </c>
      <c r="O72" s="18" t="n">
        <v>0</v>
      </c>
      <c r="P72" s="20" t="n">
        <v>0</v>
      </c>
      <c r="Q72" s="18" t="n">
        <v>0.84962061</v>
      </c>
      <c r="R72" s="20" t="n">
        <v>0.44227756</v>
      </c>
    </row>
    <row r="73" spans="1:18">
      <c r="A73" s="15" t="s">
        <v>497</v>
      </c>
      <c r="B73" s="17" t="n">
        <v>3597</v>
      </c>
      <c r="C73" s="18">
        <f>(3142.0/B73*100)</f>
        <v/>
      </c>
      <c r="D73" s="19" t="n">
        <v>455</v>
      </c>
      <c r="E73" s="18" t="n">
        <v>42.68871863</v>
      </c>
      <c r="F73" s="20" t="n">
        <v>3.22197744</v>
      </c>
      <c r="G73" s="18" t="n">
        <v>55.67965193</v>
      </c>
      <c r="H73" s="20" t="n">
        <v>3.41332093</v>
      </c>
      <c r="I73" s="18" t="s">
        <v>431</v>
      </c>
      <c r="J73" s="20" t="s">
        <v>431</v>
      </c>
      <c r="K73" s="18" t="n">
        <v>0</v>
      </c>
      <c r="L73" s="20" t="n">
        <v>0</v>
      </c>
      <c r="M73" s="18" t="n">
        <v>0</v>
      </c>
      <c r="N73" s="20" t="n">
        <v>0</v>
      </c>
      <c r="O73" s="18" t="n">
        <v>0</v>
      </c>
      <c r="P73" s="20" t="n">
        <v>0</v>
      </c>
      <c r="Q73" s="18" t="n">
        <v>1.63162944</v>
      </c>
      <c r="R73" s="20" t="n">
        <v>0.72017659</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(6436.0/B7*100)</f>
        <v/>
      </c>
      <c r="D7" s="19" t="n">
        <v>931</v>
      </c>
      <c r="E7" s="18" t="n">
        <v>30.21834559</v>
      </c>
      <c r="F7" s="20" t="n">
        <v>1.6979996</v>
      </c>
      <c r="G7" s="18" t="n">
        <v>68.23071905</v>
      </c>
      <c r="H7" s="20" t="n">
        <v>1.79472272</v>
      </c>
      <c r="I7" s="18" t="s">
        <v>431</v>
      </c>
      <c r="J7" s="20" t="s">
        <v>431</v>
      </c>
      <c r="K7" s="18" t="n">
        <v>0.08519088</v>
      </c>
      <c r="L7" s="20" t="n">
        <v>0.04938448</v>
      </c>
      <c r="M7" s="18" t="n">
        <v>0</v>
      </c>
      <c r="N7" s="20" t="n">
        <v>0</v>
      </c>
      <c r="O7" s="18" t="n">
        <v>0</v>
      </c>
      <c r="P7" s="20" t="n">
        <v>0</v>
      </c>
      <c r="Q7" s="18" t="n">
        <v>1.46574447</v>
      </c>
      <c r="R7" s="20" t="n">
        <v>0.52365399</v>
      </c>
    </row>
    <row r="8" spans="1:18">
      <c r="A8" s="15" t="s">
        <v>432</v>
      </c>
      <c r="B8" s="17" t="n">
        <v>3564</v>
      </c>
      <c r="C8" s="18">
        <f>(3144.0/B8*100)</f>
        <v/>
      </c>
      <c r="D8" s="19" t="n">
        <v>420</v>
      </c>
      <c r="E8" s="18" t="n">
        <v>35.35683269</v>
      </c>
      <c r="F8" s="20" t="n">
        <v>3.14995907</v>
      </c>
      <c r="G8" s="18" t="n">
        <v>62.15481251</v>
      </c>
      <c r="H8" s="20" t="n">
        <v>2.83499271</v>
      </c>
      <c r="I8" s="18" t="s">
        <v>431</v>
      </c>
      <c r="J8" s="20" t="s">
        <v>431</v>
      </c>
      <c r="K8" s="18" t="n">
        <v>0</v>
      </c>
      <c r="L8" s="20" t="n">
        <v>0</v>
      </c>
      <c r="M8" s="18" t="n">
        <v>0</v>
      </c>
      <c r="N8" s="20" t="n">
        <v>0</v>
      </c>
      <c r="O8" s="18" t="n">
        <v>0</v>
      </c>
      <c r="P8" s="20" t="n">
        <v>0</v>
      </c>
      <c r="Q8" s="18" t="n">
        <v>2.48835481</v>
      </c>
      <c r="R8" s="20" t="n">
        <v>0.78917138</v>
      </c>
    </row>
    <row r="9" spans="1:18">
      <c r="A9" s="15" t="s">
        <v>433</v>
      </c>
      <c r="B9" s="17" t="n">
        <v>4899</v>
      </c>
      <c r="C9" s="18">
        <f>(4293.0/B9*100)</f>
        <v/>
      </c>
      <c r="D9" s="19" t="n">
        <v>606</v>
      </c>
      <c r="E9" s="18" t="n">
        <v>29.01727086</v>
      </c>
      <c r="F9" s="20" t="n">
        <v>1.97639256</v>
      </c>
      <c r="G9" s="18" t="n">
        <v>67.89511793</v>
      </c>
      <c r="H9" s="20" t="n">
        <v>2.16493432</v>
      </c>
      <c r="I9" s="18" t="s">
        <v>431</v>
      </c>
      <c r="J9" s="20" t="s">
        <v>431</v>
      </c>
      <c r="K9" s="18" t="n">
        <v>0</v>
      </c>
      <c r="L9" s="20" t="n">
        <v>0</v>
      </c>
      <c r="M9" s="18" t="n">
        <v>0</v>
      </c>
      <c r="N9" s="20" t="n">
        <v>0</v>
      </c>
      <c r="O9" s="18" t="n">
        <v>0</v>
      </c>
      <c r="P9" s="20" t="n">
        <v>0</v>
      </c>
      <c r="Q9" s="18" t="n">
        <v>3.08761121</v>
      </c>
      <c r="R9" s="20" t="n">
        <v>0.85392478</v>
      </c>
    </row>
    <row r="10" spans="1:18">
      <c r="A10" s="15" t="s">
        <v>434</v>
      </c>
      <c r="B10" s="17" t="n">
        <v>10036</v>
      </c>
      <c r="C10" s="18">
        <f>(8825.0/B10*100)</f>
        <v/>
      </c>
      <c r="D10" s="19" t="n">
        <v>1211</v>
      </c>
      <c r="E10" s="18" t="n">
        <v>28.46967439</v>
      </c>
      <c r="F10" s="20" t="n">
        <v>1.52480834</v>
      </c>
      <c r="G10" s="18" t="n">
        <v>70.24356536000001</v>
      </c>
      <c r="H10" s="20" t="n">
        <v>1.56486632</v>
      </c>
      <c r="I10" s="18" t="s">
        <v>431</v>
      </c>
      <c r="J10" s="20" t="s">
        <v>431</v>
      </c>
      <c r="K10" s="18" t="n">
        <v>0.3148059</v>
      </c>
      <c r="L10" s="20" t="n">
        <v>0.27804456</v>
      </c>
      <c r="M10" s="18" t="n">
        <v>0</v>
      </c>
      <c r="N10" s="20" t="n">
        <v>0</v>
      </c>
      <c r="O10" s="18" t="n">
        <v>0</v>
      </c>
      <c r="P10" s="20" t="n">
        <v>0</v>
      </c>
      <c r="Q10" s="18" t="n">
        <v>0.97195435</v>
      </c>
      <c r="R10" s="20" t="n">
        <v>0.43581063</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(3039.0/B12*100)</f>
        <v/>
      </c>
      <c r="D12" s="19" t="n">
        <v>433</v>
      </c>
      <c r="E12" s="18" t="n">
        <v>27.75199073</v>
      </c>
      <c r="F12" s="20" t="n">
        <v>2.78160951</v>
      </c>
      <c r="G12" s="18" t="n">
        <v>71.30994913000001</v>
      </c>
      <c r="H12" s="20" t="n">
        <v>2.78459178</v>
      </c>
      <c r="I12" s="18" t="s">
        <v>431</v>
      </c>
      <c r="J12" s="20" t="s">
        <v>431</v>
      </c>
      <c r="K12" s="18" t="n">
        <v>0</v>
      </c>
      <c r="L12" s="20" t="n">
        <v>0</v>
      </c>
      <c r="M12" s="18" t="n">
        <v>0</v>
      </c>
      <c r="N12" s="20" t="n">
        <v>0</v>
      </c>
      <c r="O12" s="18" t="n">
        <v>0</v>
      </c>
      <c r="P12" s="20" t="n">
        <v>0</v>
      </c>
      <c r="Q12" s="18" t="n">
        <v>0.93806014</v>
      </c>
      <c r="R12" s="20" t="n">
        <v>0.56255236</v>
      </c>
    </row>
    <row r="13" spans="1:18">
      <c r="A13" s="15" t="s">
        <v>437</v>
      </c>
      <c r="B13" s="17" t="n">
        <v>3559</v>
      </c>
      <c r="C13" s="18">
        <f>(3139.0/B13*100)</f>
        <v/>
      </c>
      <c r="D13" s="19" t="n">
        <v>420</v>
      </c>
      <c r="E13" s="18" t="n">
        <v>32.2031773</v>
      </c>
      <c r="F13" s="20" t="n">
        <v>2.48031486</v>
      </c>
      <c r="G13" s="18" t="n">
        <v>66.91211190999999</v>
      </c>
      <c r="H13" s="20" t="n">
        <v>2.50715991</v>
      </c>
      <c r="I13" s="18" t="s">
        <v>431</v>
      </c>
      <c r="J13" s="20" t="s">
        <v>431</v>
      </c>
      <c r="K13" s="18" t="n">
        <v>0.14323886</v>
      </c>
      <c r="L13" s="20" t="n">
        <v>0.14704399</v>
      </c>
      <c r="M13" s="18" t="n">
        <v>0</v>
      </c>
      <c r="N13" s="20" t="n">
        <v>0</v>
      </c>
      <c r="O13" s="18" t="n">
        <v>0</v>
      </c>
      <c r="P13" s="20" t="n">
        <v>0</v>
      </c>
      <c r="Q13" s="18" t="n">
        <v>0.74147192</v>
      </c>
      <c r="R13" s="20" t="n">
        <v>0.37143873</v>
      </c>
    </row>
    <row r="14" spans="1:18">
      <c r="A14" s="15" t="s">
        <v>438</v>
      </c>
      <c r="B14" s="17" t="n">
        <v>2799</v>
      </c>
      <c r="C14" s="18">
        <f>(2451.0/B14*100)</f>
        <v/>
      </c>
      <c r="D14" s="19" t="n">
        <v>348</v>
      </c>
      <c r="E14" s="18" t="n">
        <v>29.73161919</v>
      </c>
      <c r="F14" s="20" t="n">
        <v>2.96434457</v>
      </c>
      <c r="G14" s="18" t="n">
        <v>70.26838081</v>
      </c>
      <c r="H14" s="20" t="n">
        <v>2.96434457</v>
      </c>
      <c r="I14" s="18" t="s">
        <v>431</v>
      </c>
      <c r="J14" s="20" t="s">
        <v>431</v>
      </c>
      <c r="K14" s="18" t="n">
        <v>0</v>
      </c>
      <c r="L14" s="20" t="n">
        <v>0</v>
      </c>
      <c r="M14" s="18" t="n">
        <v>0</v>
      </c>
      <c r="N14" s="20" t="n">
        <v>0</v>
      </c>
      <c r="O14" s="18" t="n">
        <v>0</v>
      </c>
      <c r="P14" s="20" t="n">
        <v>0</v>
      </c>
      <c r="Q14" s="18" t="n">
        <v>0</v>
      </c>
      <c r="R14" s="20" t="n">
        <v>0</v>
      </c>
    </row>
    <row r="15" spans="1:18">
      <c r="A15" s="15" t="s">
        <v>439</v>
      </c>
      <c r="B15" s="17" t="n">
        <v>3019</v>
      </c>
      <c r="C15" s="18">
        <f>(2640.0/B15*100)</f>
        <v/>
      </c>
      <c r="D15" s="19" t="n">
        <v>379</v>
      </c>
      <c r="E15" s="18" t="n">
        <v>30.76055318</v>
      </c>
      <c r="F15" s="20" t="n">
        <v>2.54442087</v>
      </c>
      <c r="G15" s="18" t="n">
        <v>66.64309618</v>
      </c>
      <c r="H15" s="20" t="n">
        <v>2.48159208</v>
      </c>
      <c r="I15" s="18" t="s">
        <v>431</v>
      </c>
      <c r="J15" s="20" t="s">
        <v>431</v>
      </c>
      <c r="K15" s="18" t="n">
        <v>0.7549755</v>
      </c>
      <c r="L15" s="20" t="n">
        <v>0.44086105</v>
      </c>
      <c r="M15" s="18" t="n">
        <v>0</v>
      </c>
      <c r="N15" s="20" t="n">
        <v>0</v>
      </c>
      <c r="O15" s="18" t="n">
        <v>0</v>
      </c>
      <c r="P15" s="20" t="n">
        <v>0</v>
      </c>
      <c r="Q15" s="18" t="n">
        <v>1.84137514</v>
      </c>
      <c r="R15" s="20" t="n">
        <v>0.84024919</v>
      </c>
    </row>
    <row r="16" spans="1:18">
      <c r="A16" s="15" t="s">
        <v>440</v>
      </c>
      <c r="B16" s="17" t="n">
        <v>2997</v>
      </c>
      <c r="C16" s="18">
        <f>(2614.0/B16*100)</f>
        <v/>
      </c>
      <c r="D16" s="19" t="n">
        <v>383</v>
      </c>
      <c r="E16" s="18" t="n">
        <v>33.60944715</v>
      </c>
      <c r="F16" s="20" t="n">
        <v>2.50955308</v>
      </c>
      <c r="G16" s="18" t="n">
        <v>62.18164239</v>
      </c>
      <c r="H16" s="20" t="n">
        <v>2.36962792</v>
      </c>
      <c r="I16" s="18" t="s">
        <v>431</v>
      </c>
      <c r="J16" s="20" t="s">
        <v>431</v>
      </c>
      <c r="K16" s="18" t="n">
        <v>0.90176553</v>
      </c>
      <c r="L16" s="20" t="n">
        <v>0.51928142</v>
      </c>
      <c r="M16" s="18" t="n">
        <v>0</v>
      </c>
      <c r="N16" s="20" t="n">
        <v>0</v>
      </c>
      <c r="O16" s="18" t="n">
        <v>0</v>
      </c>
      <c r="P16" s="20" t="n">
        <v>0</v>
      </c>
      <c r="Q16" s="18" t="n">
        <v>3.30714494</v>
      </c>
      <c r="R16" s="20" t="n">
        <v>0.97083634</v>
      </c>
    </row>
    <row r="17" spans="1:18">
      <c r="A17" s="15" t="s">
        <v>441</v>
      </c>
      <c r="B17" s="17" t="n">
        <v>3307</v>
      </c>
      <c r="C17" s="18">
        <f>(2907.0/B17*100)</f>
        <v/>
      </c>
      <c r="D17" s="19" t="n">
        <v>400</v>
      </c>
      <c r="E17" s="18" t="n">
        <v>30.2027474</v>
      </c>
      <c r="F17" s="20" t="n">
        <v>2.4401976</v>
      </c>
      <c r="G17" s="18" t="n">
        <v>66.33995587</v>
      </c>
      <c r="H17" s="20" t="n">
        <v>2.51434508</v>
      </c>
      <c r="I17" s="18" t="s">
        <v>431</v>
      </c>
      <c r="J17" s="20" t="s">
        <v>431</v>
      </c>
      <c r="K17" s="18" t="n">
        <v>0.31737101</v>
      </c>
      <c r="L17" s="20" t="n">
        <v>0.30738941</v>
      </c>
      <c r="M17" s="18" t="n">
        <v>0</v>
      </c>
      <c r="N17" s="20" t="n">
        <v>0</v>
      </c>
      <c r="O17" s="18" t="n">
        <v>0</v>
      </c>
      <c r="P17" s="20" t="n">
        <v>0</v>
      </c>
      <c r="Q17" s="18" t="n">
        <v>3.13992572</v>
      </c>
      <c r="R17" s="20" t="n">
        <v>1.00418529</v>
      </c>
    </row>
    <row r="18" spans="1:18">
      <c r="A18" s="15" t="s">
        <v>442</v>
      </c>
      <c r="B18" s="17" t="n">
        <v>2826</v>
      </c>
      <c r="C18" s="18">
        <f>(2473.0/B18*100)</f>
        <v/>
      </c>
      <c r="D18" s="19" t="n">
        <v>353</v>
      </c>
      <c r="E18" s="18" t="n">
        <v>34.32675875</v>
      </c>
      <c r="F18" s="20" t="n">
        <v>3.12345447</v>
      </c>
      <c r="G18" s="18" t="n">
        <v>62.60446156</v>
      </c>
      <c r="H18" s="20" t="n">
        <v>3.23904524</v>
      </c>
      <c r="I18" s="18" t="s">
        <v>431</v>
      </c>
      <c r="J18" s="20" t="s">
        <v>431</v>
      </c>
      <c r="K18" s="18" t="n">
        <v>0</v>
      </c>
      <c r="L18" s="20" t="n">
        <v>0</v>
      </c>
      <c r="M18" s="18" t="n">
        <v>0</v>
      </c>
      <c r="N18" s="20" t="n">
        <v>0</v>
      </c>
      <c r="O18" s="18" t="n">
        <v>0</v>
      </c>
      <c r="P18" s="20" t="n">
        <v>0</v>
      </c>
      <c r="Q18" s="18" t="n">
        <v>3.06877969</v>
      </c>
      <c r="R18" s="20" t="n">
        <v>1.33241539</v>
      </c>
    </row>
    <row r="19" spans="1:18">
      <c r="A19" s="15" t="s">
        <v>443</v>
      </c>
      <c r="B19" s="17" t="n">
        <v>2808</v>
      </c>
      <c r="C19" s="18">
        <f>(2460.0/B19*100)</f>
        <v/>
      </c>
      <c r="D19" s="19" t="n">
        <v>348</v>
      </c>
      <c r="E19" s="18" t="n">
        <v>36.72135914</v>
      </c>
      <c r="F19" s="20" t="n">
        <v>2.59636219</v>
      </c>
      <c r="G19" s="18" t="n">
        <v>62.45228651</v>
      </c>
      <c r="H19" s="20" t="n">
        <v>2.57106312</v>
      </c>
      <c r="I19" s="18" t="s">
        <v>431</v>
      </c>
      <c r="J19" s="20" t="s">
        <v>431</v>
      </c>
      <c r="K19" s="18" t="n">
        <v>0</v>
      </c>
      <c r="L19" s="20" t="n">
        <v>0</v>
      </c>
      <c r="M19" s="18" t="n">
        <v>0</v>
      </c>
      <c r="N19" s="20" t="n">
        <v>0</v>
      </c>
      <c r="O19" s="18" t="n">
        <v>0</v>
      </c>
      <c r="P19" s="20" t="n">
        <v>0</v>
      </c>
      <c r="Q19" s="18" t="n">
        <v>0.82635435</v>
      </c>
      <c r="R19" s="20" t="n">
        <v>0.5385461</v>
      </c>
    </row>
    <row r="20" spans="1:18">
      <c r="A20" s="15" t="s">
        <v>444</v>
      </c>
      <c r="B20" s="17" t="n">
        <v>1630</v>
      </c>
      <c r="C20" s="18">
        <f>(1439.0/B20*100)</f>
        <v/>
      </c>
      <c r="D20" s="19" t="n">
        <v>191</v>
      </c>
      <c r="E20" s="18" t="n">
        <v>31.75969397</v>
      </c>
      <c r="F20" s="20" t="n">
        <v>3.58552491</v>
      </c>
      <c r="G20" s="18" t="n">
        <v>67.25067978</v>
      </c>
      <c r="H20" s="20" t="n">
        <v>3.605542</v>
      </c>
      <c r="I20" s="18" t="s">
        <v>431</v>
      </c>
      <c r="J20" s="20" t="s">
        <v>431</v>
      </c>
      <c r="K20" s="18" t="n">
        <v>0</v>
      </c>
      <c r="L20" s="20" t="n">
        <v>0</v>
      </c>
      <c r="M20" s="18" t="n">
        <v>0</v>
      </c>
      <c r="N20" s="20" t="n">
        <v>0</v>
      </c>
      <c r="O20" s="18" t="n">
        <v>0</v>
      </c>
      <c r="P20" s="20" t="n">
        <v>0</v>
      </c>
      <c r="Q20" s="18" t="n">
        <v>0.98962625</v>
      </c>
      <c r="R20" s="20" t="n">
        <v>0.6926697000000001</v>
      </c>
    </row>
    <row r="21" spans="1:18">
      <c r="A21" s="15" t="s">
        <v>445</v>
      </c>
      <c r="B21" s="17" t="n">
        <v>2908</v>
      </c>
      <c r="C21" s="18">
        <f>(2419.0/B21*100)</f>
        <v/>
      </c>
      <c r="D21" s="19" t="n">
        <v>489</v>
      </c>
      <c r="E21" s="18" t="n">
        <v>29.08895406</v>
      </c>
      <c r="F21" s="20" t="n">
        <v>2.32336232</v>
      </c>
      <c r="G21" s="18" t="n">
        <v>69.91652396000001</v>
      </c>
      <c r="H21" s="20" t="n">
        <v>2.28418987</v>
      </c>
      <c r="I21" s="18" t="s">
        <v>431</v>
      </c>
      <c r="J21" s="20" t="s">
        <v>431</v>
      </c>
      <c r="K21" s="18" t="n">
        <v>0</v>
      </c>
      <c r="L21" s="20" t="n">
        <v>0</v>
      </c>
      <c r="M21" s="18" t="n">
        <v>0</v>
      </c>
      <c r="N21" s="20" t="n">
        <v>0</v>
      </c>
      <c r="O21" s="18" t="n">
        <v>0</v>
      </c>
      <c r="P21" s="20" t="n">
        <v>0</v>
      </c>
      <c r="Q21" s="18" t="n">
        <v>0.99452198</v>
      </c>
      <c r="R21" s="20" t="n">
        <v>0.38074782</v>
      </c>
    </row>
    <row r="22" spans="1:18">
      <c r="A22" s="15" t="s">
        <v>446</v>
      </c>
      <c r="B22" s="17" t="n">
        <v>2931</v>
      </c>
      <c r="C22" s="18">
        <f>(2576.0/B22*100)</f>
        <v/>
      </c>
      <c r="D22" s="19" t="n">
        <v>355</v>
      </c>
      <c r="E22" s="18" t="n">
        <v>38.54787638</v>
      </c>
      <c r="F22" s="20" t="n">
        <v>2.96550815</v>
      </c>
      <c r="G22" s="18" t="n">
        <v>58.09183278</v>
      </c>
      <c r="H22" s="20" t="n">
        <v>3.00876559</v>
      </c>
      <c r="I22" s="18" t="s">
        <v>431</v>
      </c>
      <c r="J22" s="20" t="s">
        <v>431</v>
      </c>
      <c r="K22" s="18" t="n">
        <v>0.74722773</v>
      </c>
      <c r="L22" s="20" t="n">
        <v>0.38035401</v>
      </c>
      <c r="M22" s="18" t="n">
        <v>0</v>
      </c>
      <c r="N22" s="20" t="n">
        <v>0</v>
      </c>
      <c r="O22" s="18" t="n">
        <v>0</v>
      </c>
      <c r="P22" s="20" t="n">
        <v>0</v>
      </c>
      <c r="Q22" s="18" t="n">
        <v>2.61306311</v>
      </c>
      <c r="R22" s="20" t="n">
        <v>0.70029463</v>
      </c>
    </row>
    <row r="23" spans="1:18">
      <c r="A23" s="15" t="s">
        <v>447</v>
      </c>
      <c r="B23" s="17" t="n">
        <v>5791</v>
      </c>
      <c r="C23" s="18">
        <f>(5106.0/B23*100)</f>
        <v/>
      </c>
      <c r="D23" s="19" t="n">
        <v>685</v>
      </c>
      <c r="E23" s="18" t="n">
        <v>30.00096372</v>
      </c>
      <c r="F23" s="20" t="n">
        <v>2.68587709</v>
      </c>
      <c r="G23" s="18" t="n">
        <v>69.26797496</v>
      </c>
      <c r="H23" s="20" t="n">
        <v>2.68106626</v>
      </c>
      <c r="I23" s="18" t="s">
        <v>431</v>
      </c>
      <c r="J23" s="20" t="s">
        <v>431</v>
      </c>
      <c r="K23" s="18" t="n">
        <v>0.24070169</v>
      </c>
      <c r="L23" s="20" t="n">
        <v>0.23923506</v>
      </c>
      <c r="M23" s="18" t="n">
        <v>0</v>
      </c>
      <c r="N23" s="20" t="n">
        <v>0</v>
      </c>
      <c r="O23" s="18" t="n">
        <v>0</v>
      </c>
      <c r="P23" s="20" t="n">
        <v>0</v>
      </c>
      <c r="Q23" s="18" t="n">
        <v>0.49035963</v>
      </c>
      <c r="R23" s="20" t="n">
        <v>0.24344117</v>
      </c>
    </row>
    <row r="24" spans="1:18">
      <c r="A24" s="15" t="s">
        <v>448</v>
      </c>
      <c r="B24" s="17" t="n">
        <v>3338</v>
      </c>
      <c r="C24" s="18">
        <f>(2923.0/B24*100)</f>
        <v/>
      </c>
      <c r="D24" s="19" t="n">
        <v>415</v>
      </c>
      <c r="E24" s="18" t="n">
        <v>28.78784446</v>
      </c>
      <c r="F24" s="20" t="n">
        <v>2.0342126</v>
      </c>
      <c r="G24" s="18" t="n">
        <v>70.06384214000001</v>
      </c>
      <c r="H24" s="20" t="n">
        <v>2.01010076</v>
      </c>
      <c r="I24" s="18" t="s">
        <v>431</v>
      </c>
      <c r="J24" s="20" t="s">
        <v>431</v>
      </c>
      <c r="K24" s="18" t="n">
        <v>0</v>
      </c>
      <c r="L24" s="20" t="n">
        <v>0</v>
      </c>
      <c r="M24" s="18" t="n">
        <v>0</v>
      </c>
      <c r="N24" s="20" t="n">
        <v>0</v>
      </c>
      <c r="O24" s="18" t="n">
        <v>0</v>
      </c>
      <c r="P24" s="20" t="n">
        <v>0</v>
      </c>
      <c r="Q24" s="18" t="n">
        <v>1.1483134</v>
      </c>
      <c r="R24" s="20" t="n">
        <v>0.51556495</v>
      </c>
    </row>
    <row r="25" spans="1:18">
      <c r="A25" s="15" t="s">
        <v>449</v>
      </c>
      <c r="B25" s="17" t="n">
        <v>2912</v>
      </c>
      <c r="C25" s="18">
        <f>(2547.0/B25*100)</f>
        <v/>
      </c>
      <c r="D25" s="19" t="n">
        <v>365</v>
      </c>
      <c r="E25" s="18" t="n">
        <v>38.08047362</v>
      </c>
      <c r="F25" s="20" t="n">
        <v>2.5140465</v>
      </c>
      <c r="G25" s="18" t="n">
        <v>61.33735299</v>
      </c>
      <c r="H25" s="20" t="n">
        <v>2.5336605</v>
      </c>
      <c r="I25" s="18" t="s">
        <v>431</v>
      </c>
      <c r="J25" s="20" t="s">
        <v>431</v>
      </c>
      <c r="K25" s="18" t="n">
        <v>0</v>
      </c>
      <c r="L25" s="20" t="n">
        <v>0</v>
      </c>
      <c r="M25" s="18" t="n">
        <v>0</v>
      </c>
      <c r="N25" s="20" t="n">
        <v>0</v>
      </c>
      <c r="O25" s="18" t="n">
        <v>0</v>
      </c>
      <c r="P25" s="20" t="n">
        <v>0</v>
      </c>
      <c r="Q25" s="18" t="n">
        <v>0.58217339</v>
      </c>
      <c r="R25" s="20" t="n">
        <v>0.39948084</v>
      </c>
    </row>
    <row r="26" spans="1:18">
      <c r="A26" s="15" t="s">
        <v>450</v>
      </c>
      <c r="B26" s="17" t="n">
        <v>2450</v>
      </c>
      <c r="C26" s="18">
        <f>(2152.0/B26*100)</f>
        <v/>
      </c>
      <c r="D26" s="19" t="n">
        <v>298</v>
      </c>
      <c r="E26" s="18" t="n">
        <v>39.78281877</v>
      </c>
      <c r="F26" s="20" t="n">
        <v>3.44368983</v>
      </c>
      <c r="G26" s="18" t="n">
        <v>59.93033634</v>
      </c>
      <c r="H26" s="20" t="n">
        <v>3.4377235</v>
      </c>
      <c r="I26" s="18" t="s">
        <v>431</v>
      </c>
      <c r="J26" s="20" t="s">
        <v>431</v>
      </c>
      <c r="K26" s="18" t="n">
        <v>0</v>
      </c>
      <c r="L26" s="20" t="n">
        <v>0</v>
      </c>
      <c r="M26" s="18" t="n">
        <v>0</v>
      </c>
      <c r="N26" s="20" t="n">
        <v>0</v>
      </c>
      <c r="O26" s="18" t="n">
        <v>0</v>
      </c>
      <c r="P26" s="20" t="n">
        <v>0</v>
      </c>
      <c r="Q26" s="18" t="n">
        <v>0.28684488</v>
      </c>
      <c r="R26" s="20" t="n">
        <v>0.27861715</v>
      </c>
    </row>
    <row r="27" spans="1:18">
      <c r="A27" s="15" t="s">
        <v>451</v>
      </c>
      <c r="B27" s="17" t="n">
        <v>2616</v>
      </c>
      <c r="C27" s="18">
        <f>(2287.0/B27*100)</f>
        <v/>
      </c>
      <c r="D27" s="19" t="n">
        <v>329</v>
      </c>
      <c r="E27" s="18" t="n">
        <v>42.57643698</v>
      </c>
      <c r="F27" s="20" t="n">
        <v>2.47077037</v>
      </c>
      <c r="G27" s="18" t="n">
        <v>55.61705174</v>
      </c>
      <c r="H27" s="20" t="n">
        <v>2.4413321</v>
      </c>
      <c r="I27" s="18" t="s">
        <v>431</v>
      </c>
      <c r="J27" s="20" t="s">
        <v>431</v>
      </c>
      <c r="K27" s="18" t="n">
        <v>0.30285656</v>
      </c>
      <c r="L27" s="20" t="n">
        <v>0.30530609</v>
      </c>
      <c r="M27" s="18" t="n">
        <v>0</v>
      </c>
      <c r="N27" s="20" t="n">
        <v>0</v>
      </c>
      <c r="O27" s="18" t="n">
        <v>0</v>
      </c>
      <c r="P27" s="20" t="n">
        <v>0</v>
      </c>
      <c r="Q27" s="18" t="n">
        <v>1.50365472</v>
      </c>
      <c r="R27" s="20" t="n">
        <v>0.66662362</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29.80574478</v>
      </c>
      <c r="F29" s="20" t="n">
        <v>2.66428983</v>
      </c>
      <c r="G29" s="18" t="n">
        <v>68.00407370000001</v>
      </c>
      <c r="H29" s="20" t="n">
        <v>2.58110954</v>
      </c>
      <c r="I29" s="18" t="s">
        <v>431</v>
      </c>
      <c r="J29" s="20" t="s">
        <v>431</v>
      </c>
      <c r="K29" s="18" t="n">
        <v>0.70136714</v>
      </c>
      <c r="L29" s="20" t="n">
        <v>0.50028068</v>
      </c>
      <c r="M29" s="18" t="n">
        <v>0</v>
      </c>
      <c r="N29" s="20" t="n">
        <v>0</v>
      </c>
      <c r="O29" s="18" t="n">
        <v>0</v>
      </c>
      <c r="P29" s="20" t="n">
        <v>0</v>
      </c>
      <c r="Q29" s="18" t="n">
        <v>1.48881437</v>
      </c>
      <c r="R29" s="20" t="n">
        <v>0.70703125</v>
      </c>
    </row>
    <row r="30" spans="1:18">
      <c r="A30" s="15" t="s">
        <v>454</v>
      </c>
      <c r="B30" s="17" t="n">
        <v>2263</v>
      </c>
      <c r="C30" s="18">
        <f>(1992.0/B30*100)</f>
        <v/>
      </c>
      <c r="D30" s="19" t="n">
        <v>271</v>
      </c>
      <c r="E30" s="18" t="n">
        <v>34.40689098</v>
      </c>
      <c r="F30" s="20" t="n">
        <v>3.2047424</v>
      </c>
      <c r="G30" s="18" t="n">
        <v>64.20132755</v>
      </c>
      <c r="H30" s="20" t="n">
        <v>3.22245176</v>
      </c>
      <c r="I30" s="18" t="s">
        <v>431</v>
      </c>
      <c r="J30" s="20" t="s">
        <v>431</v>
      </c>
      <c r="K30" s="18" t="n">
        <v>0</v>
      </c>
      <c r="L30" s="20" t="n">
        <v>0</v>
      </c>
      <c r="M30" s="18" t="n">
        <v>0</v>
      </c>
      <c r="N30" s="20" t="n">
        <v>0</v>
      </c>
      <c r="O30" s="18" t="n">
        <v>0</v>
      </c>
      <c r="P30" s="20" t="n">
        <v>0</v>
      </c>
      <c r="Q30" s="18" t="n">
        <v>1.39178148</v>
      </c>
      <c r="R30" s="20" t="n">
        <v>0.70992641</v>
      </c>
    </row>
    <row r="31" spans="1:18">
      <c r="A31" s="15" t="s">
        <v>455</v>
      </c>
      <c r="B31" s="17" t="n">
        <v>2750</v>
      </c>
      <c r="C31" s="18">
        <f>(2408.0/B31*100)</f>
        <v/>
      </c>
      <c r="D31" s="19" t="n">
        <v>342</v>
      </c>
      <c r="E31" s="18" t="n">
        <v>36.48618741</v>
      </c>
      <c r="F31" s="20" t="n">
        <v>2.61208161</v>
      </c>
      <c r="G31" s="18" t="n">
        <v>61.4404852</v>
      </c>
      <c r="H31" s="20" t="n">
        <v>2.56951199</v>
      </c>
      <c r="I31" s="18" t="s">
        <v>431</v>
      </c>
      <c r="J31" s="20" t="s">
        <v>431</v>
      </c>
      <c r="K31" s="18" t="n">
        <v>0</v>
      </c>
      <c r="L31" s="20" t="n">
        <v>0</v>
      </c>
      <c r="M31" s="18" t="n">
        <v>0</v>
      </c>
      <c r="N31" s="20" t="n">
        <v>0</v>
      </c>
      <c r="O31" s="18" t="n">
        <v>0</v>
      </c>
      <c r="P31" s="20" t="n">
        <v>0</v>
      </c>
      <c r="Q31" s="18" t="n">
        <v>2.07332739</v>
      </c>
      <c r="R31" s="20" t="n">
        <v>0.639155</v>
      </c>
    </row>
    <row r="32" spans="1:18">
      <c r="A32" s="15" t="s">
        <v>456</v>
      </c>
      <c r="B32" s="17" t="n">
        <v>2269</v>
      </c>
      <c r="C32" s="18">
        <f>(1890.0/B32*100)</f>
        <v/>
      </c>
      <c r="D32" s="19" t="n">
        <v>379</v>
      </c>
      <c r="E32" s="18" t="n">
        <v>27.95741166</v>
      </c>
      <c r="F32" s="20" t="n">
        <v>2.49607584</v>
      </c>
      <c r="G32" s="18" t="n">
        <v>71.2626436</v>
      </c>
      <c r="H32" s="20" t="n">
        <v>2.51423262</v>
      </c>
      <c r="I32" s="18" t="s">
        <v>431</v>
      </c>
      <c r="J32" s="20" t="s">
        <v>431</v>
      </c>
      <c r="K32" s="18" t="n">
        <v>0.2725056</v>
      </c>
      <c r="L32" s="20" t="n">
        <v>0.23746833</v>
      </c>
      <c r="M32" s="18" t="n">
        <v>0</v>
      </c>
      <c r="N32" s="20" t="n">
        <v>0</v>
      </c>
      <c r="O32" s="18" t="n">
        <v>0</v>
      </c>
      <c r="P32" s="20" t="n">
        <v>0</v>
      </c>
      <c r="Q32" s="18" t="n">
        <v>0.50743914</v>
      </c>
      <c r="R32" s="20" t="n">
        <v>0.38059371</v>
      </c>
    </row>
    <row r="33" spans="1:18">
      <c r="A33" s="15" t="s">
        <v>457</v>
      </c>
      <c r="B33" s="17" t="n">
        <v>3674</v>
      </c>
      <c r="C33" s="18">
        <f>(3227.0/B33*100)</f>
        <v/>
      </c>
      <c r="D33" s="19" t="n">
        <v>447</v>
      </c>
      <c r="E33" s="18" t="n">
        <v>28.824344</v>
      </c>
      <c r="F33" s="20" t="n">
        <v>2.94611592</v>
      </c>
      <c r="G33" s="18" t="n">
        <v>70.54842389</v>
      </c>
      <c r="H33" s="20" t="n">
        <v>2.97572861</v>
      </c>
      <c r="I33" s="18" t="s">
        <v>431</v>
      </c>
      <c r="J33" s="20" t="s">
        <v>431</v>
      </c>
      <c r="K33" s="18" t="n">
        <v>0</v>
      </c>
      <c r="L33" s="20" t="n">
        <v>0</v>
      </c>
      <c r="M33" s="18" t="n">
        <v>0</v>
      </c>
      <c r="N33" s="20" t="n">
        <v>0</v>
      </c>
      <c r="O33" s="18" t="n">
        <v>0</v>
      </c>
      <c r="P33" s="20" t="n">
        <v>0</v>
      </c>
      <c r="Q33" s="18" t="n">
        <v>0.62723211</v>
      </c>
      <c r="R33" s="20" t="n">
        <v>0.46036716</v>
      </c>
    </row>
    <row r="34" spans="1:18">
      <c r="A34" s="15" t="s">
        <v>458</v>
      </c>
      <c r="B34" s="17" t="n">
        <v>3315</v>
      </c>
      <c r="C34" s="18">
        <f>(2913.0/B34*100)</f>
        <v/>
      </c>
      <c r="D34" s="19" t="n">
        <v>402</v>
      </c>
      <c r="E34" s="18" t="n">
        <v>38.11304928</v>
      </c>
      <c r="F34" s="20" t="n">
        <v>2.76794448</v>
      </c>
      <c r="G34" s="18" t="n">
        <v>59.54558036</v>
      </c>
      <c r="H34" s="20" t="n">
        <v>2.75906273</v>
      </c>
      <c r="I34" s="18" t="s">
        <v>431</v>
      </c>
      <c r="J34" s="20" t="s">
        <v>431</v>
      </c>
      <c r="K34" s="18" t="n">
        <v>0.19234024</v>
      </c>
      <c r="L34" s="20" t="n">
        <v>0.19146941</v>
      </c>
      <c r="M34" s="18" t="n">
        <v>0</v>
      </c>
      <c r="N34" s="20" t="n">
        <v>0</v>
      </c>
      <c r="O34" s="18" t="n">
        <v>0</v>
      </c>
      <c r="P34" s="20" t="n">
        <v>0</v>
      </c>
      <c r="Q34" s="18" t="n">
        <v>2.14903012</v>
      </c>
      <c r="R34" s="20" t="n">
        <v>1.00621448</v>
      </c>
    </row>
    <row r="35" spans="1:18">
      <c r="A35" s="15" t="s">
        <v>459</v>
      </c>
      <c r="B35" s="17" t="n">
        <v>3505</v>
      </c>
      <c r="C35" s="18">
        <f>(3083.0/B35*100)</f>
        <v/>
      </c>
      <c r="D35" s="19" t="n">
        <v>422</v>
      </c>
      <c r="E35" s="18" t="n">
        <v>27.39433259</v>
      </c>
      <c r="F35" s="20" t="n">
        <v>2.70475453</v>
      </c>
      <c r="G35" s="18" t="n">
        <v>71.28701390000001</v>
      </c>
      <c r="H35" s="20" t="n">
        <v>2.74422141</v>
      </c>
      <c r="I35" s="18" t="s">
        <v>431</v>
      </c>
      <c r="J35" s="20" t="s">
        <v>431</v>
      </c>
      <c r="K35" s="18" t="n">
        <v>0.13620103</v>
      </c>
      <c r="L35" s="20" t="n">
        <v>0.13467953</v>
      </c>
      <c r="M35" s="18" t="n">
        <v>0</v>
      </c>
      <c r="N35" s="20" t="n">
        <v>0</v>
      </c>
      <c r="O35" s="18" t="n">
        <v>0</v>
      </c>
      <c r="P35" s="20" t="n">
        <v>0</v>
      </c>
      <c r="Q35" s="18" t="n">
        <v>1.18245248</v>
      </c>
      <c r="R35" s="20" t="n">
        <v>0.50261132</v>
      </c>
    </row>
    <row r="36" spans="1:18">
      <c r="A36" s="15" t="s">
        <v>460</v>
      </c>
      <c r="B36" s="17" t="n">
        <v>3332</v>
      </c>
      <c r="C36" s="18">
        <f>(2913.0/B36*100)</f>
        <v/>
      </c>
      <c r="D36" s="19" t="n">
        <v>419</v>
      </c>
      <c r="E36" s="18" t="n">
        <v>29.80833249</v>
      </c>
      <c r="F36" s="20" t="n">
        <v>2.42150082</v>
      </c>
      <c r="G36" s="18" t="n">
        <v>69.13999289</v>
      </c>
      <c r="H36" s="20" t="n">
        <v>2.38733196</v>
      </c>
      <c r="I36" s="18" t="s">
        <v>431</v>
      </c>
      <c r="J36" s="20" t="s">
        <v>431</v>
      </c>
      <c r="K36" s="18" t="n">
        <v>0</v>
      </c>
      <c r="L36" s="20" t="n">
        <v>0</v>
      </c>
      <c r="M36" s="18" t="n">
        <v>0</v>
      </c>
      <c r="N36" s="20" t="n">
        <v>0</v>
      </c>
      <c r="O36" s="18" t="n">
        <v>0</v>
      </c>
      <c r="P36" s="20" t="n">
        <v>0</v>
      </c>
      <c r="Q36" s="18" t="n">
        <v>1.05167463</v>
      </c>
      <c r="R36" s="20" t="n">
        <v>0.48480213</v>
      </c>
    </row>
    <row r="37" spans="1:18">
      <c r="A37" s="15" t="s">
        <v>461</v>
      </c>
      <c r="B37" s="17" t="n">
        <v>2727</v>
      </c>
      <c r="C37" s="18">
        <f>(2384.0/B37*100)</f>
        <v/>
      </c>
      <c r="D37" s="19" t="n">
        <v>343</v>
      </c>
      <c r="E37" s="18" t="n">
        <v>26.65827145</v>
      </c>
      <c r="F37" s="20" t="n">
        <v>2.78552365</v>
      </c>
      <c r="G37" s="18" t="n">
        <v>70.79937726999999</v>
      </c>
      <c r="H37" s="20" t="n">
        <v>2.863297</v>
      </c>
      <c r="I37" s="18" t="s">
        <v>431</v>
      </c>
      <c r="J37" s="20" t="s">
        <v>431</v>
      </c>
      <c r="K37" s="18" t="n">
        <v>0.59424997</v>
      </c>
      <c r="L37" s="20" t="n">
        <v>0.41785183</v>
      </c>
      <c r="M37" s="18" t="n">
        <v>0</v>
      </c>
      <c r="N37" s="20" t="n">
        <v>0</v>
      </c>
      <c r="O37" s="18" t="n">
        <v>0</v>
      </c>
      <c r="P37" s="20" t="n">
        <v>0</v>
      </c>
      <c r="Q37" s="18" t="n">
        <v>1.94810131</v>
      </c>
      <c r="R37" s="20" t="n">
        <v>0.72579743</v>
      </c>
    </row>
    <row r="38" spans="1:18">
      <c r="A38" s="15" t="s">
        <v>462</v>
      </c>
      <c r="B38" s="17" t="n">
        <v>3053</v>
      </c>
      <c r="C38" s="18">
        <f>(2508.0/B38*100)</f>
        <v/>
      </c>
      <c r="D38" s="19" t="n">
        <v>545</v>
      </c>
      <c r="E38" s="18" t="n">
        <v>34.40208798</v>
      </c>
      <c r="F38" s="20" t="n">
        <v>2.41833129</v>
      </c>
      <c r="G38" s="18" t="n">
        <v>63.38406481</v>
      </c>
      <c r="H38" s="20" t="n">
        <v>2.51193865</v>
      </c>
      <c r="I38" s="18" t="s">
        <v>431</v>
      </c>
      <c r="J38" s="20" t="s">
        <v>431</v>
      </c>
      <c r="K38" s="18" t="n">
        <v>0.17789475</v>
      </c>
      <c r="L38" s="20" t="n">
        <v>0.1779323</v>
      </c>
      <c r="M38" s="18" t="n">
        <v>0</v>
      </c>
      <c r="N38" s="20" t="n">
        <v>0</v>
      </c>
      <c r="O38" s="18" t="n">
        <v>0</v>
      </c>
      <c r="P38" s="20" t="n">
        <v>0</v>
      </c>
      <c r="Q38" s="18" t="n">
        <v>2.03595246</v>
      </c>
      <c r="R38" s="20" t="n">
        <v>0.56714003</v>
      </c>
    </row>
    <row r="39" spans="1:18">
      <c r="A39" s="15" t="s">
        <v>463</v>
      </c>
      <c r="B39" s="17" t="n">
        <v>2957</v>
      </c>
      <c r="C39" s="18">
        <f>(2585.0/B39*100)</f>
        <v/>
      </c>
      <c r="D39" s="19" t="n">
        <v>372</v>
      </c>
      <c r="E39" s="18" t="n">
        <v>46.45453903</v>
      </c>
      <c r="F39" s="20" t="n">
        <v>2.7907251</v>
      </c>
      <c r="G39" s="18" t="n">
        <v>52.14764251</v>
      </c>
      <c r="H39" s="20" t="n">
        <v>2.91891982</v>
      </c>
      <c r="I39" s="18" t="s">
        <v>431</v>
      </c>
      <c r="J39" s="20" t="s">
        <v>431</v>
      </c>
      <c r="K39" s="18" t="n">
        <v>0</v>
      </c>
      <c r="L39" s="20" t="n">
        <v>0</v>
      </c>
      <c r="M39" s="18" t="n">
        <v>0</v>
      </c>
      <c r="N39" s="20" t="n">
        <v>0</v>
      </c>
      <c r="O39" s="18" t="n">
        <v>0</v>
      </c>
      <c r="P39" s="20" t="n">
        <v>0</v>
      </c>
      <c r="Q39" s="18" t="n">
        <v>1.39781846</v>
      </c>
      <c r="R39" s="20" t="n">
        <v>0.66534322</v>
      </c>
    </row>
    <row r="40" spans="1:18">
      <c r="A40" s="15" t="s">
        <v>464</v>
      </c>
      <c r="B40" s="17" t="n">
        <v>7235</v>
      </c>
      <c r="C40" s="18">
        <f>(6333.0/B40*100)</f>
        <v/>
      </c>
      <c r="D40" s="19" t="n">
        <v>902</v>
      </c>
      <c r="E40" s="18" t="n">
        <v>38.23319675</v>
      </c>
      <c r="F40" s="20" t="n">
        <v>2.47591628</v>
      </c>
      <c r="G40" s="18" t="n">
        <v>59.96156864</v>
      </c>
      <c r="H40" s="20" t="n">
        <v>2.43345047</v>
      </c>
      <c r="I40" s="18" t="s">
        <v>431</v>
      </c>
      <c r="J40" s="20" t="s">
        <v>431</v>
      </c>
      <c r="K40" s="18" t="n">
        <v>0.06833392000000001</v>
      </c>
      <c r="L40" s="20" t="n">
        <v>0.042439</v>
      </c>
      <c r="M40" s="18" t="n">
        <v>0</v>
      </c>
      <c r="N40" s="20" t="n">
        <v>0</v>
      </c>
      <c r="O40" s="18" t="n">
        <v>0</v>
      </c>
      <c r="P40" s="20" t="n">
        <v>0</v>
      </c>
      <c r="Q40" s="18" t="n">
        <v>1.73690069</v>
      </c>
      <c r="R40" s="20" t="n">
        <v>0.74501279</v>
      </c>
    </row>
    <row r="41" spans="1:18">
      <c r="A41" s="15" t="s">
        <v>465</v>
      </c>
      <c r="B41" s="17" t="n">
        <v>2858</v>
      </c>
      <c r="C41" s="18">
        <f>(2497.0/B41*100)</f>
        <v/>
      </c>
      <c r="D41" s="19" t="n">
        <v>361</v>
      </c>
      <c r="E41" s="18" t="n">
        <v>35.23708095</v>
      </c>
      <c r="F41" s="20" t="n">
        <v>2.72931499</v>
      </c>
      <c r="G41" s="18" t="n">
        <v>64.54196894</v>
      </c>
      <c r="H41" s="20" t="n">
        <v>2.74395573</v>
      </c>
      <c r="I41" s="18" t="s">
        <v>431</v>
      </c>
      <c r="J41" s="20" t="s">
        <v>431</v>
      </c>
      <c r="K41" s="18" t="n">
        <v>0</v>
      </c>
      <c r="L41" s="20" t="n">
        <v>0</v>
      </c>
      <c r="M41" s="18" t="n">
        <v>0</v>
      </c>
      <c r="N41" s="20" t="n">
        <v>0</v>
      </c>
      <c r="O41" s="18" t="n">
        <v>0</v>
      </c>
      <c r="P41" s="20" t="n">
        <v>0</v>
      </c>
      <c r="Q41" s="18" t="n">
        <v>0.22095012</v>
      </c>
      <c r="R41" s="20" t="n">
        <v>0.22517422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(4510.0/B48*100)</f>
        <v/>
      </c>
      <c r="D48" s="19" t="n">
        <v>649</v>
      </c>
      <c r="E48" s="18" t="n">
        <v>38.96674105</v>
      </c>
      <c r="F48" s="20" t="n">
        <v>2.19917964</v>
      </c>
      <c r="G48" s="18" t="n">
        <v>59.48602974</v>
      </c>
      <c r="H48" s="20" t="n">
        <v>2.17757647</v>
      </c>
      <c r="I48" s="18" t="s">
        <v>431</v>
      </c>
      <c r="J48" s="20" t="s">
        <v>431</v>
      </c>
      <c r="K48" s="18" t="n">
        <v>0.27346367</v>
      </c>
      <c r="L48" s="20" t="n">
        <v>0.28353373</v>
      </c>
      <c r="M48" s="18" t="n">
        <v>0</v>
      </c>
      <c r="N48" s="20" t="n">
        <v>0</v>
      </c>
      <c r="O48" s="18" t="n">
        <v>0</v>
      </c>
      <c r="P48" s="20" t="n">
        <v>0</v>
      </c>
      <c r="Q48" s="18" t="n">
        <v>1.27376555</v>
      </c>
      <c r="R48" s="20" t="n">
        <v>0.58953251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(2453.0/B52*100)</f>
        <v/>
      </c>
      <c r="D52" s="19" t="n">
        <v>343</v>
      </c>
      <c r="E52" s="18" t="n">
        <v>36.13515635</v>
      </c>
      <c r="F52" s="20" t="n">
        <v>2.5903125</v>
      </c>
      <c r="G52" s="18" t="n">
        <v>61.93393873</v>
      </c>
      <c r="H52" s="20" t="n">
        <v>2.53800105</v>
      </c>
      <c r="I52" s="18" t="s">
        <v>431</v>
      </c>
      <c r="J52" s="20" t="s">
        <v>431</v>
      </c>
      <c r="K52" s="18" t="n">
        <v>0</v>
      </c>
      <c r="L52" s="20" t="n">
        <v>0</v>
      </c>
      <c r="M52" s="18" t="n">
        <v>0</v>
      </c>
      <c r="N52" s="20" t="n">
        <v>0</v>
      </c>
      <c r="O52" s="18" t="n">
        <v>0</v>
      </c>
      <c r="P52" s="20" t="n">
        <v>0</v>
      </c>
      <c r="Q52" s="18" t="n">
        <v>1.93090492</v>
      </c>
      <c r="R52" s="20" t="n">
        <v>0.61415868</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32.20484561</v>
      </c>
      <c r="F56" s="20" t="n">
        <v>2.97546468</v>
      </c>
      <c r="G56" s="18" t="n">
        <v>66.29936681</v>
      </c>
      <c r="H56" s="20" t="n">
        <v>3.15673499</v>
      </c>
      <c r="I56" s="18" t="s">
        <v>431</v>
      </c>
      <c r="J56" s="20" t="s">
        <v>431</v>
      </c>
      <c r="K56" s="18" t="n">
        <v>0</v>
      </c>
      <c r="L56" s="20" t="n">
        <v>0</v>
      </c>
      <c r="M56" s="18" t="n">
        <v>0</v>
      </c>
      <c r="N56" s="20" t="n">
        <v>0</v>
      </c>
      <c r="O56" s="18" t="n">
        <v>0</v>
      </c>
      <c r="P56" s="20" t="n">
        <v>0</v>
      </c>
      <c r="Q56" s="18" t="n">
        <v>1.49578758</v>
      </c>
      <c r="R56" s="20" t="n">
        <v>0.78260006</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(2891.0/B61*100)</f>
        <v/>
      </c>
      <c r="D61" s="19" t="n">
        <v>433</v>
      </c>
      <c r="E61" s="18" t="n">
        <v>36.93723625</v>
      </c>
      <c r="F61" s="20" t="n">
        <v>2.85113432</v>
      </c>
      <c r="G61" s="18" t="n">
        <v>61.90163918</v>
      </c>
      <c r="H61" s="20" t="n">
        <v>2.8725171</v>
      </c>
      <c r="I61" s="18" t="s">
        <v>431</v>
      </c>
      <c r="J61" s="20" t="s">
        <v>431</v>
      </c>
      <c r="K61" s="18" t="n">
        <v>0</v>
      </c>
      <c r="L61" s="20" t="n">
        <v>0</v>
      </c>
      <c r="M61" s="18" t="n">
        <v>0</v>
      </c>
      <c r="N61" s="20" t="n">
        <v>0</v>
      </c>
      <c r="O61" s="18" t="n">
        <v>0</v>
      </c>
      <c r="P61" s="20" t="n">
        <v>0</v>
      </c>
      <c r="Q61" s="18" t="n">
        <v>1.16112456</v>
      </c>
      <c r="R61" s="20" t="n">
        <v>0.49879345</v>
      </c>
    </row>
    <row r="62" spans="1:18">
      <c r="A62" s="15" t="s">
        <v>486</v>
      </c>
      <c r="B62" s="17" t="n">
        <v>2246</v>
      </c>
      <c r="C62" s="18">
        <f>(1963.0/B62*100)</f>
        <v/>
      </c>
      <c r="D62" s="19" t="n">
        <v>283</v>
      </c>
      <c r="E62" s="18" t="n">
        <v>35.03264633</v>
      </c>
      <c r="F62" s="20" t="n">
        <v>2.30714049</v>
      </c>
      <c r="G62" s="18" t="n">
        <v>63.55139619</v>
      </c>
      <c r="H62" s="20" t="n">
        <v>2.4024716</v>
      </c>
      <c r="I62" s="18" t="s">
        <v>431</v>
      </c>
      <c r="J62" s="20" t="s">
        <v>431</v>
      </c>
      <c r="K62" s="18" t="n">
        <v>0.3630653</v>
      </c>
      <c r="L62" s="20" t="n">
        <v>0.36152681</v>
      </c>
      <c r="M62" s="18" t="n">
        <v>0</v>
      </c>
      <c r="N62" s="20" t="n">
        <v>0</v>
      </c>
      <c r="O62" s="18" t="n">
        <v>0</v>
      </c>
      <c r="P62" s="20" t="n">
        <v>0</v>
      </c>
      <c r="Q62" s="18" t="n">
        <v>1.05289218</v>
      </c>
      <c r="R62" s="20" t="n">
        <v>0.60550752</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(2549.0/B66*100)</f>
        <v/>
      </c>
      <c r="D66" s="19" t="n">
        <v>345</v>
      </c>
      <c r="E66" s="18" t="n">
        <v>40.01486934</v>
      </c>
      <c r="F66" s="20" t="n">
        <v>2.94091234</v>
      </c>
      <c r="G66" s="18" t="n">
        <v>53.49290869</v>
      </c>
      <c r="H66" s="20" t="n">
        <v>2.87977606</v>
      </c>
      <c r="I66" s="18" t="s">
        <v>431</v>
      </c>
      <c r="J66" s="20" t="s">
        <v>431</v>
      </c>
      <c r="K66" s="18" t="n">
        <v>0.85203328</v>
      </c>
      <c r="L66" s="20" t="n">
        <v>0.50206712</v>
      </c>
      <c r="M66" s="18" t="n">
        <v>0</v>
      </c>
      <c r="N66" s="20" t="n">
        <v>0</v>
      </c>
      <c r="O66" s="18" t="n">
        <v>0</v>
      </c>
      <c r="P66" s="20" t="n">
        <v>0</v>
      </c>
      <c r="Q66" s="18" t="n">
        <v>5.64018869</v>
      </c>
      <c r="R66" s="20" t="n">
        <v>1.17181309</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(2575.0/B70*100)</f>
        <v/>
      </c>
      <c r="D70" s="19" t="n">
        <v>354</v>
      </c>
      <c r="E70" s="18" t="n">
        <v>28.51955795</v>
      </c>
      <c r="F70" s="20" t="n">
        <v>2.74645284</v>
      </c>
      <c r="G70" s="18" t="n">
        <v>70.14799626</v>
      </c>
      <c r="H70" s="20" t="n">
        <v>2.9171973</v>
      </c>
      <c r="I70" s="18" t="s">
        <v>431</v>
      </c>
      <c r="J70" s="20" t="s">
        <v>431</v>
      </c>
      <c r="K70" s="18" t="n">
        <v>0.23629908</v>
      </c>
      <c r="L70" s="20" t="n">
        <v>0.33525562</v>
      </c>
      <c r="M70" s="18" t="n">
        <v>0</v>
      </c>
      <c r="N70" s="20" t="n">
        <v>0</v>
      </c>
      <c r="O70" s="18" t="n">
        <v>0</v>
      </c>
      <c r="P70" s="20" t="n">
        <v>0</v>
      </c>
      <c r="Q70" s="18" t="n">
        <v>1.09614671</v>
      </c>
      <c r="R70" s="20" t="n">
        <v>0.63085512</v>
      </c>
    </row>
    <row r="71" spans="1:18">
      <c r="A71" s="15" t="s">
        <v>495</v>
      </c>
      <c r="B71" s="17" t="n">
        <v>3142</v>
      </c>
      <c r="C71" s="18">
        <f>(2763.0/B71*100)</f>
        <v/>
      </c>
      <c r="D71" s="19" t="n">
        <v>379</v>
      </c>
      <c r="E71" s="18" t="n">
        <v>33.05891436</v>
      </c>
      <c r="F71" s="20" t="n">
        <v>2.67152509</v>
      </c>
      <c r="G71" s="18" t="n">
        <v>66.00819903</v>
      </c>
      <c r="H71" s="20" t="n">
        <v>2.75175431</v>
      </c>
      <c r="I71" s="18" t="s">
        <v>431</v>
      </c>
      <c r="J71" s="20" t="s">
        <v>431</v>
      </c>
      <c r="K71" s="18" t="n">
        <v>0.48518651</v>
      </c>
      <c r="L71" s="20" t="n">
        <v>0.34179447</v>
      </c>
      <c r="M71" s="18" t="n">
        <v>0</v>
      </c>
      <c r="N71" s="20" t="n">
        <v>0</v>
      </c>
      <c r="O71" s="18" t="n">
        <v>0</v>
      </c>
      <c r="P71" s="20" t="n">
        <v>0</v>
      </c>
      <c r="Q71" s="18" t="n">
        <v>0.44770009</v>
      </c>
      <c r="R71" s="20" t="n">
        <v>0.30709657</v>
      </c>
    </row>
    <row r="72" spans="1:18">
      <c r="A72" s="15" t="s">
        <v>496</v>
      </c>
      <c r="B72" s="17" t="n">
        <v>3889</v>
      </c>
      <c r="C72" s="18">
        <f>(3414.0/B72*100)</f>
        <v/>
      </c>
      <c r="D72" s="19" t="n">
        <v>475</v>
      </c>
      <c r="E72" s="18" t="n">
        <v>32.19312425</v>
      </c>
      <c r="F72" s="20" t="n">
        <v>2.21877349</v>
      </c>
      <c r="G72" s="18" t="n">
        <v>66.97956032</v>
      </c>
      <c r="H72" s="20" t="n">
        <v>2.21513299</v>
      </c>
      <c r="I72" s="18" t="s">
        <v>431</v>
      </c>
      <c r="J72" s="20" t="s">
        <v>431</v>
      </c>
      <c r="K72" s="18" t="n">
        <v>0.16507679</v>
      </c>
      <c r="L72" s="20" t="n">
        <v>0.16561767</v>
      </c>
      <c r="M72" s="18" t="n">
        <v>0</v>
      </c>
      <c r="N72" s="20" t="n">
        <v>0</v>
      </c>
      <c r="O72" s="18" t="n">
        <v>0</v>
      </c>
      <c r="P72" s="20" t="n">
        <v>0</v>
      </c>
      <c r="Q72" s="18" t="n">
        <v>0.66223864</v>
      </c>
      <c r="R72" s="20" t="n">
        <v>0.40046388</v>
      </c>
    </row>
    <row r="73" spans="1:18">
      <c r="A73" s="15" t="s">
        <v>497</v>
      </c>
      <c r="B73" s="17" t="n">
        <v>3597</v>
      </c>
      <c r="C73" s="18">
        <f>(3142.0/B73*100)</f>
        <v/>
      </c>
      <c r="D73" s="19" t="n">
        <v>455</v>
      </c>
      <c r="E73" s="18" t="n">
        <v>33.74784459</v>
      </c>
      <c r="F73" s="20" t="n">
        <v>2.75759132</v>
      </c>
      <c r="G73" s="18" t="n">
        <v>64.65866281</v>
      </c>
      <c r="H73" s="20" t="n">
        <v>2.8969615</v>
      </c>
      <c r="I73" s="18" t="s">
        <v>431</v>
      </c>
      <c r="J73" s="20" t="s">
        <v>431</v>
      </c>
      <c r="K73" s="18" t="n">
        <v>0</v>
      </c>
      <c r="L73" s="20" t="n">
        <v>0</v>
      </c>
      <c r="M73" s="18" t="n">
        <v>0</v>
      </c>
      <c r="N73" s="20" t="n">
        <v>0</v>
      </c>
      <c r="O73" s="18" t="n">
        <v>0</v>
      </c>
      <c r="P73" s="20" t="n">
        <v>0</v>
      </c>
      <c r="Q73" s="18" t="n">
        <v>1.5934926</v>
      </c>
      <c r="R73" s="20" t="n">
        <v>0.68214095</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(6439.0/B7*100)</f>
        <v/>
      </c>
      <c r="D7" s="19" t="n">
        <v>928</v>
      </c>
      <c r="E7" s="18" t="n">
        <v>17.91627055</v>
      </c>
      <c r="F7" s="20" t="n">
        <v>1.35629019</v>
      </c>
      <c r="G7" s="18" t="n">
        <v>74.65744567</v>
      </c>
      <c r="H7" s="20" t="n">
        <v>1.43500141</v>
      </c>
      <c r="I7" s="18" t="s">
        <v>431</v>
      </c>
      <c r="J7" s="20" t="s">
        <v>431</v>
      </c>
      <c r="K7" s="18" t="n">
        <v>0.08528033</v>
      </c>
      <c r="L7" s="20" t="n">
        <v>0.04944103</v>
      </c>
      <c r="M7" s="18" t="n">
        <v>0.0287603</v>
      </c>
      <c r="N7" s="20" t="n">
        <v>0.0200857</v>
      </c>
      <c r="O7" s="18" t="n">
        <v>0</v>
      </c>
      <c r="P7" s="20" t="n">
        <v>0</v>
      </c>
      <c r="Q7" s="18" t="n">
        <v>7.31224316</v>
      </c>
      <c r="R7" s="20" t="n">
        <v>1.02398571</v>
      </c>
    </row>
    <row r="8" spans="1:18">
      <c r="A8" s="15" t="s">
        <v>432</v>
      </c>
      <c r="B8" s="17" t="n">
        <v>3564</v>
      </c>
      <c r="C8" s="18">
        <f>(3144.0/B8*100)</f>
        <v/>
      </c>
      <c r="D8" s="19" t="n">
        <v>420</v>
      </c>
      <c r="E8" s="18" t="n">
        <v>25.55023597</v>
      </c>
      <c r="F8" s="20" t="n">
        <v>2.16983071</v>
      </c>
      <c r="G8" s="18" t="n">
        <v>63.05478659</v>
      </c>
      <c r="H8" s="20" t="n">
        <v>2.62782099</v>
      </c>
      <c r="I8" s="18" t="s">
        <v>431</v>
      </c>
      <c r="J8" s="20" t="s">
        <v>431</v>
      </c>
      <c r="K8" s="18" t="n">
        <v>0</v>
      </c>
      <c r="L8" s="20" t="n">
        <v>0</v>
      </c>
      <c r="M8" s="18" t="n">
        <v>0</v>
      </c>
      <c r="N8" s="20" t="n">
        <v>0</v>
      </c>
      <c r="O8" s="18" t="n">
        <v>0</v>
      </c>
      <c r="P8" s="20" t="n">
        <v>0</v>
      </c>
      <c r="Q8" s="18" t="n">
        <v>11.39497744</v>
      </c>
      <c r="R8" s="20" t="n">
        <v>1.65087373</v>
      </c>
    </row>
    <row r="9" spans="1:18">
      <c r="A9" s="15" t="s">
        <v>433</v>
      </c>
      <c r="B9" s="17" t="n">
        <v>4899</v>
      </c>
      <c r="C9" s="18">
        <f>(4298.0/B9*100)</f>
        <v/>
      </c>
      <c r="D9" s="19" t="n">
        <v>601</v>
      </c>
      <c r="E9" s="18" t="n">
        <v>24.19849562</v>
      </c>
      <c r="F9" s="20" t="n">
        <v>1.91057892</v>
      </c>
      <c r="G9" s="18" t="n">
        <v>64.63782558</v>
      </c>
      <c r="H9" s="20" t="n">
        <v>2.34831069</v>
      </c>
      <c r="I9" s="18" t="s">
        <v>431</v>
      </c>
      <c r="J9" s="20" t="s">
        <v>431</v>
      </c>
      <c r="K9" s="18" t="n">
        <v>0</v>
      </c>
      <c r="L9" s="20" t="n">
        <v>0</v>
      </c>
      <c r="M9" s="18" t="n">
        <v>0.13992209</v>
      </c>
      <c r="N9" s="20" t="n">
        <v>0.1251721</v>
      </c>
      <c r="O9" s="18" t="n">
        <v>0</v>
      </c>
      <c r="P9" s="20" t="n">
        <v>0</v>
      </c>
      <c r="Q9" s="18" t="n">
        <v>11.02375671</v>
      </c>
      <c r="R9" s="20" t="n">
        <v>1.43359977</v>
      </c>
    </row>
    <row r="10" spans="1:18">
      <c r="A10" s="15" t="s">
        <v>434</v>
      </c>
      <c r="B10" s="17" t="n">
        <v>10036</v>
      </c>
      <c r="C10" s="18">
        <f>(8830.0/B10*100)</f>
        <v/>
      </c>
      <c r="D10" s="19" t="n">
        <v>1206</v>
      </c>
      <c r="E10" s="18" t="n">
        <v>21.82143919</v>
      </c>
      <c r="F10" s="20" t="n">
        <v>1.86387841</v>
      </c>
      <c r="G10" s="18" t="n">
        <v>74.75261396000001</v>
      </c>
      <c r="H10" s="20" t="n">
        <v>1.98598476</v>
      </c>
      <c r="I10" s="18" t="s">
        <v>431</v>
      </c>
      <c r="J10" s="20" t="s">
        <v>431</v>
      </c>
      <c r="K10" s="18" t="n">
        <v>0.31731279</v>
      </c>
      <c r="L10" s="20" t="n">
        <v>0.28067588</v>
      </c>
      <c r="M10" s="18" t="n">
        <v>0.08932189</v>
      </c>
      <c r="N10" s="20" t="n">
        <v>0.0892091</v>
      </c>
      <c r="O10" s="18" t="n">
        <v>0</v>
      </c>
      <c r="P10" s="20" t="n">
        <v>0</v>
      </c>
      <c r="Q10" s="18" t="n">
        <v>3.01931216</v>
      </c>
      <c r="R10" s="20" t="n">
        <v>0.67729317</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(3040.0/B12*100)</f>
        <v/>
      </c>
      <c r="D12" s="19" t="n">
        <v>432</v>
      </c>
      <c r="E12" s="18" t="n">
        <v>22.78898734</v>
      </c>
      <c r="F12" s="20" t="n">
        <v>2.44231242</v>
      </c>
      <c r="G12" s="18" t="n">
        <v>62.85492964</v>
      </c>
      <c r="H12" s="20" t="n">
        <v>2.54463897</v>
      </c>
      <c r="I12" s="18" t="s">
        <v>431</v>
      </c>
      <c r="J12" s="20" t="s">
        <v>431</v>
      </c>
      <c r="K12" s="18" t="n">
        <v>0</v>
      </c>
      <c r="L12" s="20" t="n">
        <v>0</v>
      </c>
      <c r="M12" s="18" t="n">
        <v>0</v>
      </c>
      <c r="N12" s="20" t="n">
        <v>0</v>
      </c>
      <c r="O12" s="18" t="n">
        <v>0</v>
      </c>
      <c r="P12" s="20" t="n">
        <v>0</v>
      </c>
      <c r="Q12" s="18" t="n">
        <v>14.35608302</v>
      </c>
      <c r="R12" s="20" t="n">
        <v>2.11798942</v>
      </c>
    </row>
    <row r="13" spans="1:18">
      <c r="A13" s="15" t="s">
        <v>437</v>
      </c>
      <c r="B13" s="17" t="n">
        <v>3559</v>
      </c>
      <c r="C13" s="18">
        <f>(3143.0/B13*100)</f>
        <v/>
      </c>
      <c r="D13" s="19" t="n">
        <v>416</v>
      </c>
      <c r="E13" s="18" t="n">
        <v>23.19426022</v>
      </c>
      <c r="F13" s="20" t="n">
        <v>2.6215582</v>
      </c>
      <c r="G13" s="18" t="n">
        <v>71.17711444</v>
      </c>
      <c r="H13" s="20" t="n">
        <v>2.62752829</v>
      </c>
      <c r="I13" s="18" t="s">
        <v>431</v>
      </c>
      <c r="J13" s="20" t="s">
        <v>431</v>
      </c>
      <c r="K13" s="18" t="n">
        <v>0.14417021</v>
      </c>
      <c r="L13" s="20" t="n">
        <v>0.14801545</v>
      </c>
      <c r="M13" s="18" t="n">
        <v>0</v>
      </c>
      <c r="N13" s="20" t="n">
        <v>0</v>
      </c>
      <c r="O13" s="18" t="n">
        <v>0</v>
      </c>
      <c r="P13" s="20" t="n">
        <v>0</v>
      </c>
      <c r="Q13" s="18" t="n">
        <v>5.48445512</v>
      </c>
      <c r="R13" s="20" t="n">
        <v>1.20172241</v>
      </c>
    </row>
    <row r="14" spans="1:18">
      <c r="A14" s="15" t="s">
        <v>438</v>
      </c>
      <c r="B14" s="17" t="n">
        <v>2799</v>
      </c>
      <c r="C14" s="18">
        <f>(2453.0/B14*100)</f>
        <v/>
      </c>
      <c r="D14" s="19" t="n">
        <v>346</v>
      </c>
      <c r="E14" s="18" t="n">
        <v>29.15034864</v>
      </c>
      <c r="F14" s="20" t="n">
        <v>2.7994871</v>
      </c>
      <c r="G14" s="18" t="n">
        <v>69.11324645000001</v>
      </c>
      <c r="H14" s="20" t="n">
        <v>2.77017485</v>
      </c>
      <c r="I14" s="18" t="s">
        <v>431</v>
      </c>
      <c r="J14" s="20" t="s">
        <v>431</v>
      </c>
      <c r="K14" s="18" t="n">
        <v>0</v>
      </c>
      <c r="L14" s="20" t="n">
        <v>0</v>
      </c>
      <c r="M14" s="18" t="n">
        <v>0</v>
      </c>
      <c r="N14" s="20" t="n">
        <v>0</v>
      </c>
      <c r="O14" s="18" t="n">
        <v>0</v>
      </c>
      <c r="P14" s="20" t="n">
        <v>0</v>
      </c>
      <c r="Q14" s="18" t="n">
        <v>1.73640491</v>
      </c>
      <c r="R14" s="20" t="n">
        <v>0.6460055</v>
      </c>
    </row>
    <row r="15" spans="1:18">
      <c r="A15" s="15" t="s">
        <v>439</v>
      </c>
      <c r="B15" s="17" t="n">
        <v>3019</v>
      </c>
      <c r="C15" s="18">
        <f>(2645.0/B15*100)</f>
        <v/>
      </c>
      <c r="D15" s="19" t="n">
        <v>374</v>
      </c>
      <c r="E15" s="18" t="n">
        <v>13.34252746</v>
      </c>
      <c r="F15" s="20" t="n">
        <v>1.81569797</v>
      </c>
      <c r="G15" s="18" t="n">
        <v>80.61796725000001</v>
      </c>
      <c r="H15" s="20" t="n">
        <v>2.12900641</v>
      </c>
      <c r="I15" s="18" t="s">
        <v>431</v>
      </c>
      <c r="J15" s="20" t="s">
        <v>431</v>
      </c>
      <c r="K15" s="18" t="n">
        <v>0.76496661</v>
      </c>
      <c r="L15" s="20" t="n">
        <v>0.4466853</v>
      </c>
      <c r="M15" s="18" t="n">
        <v>0</v>
      </c>
      <c r="N15" s="20" t="n">
        <v>0</v>
      </c>
      <c r="O15" s="18" t="n">
        <v>0</v>
      </c>
      <c r="P15" s="20" t="n">
        <v>0</v>
      </c>
      <c r="Q15" s="18" t="n">
        <v>5.27453868</v>
      </c>
      <c r="R15" s="20" t="n">
        <v>1.17248317</v>
      </c>
    </row>
    <row r="16" spans="1:18">
      <c r="A16" s="15" t="s">
        <v>440</v>
      </c>
      <c r="B16" s="17" t="n">
        <v>2997</v>
      </c>
      <c r="C16" s="18">
        <f>(2617.0/B16*100)</f>
        <v/>
      </c>
      <c r="D16" s="19" t="n">
        <v>380</v>
      </c>
      <c r="E16" s="18" t="n">
        <v>20.80060687</v>
      </c>
      <c r="F16" s="20" t="n">
        <v>2.51075623</v>
      </c>
      <c r="G16" s="18" t="n">
        <v>59.51274093</v>
      </c>
      <c r="H16" s="20" t="n">
        <v>2.41968637</v>
      </c>
      <c r="I16" s="18" t="s">
        <v>431</v>
      </c>
      <c r="J16" s="20" t="s">
        <v>431</v>
      </c>
      <c r="K16" s="18" t="n">
        <v>0.90918484</v>
      </c>
      <c r="L16" s="20" t="n">
        <v>0.52468302</v>
      </c>
      <c r="M16" s="18" t="n">
        <v>0</v>
      </c>
      <c r="N16" s="20" t="n">
        <v>0</v>
      </c>
      <c r="O16" s="18" t="n">
        <v>0</v>
      </c>
      <c r="P16" s="20" t="n">
        <v>0</v>
      </c>
      <c r="Q16" s="18" t="n">
        <v>18.77746736</v>
      </c>
      <c r="R16" s="20" t="n">
        <v>1.81021443</v>
      </c>
    </row>
    <row r="17" spans="1:18">
      <c r="A17" s="15" t="s">
        <v>441</v>
      </c>
      <c r="B17" s="17" t="n">
        <v>3307</v>
      </c>
      <c r="C17" s="18">
        <f>(2911.0/B17*100)</f>
        <v/>
      </c>
      <c r="D17" s="19" t="n">
        <v>396</v>
      </c>
      <c r="E17" s="18" t="n">
        <v>24.36679896</v>
      </c>
      <c r="F17" s="20" t="n">
        <v>2.36229155</v>
      </c>
      <c r="G17" s="18" t="n">
        <v>62.24435176</v>
      </c>
      <c r="H17" s="20" t="n">
        <v>2.64995093</v>
      </c>
      <c r="I17" s="18" t="s">
        <v>431</v>
      </c>
      <c r="J17" s="20" t="s">
        <v>431</v>
      </c>
      <c r="K17" s="18" t="n">
        <v>0.32045638</v>
      </c>
      <c r="L17" s="20" t="n">
        <v>0.3102853</v>
      </c>
      <c r="M17" s="18" t="n">
        <v>0</v>
      </c>
      <c r="N17" s="20" t="n">
        <v>0</v>
      </c>
      <c r="O17" s="18" t="n">
        <v>0</v>
      </c>
      <c r="P17" s="20" t="n">
        <v>0</v>
      </c>
      <c r="Q17" s="18" t="n">
        <v>13.0683929</v>
      </c>
      <c r="R17" s="20" t="n">
        <v>1.54930433</v>
      </c>
    </row>
    <row r="18" spans="1:18">
      <c r="A18" s="15" t="s">
        <v>442</v>
      </c>
      <c r="B18" s="17" t="n">
        <v>2826</v>
      </c>
      <c r="C18" s="18">
        <f>(2474.0/B18*100)</f>
        <v/>
      </c>
      <c r="D18" s="19" t="n">
        <v>352</v>
      </c>
      <c r="E18" s="18" t="n">
        <v>16.45736387</v>
      </c>
      <c r="F18" s="20" t="n">
        <v>2.10797716</v>
      </c>
      <c r="G18" s="18" t="n">
        <v>69.68116291</v>
      </c>
      <c r="H18" s="20" t="n">
        <v>2.62447929</v>
      </c>
      <c r="I18" s="18" t="s">
        <v>431</v>
      </c>
      <c r="J18" s="20" t="s">
        <v>431</v>
      </c>
      <c r="K18" s="18" t="n">
        <v>0</v>
      </c>
      <c r="L18" s="20" t="n">
        <v>0</v>
      </c>
      <c r="M18" s="18" t="n">
        <v>0</v>
      </c>
      <c r="N18" s="20" t="n">
        <v>0</v>
      </c>
      <c r="O18" s="18" t="n">
        <v>0</v>
      </c>
      <c r="P18" s="20" t="n">
        <v>0</v>
      </c>
      <c r="Q18" s="18" t="n">
        <v>13.86147322</v>
      </c>
      <c r="R18" s="20" t="n">
        <v>2.28018935</v>
      </c>
    </row>
    <row r="19" spans="1:18">
      <c r="A19" s="15" t="s">
        <v>443</v>
      </c>
      <c r="B19" s="17" t="n">
        <v>2808</v>
      </c>
      <c r="C19" s="18">
        <f>(2464.0/B19*100)</f>
        <v/>
      </c>
      <c r="D19" s="19" t="n">
        <v>344</v>
      </c>
      <c r="E19" s="18" t="n">
        <v>21.29034986</v>
      </c>
      <c r="F19" s="20" t="n">
        <v>2.88550092</v>
      </c>
      <c r="G19" s="18" t="n">
        <v>68.73462409</v>
      </c>
      <c r="H19" s="20" t="n">
        <v>3.03835545</v>
      </c>
      <c r="I19" s="18" t="s">
        <v>431</v>
      </c>
      <c r="J19" s="20" t="s">
        <v>431</v>
      </c>
      <c r="K19" s="18" t="n">
        <v>0</v>
      </c>
      <c r="L19" s="20" t="n">
        <v>0</v>
      </c>
      <c r="M19" s="18" t="n">
        <v>0</v>
      </c>
      <c r="N19" s="20" t="n">
        <v>0</v>
      </c>
      <c r="O19" s="18" t="n">
        <v>0</v>
      </c>
      <c r="P19" s="20" t="n">
        <v>0</v>
      </c>
      <c r="Q19" s="18" t="n">
        <v>9.97502605</v>
      </c>
      <c r="R19" s="20" t="n">
        <v>1.83119414</v>
      </c>
    </row>
    <row r="20" spans="1:18">
      <c r="A20" s="15" t="s">
        <v>444</v>
      </c>
      <c r="B20" s="17" t="n">
        <v>1630</v>
      </c>
      <c r="C20" s="18">
        <f>(1442.0/B20*100)</f>
        <v/>
      </c>
      <c r="D20" s="19" t="n">
        <v>188</v>
      </c>
      <c r="E20" s="18" t="n">
        <v>30.95340367</v>
      </c>
      <c r="F20" s="20" t="n">
        <v>3.04398945</v>
      </c>
      <c r="G20" s="18" t="n">
        <v>59.82304397</v>
      </c>
      <c r="H20" s="20" t="n">
        <v>3.18626237</v>
      </c>
      <c r="I20" s="18" t="s">
        <v>431</v>
      </c>
      <c r="J20" s="20" t="s">
        <v>431</v>
      </c>
      <c r="K20" s="18" t="n">
        <v>0</v>
      </c>
      <c r="L20" s="20" t="n">
        <v>0</v>
      </c>
      <c r="M20" s="18" t="n">
        <v>0</v>
      </c>
      <c r="N20" s="20" t="n">
        <v>0</v>
      </c>
      <c r="O20" s="18" t="n">
        <v>0</v>
      </c>
      <c r="P20" s="20" t="n">
        <v>0</v>
      </c>
      <c r="Q20" s="18" t="n">
        <v>9.223552359999999</v>
      </c>
      <c r="R20" s="20" t="n">
        <v>1.96306133</v>
      </c>
    </row>
    <row r="21" spans="1:18">
      <c r="A21" s="15" t="s">
        <v>445</v>
      </c>
      <c r="B21" s="17" t="n">
        <v>2908</v>
      </c>
      <c r="C21" s="18">
        <f>(2420.0/B21*100)</f>
        <v/>
      </c>
      <c r="D21" s="19" t="n">
        <v>488</v>
      </c>
      <c r="E21" s="18" t="n">
        <v>13.4381874</v>
      </c>
      <c r="F21" s="20" t="n">
        <v>1.39185171</v>
      </c>
      <c r="G21" s="18" t="n">
        <v>83.45111957</v>
      </c>
      <c r="H21" s="20" t="n">
        <v>1.54066984</v>
      </c>
      <c r="I21" s="18" t="s">
        <v>431</v>
      </c>
      <c r="J21" s="20" t="s">
        <v>431</v>
      </c>
      <c r="K21" s="18" t="n">
        <v>0</v>
      </c>
      <c r="L21" s="20" t="n">
        <v>0</v>
      </c>
      <c r="M21" s="18" t="n">
        <v>0</v>
      </c>
      <c r="N21" s="20" t="n">
        <v>0</v>
      </c>
      <c r="O21" s="18" t="n">
        <v>0</v>
      </c>
      <c r="P21" s="20" t="n">
        <v>0</v>
      </c>
      <c r="Q21" s="18" t="n">
        <v>3.11069303</v>
      </c>
      <c r="R21" s="20" t="n">
        <v>0.81842118</v>
      </c>
    </row>
    <row r="22" spans="1:18">
      <c r="A22" s="15" t="s">
        <v>446</v>
      </c>
      <c r="B22" s="17" t="n">
        <v>2931</v>
      </c>
      <c r="C22" s="18">
        <f>(2577.0/B22*100)</f>
        <v/>
      </c>
      <c r="D22" s="19" t="n">
        <v>354</v>
      </c>
      <c r="E22" s="18" t="n">
        <v>24.703193</v>
      </c>
      <c r="F22" s="20" t="n">
        <v>2.33195404</v>
      </c>
      <c r="G22" s="18" t="n">
        <v>64.95313931</v>
      </c>
      <c r="H22" s="20" t="n">
        <v>2.9549029</v>
      </c>
      <c r="I22" s="18" t="s">
        <v>431</v>
      </c>
      <c r="J22" s="20" t="s">
        <v>431</v>
      </c>
      <c r="K22" s="18" t="n">
        <v>0.75028227</v>
      </c>
      <c r="L22" s="20" t="n">
        <v>0.38189813</v>
      </c>
      <c r="M22" s="18" t="n">
        <v>0</v>
      </c>
      <c r="N22" s="20" t="n">
        <v>0</v>
      </c>
      <c r="O22" s="18" t="n">
        <v>0</v>
      </c>
      <c r="P22" s="20" t="n">
        <v>0</v>
      </c>
      <c r="Q22" s="18" t="n">
        <v>9.593385420000001</v>
      </c>
      <c r="R22" s="20" t="n">
        <v>2.52742925</v>
      </c>
    </row>
    <row r="23" spans="1:18">
      <c r="A23" s="15" t="s">
        <v>447</v>
      </c>
      <c r="B23" s="17" t="n">
        <v>5791</v>
      </c>
      <c r="C23" s="18">
        <f>(5110.0/B23*100)</f>
        <v/>
      </c>
      <c r="D23" s="19" t="n">
        <v>681</v>
      </c>
      <c r="E23" s="18" t="n">
        <v>15.7098481</v>
      </c>
      <c r="F23" s="20" t="n">
        <v>1.79547829</v>
      </c>
      <c r="G23" s="18" t="n">
        <v>71.77782070000001</v>
      </c>
      <c r="H23" s="20" t="n">
        <v>2.36778318</v>
      </c>
      <c r="I23" s="18" t="s">
        <v>431</v>
      </c>
      <c r="J23" s="20" t="s">
        <v>431</v>
      </c>
      <c r="K23" s="18" t="n">
        <v>0.94805289</v>
      </c>
      <c r="L23" s="20" t="n">
        <v>0.48641111</v>
      </c>
      <c r="M23" s="18" t="n">
        <v>0.59921294</v>
      </c>
      <c r="N23" s="20" t="n">
        <v>0.45011833</v>
      </c>
      <c r="O23" s="18" t="n">
        <v>0</v>
      </c>
      <c r="P23" s="20" t="n">
        <v>0</v>
      </c>
      <c r="Q23" s="18" t="n">
        <v>10.96506537</v>
      </c>
      <c r="R23" s="20" t="n">
        <v>1.78548993</v>
      </c>
    </row>
    <row r="24" spans="1:18">
      <c r="A24" s="15" t="s">
        <v>448</v>
      </c>
      <c r="B24" s="17" t="n">
        <v>3338</v>
      </c>
      <c r="C24" s="18">
        <f>(2924.0/B24*100)</f>
        <v/>
      </c>
      <c r="D24" s="19" t="n">
        <v>414</v>
      </c>
      <c r="E24" s="18" t="n">
        <v>8.567469620000001</v>
      </c>
      <c r="F24" s="20" t="n">
        <v>1.36260369</v>
      </c>
      <c r="G24" s="18" t="n">
        <v>84.66458924</v>
      </c>
      <c r="H24" s="20" t="n">
        <v>1.99267131</v>
      </c>
      <c r="I24" s="18" t="s">
        <v>431</v>
      </c>
      <c r="J24" s="20" t="s">
        <v>431</v>
      </c>
      <c r="K24" s="18" t="n">
        <v>0</v>
      </c>
      <c r="L24" s="20" t="n">
        <v>0</v>
      </c>
      <c r="M24" s="18" t="n">
        <v>0</v>
      </c>
      <c r="N24" s="20" t="n">
        <v>0</v>
      </c>
      <c r="O24" s="18" t="n">
        <v>0</v>
      </c>
      <c r="P24" s="20" t="n">
        <v>0</v>
      </c>
      <c r="Q24" s="18" t="n">
        <v>6.76794114</v>
      </c>
      <c r="R24" s="20" t="n">
        <v>1.33629291</v>
      </c>
    </row>
    <row r="25" spans="1:18">
      <c r="A25" s="15" t="s">
        <v>449</v>
      </c>
      <c r="B25" s="17" t="n">
        <v>2912</v>
      </c>
      <c r="C25" s="18">
        <f>(2547.0/B25*100)</f>
        <v/>
      </c>
      <c r="D25" s="19" t="n">
        <v>365</v>
      </c>
      <c r="E25" s="18" t="n">
        <v>24.39790654</v>
      </c>
      <c r="F25" s="20" t="n">
        <v>1.96155465</v>
      </c>
      <c r="G25" s="18" t="n">
        <v>68.72447638</v>
      </c>
      <c r="H25" s="20" t="n">
        <v>2.10103726</v>
      </c>
      <c r="I25" s="18" t="s">
        <v>431</v>
      </c>
      <c r="J25" s="20" t="s">
        <v>431</v>
      </c>
      <c r="K25" s="18" t="n">
        <v>0</v>
      </c>
      <c r="L25" s="20" t="n">
        <v>0</v>
      </c>
      <c r="M25" s="18" t="n">
        <v>0.27869184</v>
      </c>
      <c r="N25" s="20" t="n">
        <v>0.27781633</v>
      </c>
      <c r="O25" s="18" t="n">
        <v>0</v>
      </c>
      <c r="P25" s="20" t="n">
        <v>0</v>
      </c>
      <c r="Q25" s="18" t="n">
        <v>6.59892524</v>
      </c>
      <c r="R25" s="20" t="n">
        <v>1.49815804</v>
      </c>
    </row>
    <row r="26" spans="1:18">
      <c r="A26" s="15" t="s">
        <v>450</v>
      </c>
      <c r="B26" s="17" t="n">
        <v>2450</v>
      </c>
      <c r="C26" s="18">
        <f>(2152.0/B26*100)</f>
        <v/>
      </c>
      <c r="D26" s="19" t="n">
        <v>298</v>
      </c>
      <c r="E26" s="18" t="n">
        <v>31.3051963</v>
      </c>
      <c r="F26" s="20" t="n">
        <v>3.01080993</v>
      </c>
      <c r="G26" s="18" t="n">
        <v>61.60530762</v>
      </c>
      <c r="H26" s="20" t="n">
        <v>3.50384894</v>
      </c>
      <c r="I26" s="18" t="s">
        <v>431</v>
      </c>
      <c r="J26" s="20" t="s">
        <v>431</v>
      </c>
      <c r="K26" s="18" t="n">
        <v>0</v>
      </c>
      <c r="L26" s="20" t="n">
        <v>0</v>
      </c>
      <c r="M26" s="18" t="n">
        <v>0.26720002</v>
      </c>
      <c r="N26" s="20" t="n">
        <v>0.26634204</v>
      </c>
      <c r="O26" s="18" t="n">
        <v>0</v>
      </c>
      <c r="P26" s="20" t="n">
        <v>0</v>
      </c>
      <c r="Q26" s="18" t="n">
        <v>6.82229606</v>
      </c>
      <c r="R26" s="20" t="n">
        <v>1.80540349</v>
      </c>
    </row>
    <row r="27" spans="1:18">
      <c r="A27" s="15" t="s">
        <v>451</v>
      </c>
      <c r="B27" s="17" t="n">
        <v>2616</v>
      </c>
      <c r="C27" s="18">
        <f>(2290.0/B27*100)</f>
        <v/>
      </c>
      <c r="D27" s="19" t="n">
        <v>326</v>
      </c>
      <c r="E27" s="18" t="n">
        <v>26.97667455</v>
      </c>
      <c r="F27" s="20" t="n">
        <v>2.49837073</v>
      </c>
      <c r="G27" s="18" t="n">
        <v>58.15403631</v>
      </c>
      <c r="H27" s="20" t="n">
        <v>2.81761163</v>
      </c>
      <c r="I27" s="18" t="s">
        <v>431</v>
      </c>
      <c r="J27" s="20" t="s">
        <v>431</v>
      </c>
      <c r="K27" s="18" t="n">
        <v>0.30550495</v>
      </c>
      <c r="L27" s="20" t="n">
        <v>0.30794766</v>
      </c>
      <c r="M27" s="18" t="n">
        <v>0</v>
      </c>
      <c r="N27" s="20" t="n">
        <v>0</v>
      </c>
      <c r="O27" s="18" t="n">
        <v>0</v>
      </c>
      <c r="P27" s="20" t="n">
        <v>0</v>
      </c>
      <c r="Q27" s="18" t="n">
        <v>14.56378419</v>
      </c>
      <c r="R27" s="20" t="n">
        <v>2.32290098</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21.31747809</v>
      </c>
      <c r="F29" s="20" t="n">
        <v>2.18976049</v>
      </c>
      <c r="G29" s="18" t="n">
        <v>74.38912335000001</v>
      </c>
      <c r="H29" s="20" t="n">
        <v>2.35026314</v>
      </c>
      <c r="I29" s="18" t="s">
        <v>431</v>
      </c>
      <c r="J29" s="20" t="s">
        <v>431</v>
      </c>
      <c r="K29" s="18" t="n">
        <v>0.70136714</v>
      </c>
      <c r="L29" s="20" t="n">
        <v>0.50028068</v>
      </c>
      <c r="M29" s="18" t="n">
        <v>0</v>
      </c>
      <c r="N29" s="20" t="n">
        <v>0</v>
      </c>
      <c r="O29" s="18" t="n">
        <v>0</v>
      </c>
      <c r="P29" s="20" t="n">
        <v>0</v>
      </c>
      <c r="Q29" s="18" t="n">
        <v>3.59203142</v>
      </c>
      <c r="R29" s="20" t="n">
        <v>1.06584397</v>
      </c>
    </row>
    <row r="30" spans="1:18">
      <c r="A30" s="15" t="s">
        <v>454</v>
      </c>
      <c r="B30" s="17" t="n">
        <v>2263</v>
      </c>
      <c r="C30" s="18">
        <f>(1992.0/B30*100)</f>
        <v/>
      </c>
      <c r="D30" s="19" t="n">
        <v>271</v>
      </c>
      <c r="E30" s="18" t="n">
        <v>16.40058024</v>
      </c>
      <c r="F30" s="20" t="n">
        <v>2.44181259</v>
      </c>
      <c r="G30" s="18" t="n">
        <v>74.83696518000001</v>
      </c>
      <c r="H30" s="20" t="n">
        <v>2.76134958</v>
      </c>
      <c r="I30" s="18" t="s">
        <v>431</v>
      </c>
      <c r="J30" s="20" t="s">
        <v>431</v>
      </c>
      <c r="K30" s="18" t="n">
        <v>0</v>
      </c>
      <c r="L30" s="20" t="n">
        <v>0</v>
      </c>
      <c r="M30" s="18" t="n">
        <v>0</v>
      </c>
      <c r="N30" s="20" t="n">
        <v>0</v>
      </c>
      <c r="O30" s="18" t="n">
        <v>0</v>
      </c>
      <c r="P30" s="20" t="n">
        <v>0</v>
      </c>
      <c r="Q30" s="18" t="n">
        <v>8.76245458</v>
      </c>
      <c r="R30" s="20" t="n">
        <v>1.94992296</v>
      </c>
    </row>
    <row r="31" spans="1:18">
      <c r="A31" s="15" t="s">
        <v>455</v>
      </c>
      <c r="B31" s="17" t="n">
        <v>2750</v>
      </c>
      <c r="C31" s="18">
        <f>(2408.0/B31*100)</f>
        <v/>
      </c>
      <c r="D31" s="19" t="n">
        <v>342</v>
      </c>
      <c r="E31" s="18" t="n">
        <v>23.55987303</v>
      </c>
      <c r="F31" s="20" t="n">
        <v>2.52719288</v>
      </c>
      <c r="G31" s="18" t="n">
        <v>68.8942897</v>
      </c>
      <c r="H31" s="20" t="n">
        <v>2.67495749</v>
      </c>
      <c r="I31" s="18" t="s">
        <v>431</v>
      </c>
      <c r="J31" s="20" t="s">
        <v>431</v>
      </c>
      <c r="K31" s="18" t="n">
        <v>0</v>
      </c>
      <c r="L31" s="20" t="n">
        <v>0</v>
      </c>
      <c r="M31" s="18" t="n">
        <v>0</v>
      </c>
      <c r="N31" s="20" t="n">
        <v>0</v>
      </c>
      <c r="O31" s="18" t="n">
        <v>0</v>
      </c>
      <c r="P31" s="20" t="n">
        <v>0</v>
      </c>
      <c r="Q31" s="18" t="n">
        <v>7.54583727</v>
      </c>
      <c r="R31" s="20" t="n">
        <v>1.29700324</v>
      </c>
    </row>
    <row r="32" spans="1:18">
      <c r="A32" s="15" t="s">
        <v>456</v>
      </c>
      <c r="B32" s="17" t="n">
        <v>2269</v>
      </c>
      <c r="C32" s="18">
        <f>(1891.0/B32*100)</f>
        <v/>
      </c>
      <c r="D32" s="19" t="n">
        <v>378</v>
      </c>
      <c r="E32" s="18" t="n">
        <v>22.2120672</v>
      </c>
      <c r="F32" s="20" t="n">
        <v>2.21322705</v>
      </c>
      <c r="G32" s="18" t="n">
        <v>67.90945538</v>
      </c>
      <c r="H32" s="20" t="n">
        <v>2.53987583</v>
      </c>
      <c r="I32" s="18" t="s">
        <v>431</v>
      </c>
      <c r="J32" s="20" t="s">
        <v>431</v>
      </c>
      <c r="K32" s="18" t="n">
        <v>0.27324371</v>
      </c>
      <c r="L32" s="20" t="n">
        <v>0.23809587</v>
      </c>
      <c r="M32" s="18" t="n">
        <v>0</v>
      </c>
      <c r="N32" s="20" t="n">
        <v>0</v>
      </c>
      <c r="O32" s="18" t="n">
        <v>0</v>
      </c>
      <c r="P32" s="20" t="n">
        <v>0</v>
      </c>
      <c r="Q32" s="18" t="n">
        <v>9.60523371</v>
      </c>
      <c r="R32" s="20" t="n">
        <v>1.43761607</v>
      </c>
    </row>
    <row r="33" spans="1:18">
      <c r="A33" s="15" t="s">
        <v>457</v>
      </c>
      <c r="B33" s="17" t="n">
        <v>3674</v>
      </c>
      <c r="C33" s="18">
        <f>(3231.0/B33*100)</f>
        <v/>
      </c>
      <c r="D33" s="19" t="n">
        <v>443</v>
      </c>
      <c r="E33" s="18" t="n">
        <v>24.716043</v>
      </c>
      <c r="F33" s="20" t="n">
        <v>2.42747518</v>
      </c>
      <c r="G33" s="18" t="n">
        <v>70.54988916000001</v>
      </c>
      <c r="H33" s="20" t="n">
        <v>2.8884097</v>
      </c>
      <c r="I33" s="18" t="s">
        <v>431</v>
      </c>
      <c r="J33" s="20" t="s">
        <v>431</v>
      </c>
      <c r="K33" s="18" t="n">
        <v>0</v>
      </c>
      <c r="L33" s="20" t="n">
        <v>0</v>
      </c>
      <c r="M33" s="18" t="n">
        <v>0</v>
      </c>
      <c r="N33" s="20" t="n">
        <v>0</v>
      </c>
      <c r="O33" s="18" t="n">
        <v>0</v>
      </c>
      <c r="P33" s="20" t="n">
        <v>0</v>
      </c>
      <c r="Q33" s="18" t="n">
        <v>4.73406784</v>
      </c>
      <c r="R33" s="20" t="n">
        <v>1.39439879</v>
      </c>
    </row>
    <row r="34" spans="1:18">
      <c r="A34" s="15" t="s">
        <v>458</v>
      </c>
      <c r="B34" s="17" t="n">
        <v>3315</v>
      </c>
      <c r="C34" s="18">
        <f>(2913.0/B34*100)</f>
        <v/>
      </c>
      <c r="D34" s="19" t="n">
        <v>402</v>
      </c>
      <c r="E34" s="18" t="n">
        <v>27.67911047</v>
      </c>
      <c r="F34" s="20" t="n">
        <v>2.05349307</v>
      </c>
      <c r="G34" s="18" t="n">
        <v>56.43655971</v>
      </c>
      <c r="H34" s="20" t="n">
        <v>1.9823647</v>
      </c>
      <c r="I34" s="18" t="s">
        <v>431</v>
      </c>
      <c r="J34" s="20" t="s">
        <v>431</v>
      </c>
      <c r="K34" s="18" t="n">
        <v>0.19234024</v>
      </c>
      <c r="L34" s="20" t="n">
        <v>0.19146941</v>
      </c>
      <c r="M34" s="18" t="n">
        <v>0.2252234</v>
      </c>
      <c r="N34" s="20" t="n">
        <v>0.22487441</v>
      </c>
      <c r="O34" s="18" t="n">
        <v>0</v>
      </c>
      <c r="P34" s="20" t="n">
        <v>0</v>
      </c>
      <c r="Q34" s="18" t="n">
        <v>15.46676618</v>
      </c>
      <c r="R34" s="20" t="n">
        <v>1.65047338</v>
      </c>
    </row>
    <row r="35" spans="1:18">
      <c r="A35" s="15" t="s">
        <v>459</v>
      </c>
      <c r="B35" s="17" t="n">
        <v>3505</v>
      </c>
      <c r="C35" s="18">
        <f>(3084.0/B35*100)</f>
        <v/>
      </c>
      <c r="D35" s="19" t="n">
        <v>421</v>
      </c>
      <c r="E35" s="18" t="n">
        <v>29.11598757</v>
      </c>
      <c r="F35" s="20" t="n">
        <v>2.63547722</v>
      </c>
      <c r="G35" s="18" t="n">
        <v>56.70182047</v>
      </c>
      <c r="H35" s="20" t="n">
        <v>2.89744784</v>
      </c>
      <c r="I35" s="18" t="s">
        <v>431</v>
      </c>
      <c r="J35" s="20" t="s">
        <v>431</v>
      </c>
      <c r="K35" s="18" t="n">
        <v>0.13667915</v>
      </c>
      <c r="L35" s="20" t="n">
        <v>0.13515363</v>
      </c>
      <c r="M35" s="18" t="n">
        <v>0.84741075</v>
      </c>
      <c r="N35" s="20" t="n">
        <v>0.57952827</v>
      </c>
      <c r="O35" s="18" t="n">
        <v>0</v>
      </c>
      <c r="P35" s="20" t="n">
        <v>0</v>
      </c>
      <c r="Q35" s="18" t="n">
        <v>13.19810206</v>
      </c>
      <c r="R35" s="20" t="n">
        <v>2.09231854</v>
      </c>
    </row>
    <row r="36" spans="1:18">
      <c r="A36" s="15" t="s">
        <v>460</v>
      </c>
      <c r="B36" s="17" t="n">
        <v>3332</v>
      </c>
      <c r="C36" s="18">
        <f>(2919.0/B36*100)</f>
        <v/>
      </c>
      <c r="D36" s="19" t="n">
        <v>413</v>
      </c>
      <c r="E36" s="18" t="n">
        <v>16.31918251</v>
      </c>
      <c r="F36" s="20" t="n">
        <v>2.14689812</v>
      </c>
      <c r="G36" s="18" t="n">
        <v>76.98204234000001</v>
      </c>
      <c r="H36" s="20" t="n">
        <v>2.34161896</v>
      </c>
      <c r="I36" s="18" t="s">
        <v>431</v>
      </c>
      <c r="J36" s="20" t="s">
        <v>431</v>
      </c>
      <c r="K36" s="18" t="n">
        <v>0</v>
      </c>
      <c r="L36" s="20" t="n">
        <v>0</v>
      </c>
      <c r="M36" s="18" t="n">
        <v>0</v>
      </c>
      <c r="N36" s="20" t="n">
        <v>0</v>
      </c>
      <c r="O36" s="18" t="n">
        <v>0</v>
      </c>
      <c r="P36" s="20" t="n">
        <v>0</v>
      </c>
      <c r="Q36" s="18" t="n">
        <v>6.69877515</v>
      </c>
      <c r="R36" s="20" t="n">
        <v>1.20042559</v>
      </c>
    </row>
    <row r="37" spans="1:18">
      <c r="A37" s="15" t="s">
        <v>461</v>
      </c>
      <c r="B37" s="17" t="n">
        <v>2727</v>
      </c>
      <c r="C37" s="18">
        <f>(2386.0/B37*100)</f>
        <v/>
      </c>
      <c r="D37" s="19" t="n">
        <v>341</v>
      </c>
      <c r="E37" s="18" t="n">
        <v>18.54724931</v>
      </c>
      <c r="F37" s="20" t="n">
        <v>2.68446941</v>
      </c>
      <c r="G37" s="18" t="n">
        <v>70.17593261</v>
      </c>
      <c r="H37" s="20" t="n">
        <v>3.0794264</v>
      </c>
      <c r="I37" s="18" t="s">
        <v>431</v>
      </c>
      <c r="J37" s="20" t="s">
        <v>431</v>
      </c>
      <c r="K37" s="18" t="n">
        <v>0.85737495</v>
      </c>
      <c r="L37" s="20" t="n">
        <v>0.48703452</v>
      </c>
      <c r="M37" s="18" t="n">
        <v>0.23386812</v>
      </c>
      <c r="N37" s="20" t="n">
        <v>0.23368529</v>
      </c>
      <c r="O37" s="18" t="n">
        <v>0</v>
      </c>
      <c r="P37" s="20" t="n">
        <v>0</v>
      </c>
      <c r="Q37" s="18" t="n">
        <v>10.18557501</v>
      </c>
      <c r="R37" s="20" t="n">
        <v>1.82536813</v>
      </c>
    </row>
    <row r="38" spans="1:18">
      <c r="A38" s="15" t="s">
        <v>462</v>
      </c>
      <c r="B38" s="17" t="n">
        <v>3053</v>
      </c>
      <c r="C38" s="18">
        <f>(2511.0/B38*100)</f>
        <v/>
      </c>
      <c r="D38" s="19" t="n">
        <v>542</v>
      </c>
      <c r="E38" s="18" t="n">
        <v>32.59512241</v>
      </c>
      <c r="F38" s="20" t="n">
        <v>2.30348424</v>
      </c>
      <c r="G38" s="18" t="n">
        <v>54.11717332</v>
      </c>
      <c r="H38" s="20" t="n">
        <v>2.78765385</v>
      </c>
      <c r="I38" s="18" t="s">
        <v>431</v>
      </c>
      <c r="J38" s="20" t="s">
        <v>431</v>
      </c>
      <c r="K38" s="18" t="n">
        <v>0.17906584</v>
      </c>
      <c r="L38" s="20" t="n">
        <v>0.1790996</v>
      </c>
      <c r="M38" s="18" t="n">
        <v>0</v>
      </c>
      <c r="N38" s="20" t="n">
        <v>0</v>
      </c>
      <c r="O38" s="18" t="n">
        <v>0</v>
      </c>
      <c r="P38" s="20" t="n">
        <v>0</v>
      </c>
      <c r="Q38" s="18" t="n">
        <v>13.10863843</v>
      </c>
      <c r="R38" s="20" t="n">
        <v>1.5973136</v>
      </c>
    </row>
    <row r="39" spans="1:18">
      <c r="A39" s="15" t="s">
        <v>463</v>
      </c>
      <c r="B39" s="17" t="n">
        <v>2957</v>
      </c>
      <c r="C39" s="18">
        <f>(2586.0/B39*100)</f>
        <v/>
      </c>
      <c r="D39" s="19" t="n">
        <v>371</v>
      </c>
      <c r="E39" s="18" t="n">
        <v>27.32243263</v>
      </c>
      <c r="F39" s="20" t="n">
        <v>2.59090008</v>
      </c>
      <c r="G39" s="18" t="n">
        <v>64.80953863000001</v>
      </c>
      <c r="H39" s="20" t="n">
        <v>2.85146934</v>
      </c>
      <c r="I39" s="18" t="s">
        <v>431</v>
      </c>
      <c r="J39" s="20" t="s">
        <v>431</v>
      </c>
      <c r="K39" s="18" t="n">
        <v>0</v>
      </c>
      <c r="L39" s="20" t="n">
        <v>0</v>
      </c>
      <c r="M39" s="18" t="n">
        <v>0</v>
      </c>
      <c r="N39" s="20" t="n">
        <v>0</v>
      </c>
      <c r="O39" s="18" t="n">
        <v>0</v>
      </c>
      <c r="P39" s="20" t="n">
        <v>0</v>
      </c>
      <c r="Q39" s="18" t="n">
        <v>7.86802874</v>
      </c>
      <c r="R39" s="20" t="n">
        <v>1.39255172</v>
      </c>
    </row>
    <row r="40" spans="1:18">
      <c r="A40" s="15" t="s">
        <v>464</v>
      </c>
      <c r="B40" s="17" t="n">
        <v>7235</v>
      </c>
      <c r="C40" s="18">
        <f>(6336.0/B40*100)</f>
        <v/>
      </c>
      <c r="D40" s="19" t="n">
        <v>899</v>
      </c>
      <c r="E40" s="18" t="n">
        <v>13.66921399</v>
      </c>
      <c r="F40" s="20" t="n">
        <v>1.63271759</v>
      </c>
      <c r="G40" s="18" t="n">
        <v>78.31765288</v>
      </c>
      <c r="H40" s="20" t="n">
        <v>2.29594615</v>
      </c>
      <c r="I40" s="18" t="s">
        <v>431</v>
      </c>
      <c r="J40" s="20" t="s">
        <v>431</v>
      </c>
      <c r="K40" s="18" t="n">
        <v>0.12854709</v>
      </c>
      <c r="L40" s="20" t="n">
        <v>0.06117199</v>
      </c>
      <c r="M40" s="18" t="n">
        <v>0.55034691</v>
      </c>
      <c r="N40" s="20" t="n">
        <v>0.43150442</v>
      </c>
      <c r="O40" s="18" t="n">
        <v>0</v>
      </c>
      <c r="P40" s="20" t="n">
        <v>0</v>
      </c>
      <c r="Q40" s="18" t="n">
        <v>7.33423914</v>
      </c>
      <c r="R40" s="20" t="n">
        <v>1.55791964</v>
      </c>
    </row>
    <row r="41" spans="1:18">
      <c r="A41" s="15" t="s">
        <v>465</v>
      </c>
      <c r="B41" s="17" t="n">
        <v>2858</v>
      </c>
      <c r="C41" s="18">
        <f>(2502.0/B41*100)</f>
        <v/>
      </c>
      <c r="D41" s="19" t="n">
        <v>356</v>
      </c>
      <c r="E41" s="18" t="n">
        <v>21.1488702</v>
      </c>
      <c r="F41" s="20" t="n">
        <v>2.22333493</v>
      </c>
      <c r="G41" s="18" t="n">
        <v>74.66860453</v>
      </c>
      <c r="H41" s="20" t="n">
        <v>2.26511988</v>
      </c>
      <c r="I41" s="18" t="s">
        <v>431</v>
      </c>
      <c r="J41" s="20" t="s">
        <v>431</v>
      </c>
      <c r="K41" s="18" t="n">
        <v>0</v>
      </c>
      <c r="L41" s="20" t="n">
        <v>0</v>
      </c>
      <c r="M41" s="18" t="n">
        <v>0</v>
      </c>
      <c r="N41" s="20" t="n">
        <v>0</v>
      </c>
      <c r="O41" s="18" t="n">
        <v>0</v>
      </c>
      <c r="P41" s="20" t="n">
        <v>0</v>
      </c>
      <c r="Q41" s="18" t="n">
        <v>4.18252527</v>
      </c>
      <c r="R41" s="20" t="n">
        <v>1.01800183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(4511.0/B48*100)</f>
        <v/>
      </c>
      <c r="D48" s="19" t="n">
        <v>648</v>
      </c>
      <c r="E48" s="18" t="n">
        <v>25.5976872</v>
      </c>
      <c r="F48" s="20" t="n">
        <v>2.3548261</v>
      </c>
      <c r="G48" s="18" t="n">
        <v>65.50591478</v>
      </c>
      <c r="H48" s="20" t="n">
        <v>2.70067002</v>
      </c>
      <c r="I48" s="18" t="s">
        <v>431</v>
      </c>
      <c r="J48" s="20" t="s">
        <v>431</v>
      </c>
      <c r="K48" s="18" t="n">
        <v>0.27416983</v>
      </c>
      <c r="L48" s="20" t="n">
        <v>0.28428573</v>
      </c>
      <c r="M48" s="18" t="n">
        <v>0.26653893</v>
      </c>
      <c r="N48" s="20" t="n">
        <v>0.2659019</v>
      </c>
      <c r="O48" s="18" t="n">
        <v>0</v>
      </c>
      <c r="P48" s="20" t="n">
        <v>0</v>
      </c>
      <c r="Q48" s="18" t="n">
        <v>8.355689249999999</v>
      </c>
      <c r="R48" s="20" t="n">
        <v>1.42928368</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(2453.0/B52*100)</f>
        <v/>
      </c>
      <c r="D52" s="19" t="n">
        <v>343</v>
      </c>
      <c r="E52" s="18" t="n">
        <v>11.6180111</v>
      </c>
      <c r="F52" s="20" t="n">
        <v>1.81766211</v>
      </c>
      <c r="G52" s="18" t="n">
        <v>77.07658264</v>
      </c>
      <c r="H52" s="20" t="n">
        <v>2.78389512</v>
      </c>
      <c r="I52" s="18" t="s">
        <v>431</v>
      </c>
      <c r="J52" s="20" t="s">
        <v>431</v>
      </c>
      <c r="K52" s="18" t="n">
        <v>0</v>
      </c>
      <c r="L52" s="20" t="n">
        <v>0</v>
      </c>
      <c r="M52" s="18" t="n">
        <v>0</v>
      </c>
      <c r="N52" s="20" t="n">
        <v>0</v>
      </c>
      <c r="O52" s="18" t="n">
        <v>0</v>
      </c>
      <c r="P52" s="20" t="n">
        <v>0</v>
      </c>
      <c r="Q52" s="18" t="n">
        <v>11.30540626</v>
      </c>
      <c r="R52" s="20" t="n">
        <v>1.84852165</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17.01954062</v>
      </c>
      <c r="F56" s="20" t="n">
        <v>2.11924286</v>
      </c>
      <c r="G56" s="18" t="n">
        <v>79.51337993999999</v>
      </c>
      <c r="H56" s="20" t="n">
        <v>2.35896926</v>
      </c>
      <c r="I56" s="18" t="s">
        <v>431</v>
      </c>
      <c r="J56" s="20" t="s">
        <v>431</v>
      </c>
      <c r="K56" s="18" t="n">
        <v>0</v>
      </c>
      <c r="L56" s="20" t="n">
        <v>0</v>
      </c>
      <c r="M56" s="18" t="n">
        <v>0</v>
      </c>
      <c r="N56" s="20" t="n">
        <v>0</v>
      </c>
      <c r="O56" s="18" t="n">
        <v>0</v>
      </c>
      <c r="P56" s="20" t="n">
        <v>0</v>
      </c>
      <c r="Q56" s="18" t="n">
        <v>3.46707944</v>
      </c>
      <c r="R56" s="20" t="n">
        <v>0.94619007</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(2892.0/B61*100)</f>
        <v/>
      </c>
      <c r="D61" s="19" t="n">
        <v>432</v>
      </c>
      <c r="E61" s="18" t="n">
        <v>35.11589011</v>
      </c>
      <c r="F61" s="20" t="n">
        <v>2.50034905</v>
      </c>
      <c r="G61" s="18" t="n">
        <v>57.18428594</v>
      </c>
      <c r="H61" s="20" t="n">
        <v>2.50328491</v>
      </c>
      <c r="I61" s="18" t="s">
        <v>431</v>
      </c>
      <c r="J61" s="20" t="s">
        <v>431</v>
      </c>
      <c r="K61" s="18" t="n">
        <v>0</v>
      </c>
      <c r="L61" s="20" t="n">
        <v>0</v>
      </c>
      <c r="M61" s="18" t="n">
        <v>0</v>
      </c>
      <c r="N61" s="20" t="n">
        <v>0</v>
      </c>
      <c r="O61" s="18" t="n">
        <v>0</v>
      </c>
      <c r="P61" s="20" t="n">
        <v>0</v>
      </c>
      <c r="Q61" s="18" t="n">
        <v>7.69982395</v>
      </c>
      <c r="R61" s="20" t="n">
        <v>1.57747963</v>
      </c>
    </row>
    <row r="62" spans="1:18">
      <c r="A62" s="15" t="s">
        <v>486</v>
      </c>
      <c r="B62" s="17" t="n">
        <v>2246</v>
      </c>
      <c r="C62" s="18">
        <f>(1966.0/B62*100)</f>
        <v/>
      </c>
      <c r="D62" s="19" t="n">
        <v>280</v>
      </c>
      <c r="E62" s="18" t="n">
        <v>25.45310543</v>
      </c>
      <c r="F62" s="20" t="n">
        <v>2.78806626</v>
      </c>
      <c r="G62" s="18" t="n">
        <v>72.40597372000001</v>
      </c>
      <c r="H62" s="20" t="n">
        <v>2.78927082</v>
      </c>
      <c r="I62" s="18" t="s">
        <v>431</v>
      </c>
      <c r="J62" s="20" t="s">
        <v>431</v>
      </c>
      <c r="K62" s="18" t="n">
        <v>0.36701419</v>
      </c>
      <c r="L62" s="20" t="n">
        <v>0.36550719</v>
      </c>
      <c r="M62" s="18" t="n">
        <v>0</v>
      </c>
      <c r="N62" s="20" t="n">
        <v>0</v>
      </c>
      <c r="O62" s="18" t="n">
        <v>0</v>
      </c>
      <c r="P62" s="20" t="n">
        <v>0</v>
      </c>
      <c r="Q62" s="18" t="n">
        <v>1.77390666</v>
      </c>
      <c r="R62" s="20" t="n">
        <v>0.80681094</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(2554.0/B66*100)</f>
        <v/>
      </c>
      <c r="D66" s="19" t="n">
        <v>340</v>
      </c>
      <c r="E66" s="18" t="n">
        <v>16.01879722</v>
      </c>
      <c r="F66" s="20" t="n">
        <v>1.8316168</v>
      </c>
      <c r="G66" s="18" t="n">
        <v>59.11593169</v>
      </c>
      <c r="H66" s="20" t="n">
        <v>2.4676704</v>
      </c>
      <c r="I66" s="18" t="s">
        <v>431</v>
      </c>
      <c r="J66" s="20" t="s">
        <v>431</v>
      </c>
      <c r="K66" s="18" t="n">
        <v>1.13510248</v>
      </c>
      <c r="L66" s="20" t="n">
        <v>0.57719357</v>
      </c>
      <c r="M66" s="18" t="n">
        <v>0.55949433</v>
      </c>
      <c r="N66" s="20" t="n">
        <v>0.39428482</v>
      </c>
      <c r="O66" s="18" t="n">
        <v>0</v>
      </c>
      <c r="P66" s="20" t="n">
        <v>0</v>
      </c>
      <c r="Q66" s="18" t="n">
        <v>23.17067427</v>
      </c>
      <c r="R66" s="20" t="n">
        <v>2.23498203</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(2581.0/B70*100)</f>
        <v/>
      </c>
      <c r="D70" s="19" t="n">
        <v>348</v>
      </c>
      <c r="E70" s="18" t="n">
        <v>21.91389532</v>
      </c>
      <c r="F70" s="20" t="n">
        <v>2.41130279</v>
      </c>
      <c r="G70" s="18" t="n">
        <v>71.57190122999999</v>
      </c>
      <c r="H70" s="20" t="n">
        <v>2.41228626</v>
      </c>
      <c r="I70" s="18" t="s">
        <v>431</v>
      </c>
      <c r="J70" s="20" t="s">
        <v>431</v>
      </c>
      <c r="K70" s="18" t="n">
        <v>0.23940884</v>
      </c>
      <c r="L70" s="20" t="n">
        <v>0.33966809</v>
      </c>
      <c r="M70" s="18" t="n">
        <v>0.18811051</v>
      </c>
      <c r="N70" s="20" t="n">
        <v>0.19059404</v>
      </c>
      <c r="O70" s="18" t="n">
        <v>0</v>
      </c>
      <c r="P70" s="20" t="n">
        <v>0</v>
      </c>
      <c r="Q70" s="18" t="n">
        <v>6.0866841</v>
      </c>
      <c r="R70" s="20" t="n">
        <v>1.28411958</v>
      </c>
    </row>
    <row r="71" spans="1:18">
      <c r="A71" s="15" t="s">
        <v>495</v>
      </c>
      <c r="B71" s="17" t="n">
        <v>3142</v>
      </c>
      <c r="C71" s="18">
        <f>(2763.0/B71*100)</f>
        <v/>
      </c>
      <c r="D71" s="19" t="n">
        <v>379</v>
      </c>
      <c r="E71" s="18" t="n">
        <v>8.33511234</v>
      </c>
      <c r="F71" s="20" t="n">
        <v>1.34542798</v>
      </c>
      <c r="G71" s="18" t="n">
        <v>89.50498729</v>
      </c>
      <c r="H71" s="20" t="n">
        <v>1.4576562</v>
      </c>
      <c r="I71" s="18" t="s">
        <v>431</v>
      </c>
      <c r="J71" s="20" t="s">
        <v>431</v>
      </c>
      <c r="K71" s="18" t="n">
        <v>0.75798963</v>
      </c>
      <c r="L71" s="20" t="n">
        <v>0.4362667</v>
      </c>
      <c r="M71" s="18" t="n">
        <v>0</v>
      </c>
      <c r="N71" s="20" t="n">
        <v>0</v>
      </c>
      <c r="O71" s="18" t="n">
        <v>0</v>
      </c>
      <c r="P71" s="20" t="n">
        <v>0</v>
      </c>
      <c r="Q71" s="18" t="n">
        <v>1.40191075</v>
      </c>
      <c r="R71" s="20" t="n">
        <v>0.60882977</v>
      </c>
    </row>
    <row r="72" spans="1:18">
      <c r="A72" s="15" t="s">
        <v>496</v>
      </c>
      <c r="B72" s="17" t="n">
        <v>3889</v>
      </c>
      <c r="C72" s="18">
        <f>(3415.0/B72*100)</f>
        <v/>
      </c>
      <c r="D72" s="19" t="n">
        <v>474</v>
      </c>
      <c r="E72" s="18" t="n">
        <v>25.7392226</v>
      </c>
      <c r="F72" s="20" t="n">
        <v>1.87856861</v>
      </c>
      <c r="G72" s="18" t="n">
        <v>69.24251314999999</v>
      </c>
      <c r="H72" s="20" t="n">
        <v>2.15174181</v>
      </c>
      <c r="I72" s="18" t="s">
        <v>431</v>
      </c>
      <c r="J72" s="20" t="s">
        <v>431</v>
      </c>
      <c r="K72" s="18" t="n">
        <v>0.165327</v>
      </c>
      <c r="L72" s="20" t="n">
        <v>0.16586649</v>
      </c>
      <c r="M72" s="18" t="n">
        <v>0</v>
      </c>
      <c r="N72" s="20" t="n">
        <v>0</v>
      </c>
      <c r="O72" s="18" t="n">
        <v>0</v>
      </c>
      <c r="P72" s="20" t="n">
        <v>0</v>
      </c>
      <c r="Q72" s="18" t="n">
        <v>4.85293725</v>
      </c>
      <c r="R72" s="20" t="n">
        <v>1.10542022</v>
      </c>
    </row>
    <row r="73" spans="1:18">
      <c r="A73" s="15" t="s">
        <v>497</v>
      </c>
      <c r="B73" s="17" t="n">
        <v>3597</v>
      </c>
      <c r="C73" s="18">
        <f>(3150.0/B73*100)</f>
        <v/>
      </c>
      <c r="D73" s="19" t="n">
        <v>447</v>
      </c>
      <c r="E73" s="18" t="n">
        <v>44.62045921</v>
      </c>
      <c r="F73" s="20" t="n">
        <v>2.60963986</v>
      </c>
      <c r="G73" s="18" t="n">
        <v>52.50209412</v>
      </c>
      <c r="H73" s="20" t="n">
        <v>2.56563126</v>
      </c>
      <c r="I73" s="18" t="s">
        <v>431</v>
      </c>
      <c r="J73" s="20" t="s">
        <v>431</v>
      </c>
      <c r="K73" s="18" t="n">
        <v>0</v>
      </c>
      <c r="L73" s="20" t="n">
        <v>0</v>
      </c>
      <c r="M73" s="18" t="n">
        <v>0.38607218</v>
      </c>
      <c r="N73" s="20" t="n">
        <v>0.38978323</v>
      </c>
      <c r="O73" s="18" t="n">
        <v>0</v>
      </c>
      <c r="P73" s="20" t="n">
        <v>0</v>
      </c>
      <c r="Q73" s="18" t="n">
        <v>2.49137449</v>
      </c>
      <c r="R73" s="20" t="n">
        <v>0.8610496</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(6439.0/B7*100)</f>
        <v/>
      </c>
      <c r="D7" s="19" t="n">
        <v>928</v>
      </c>
      <c r="E7" s="18" t="n">
        <v>23.73588547</v>
      </c>
      <c r="F7" s="20" t="n">
        <v>1.64790964</v>
      </c>
      <c r="G7" s="18" t="n">
        <v>65.06339432999999</v>
      </c>
      <c r="H7" s="20" t="n">
        <v>1.81993401</v>
      </c>
      <c r="I7" s="18" t="s">
        <v>431</v>
      </c>
      <c r="J7" s="20" t="s">
        <v>431</v>
      </c>
      <c r="K7" s="18" t="n">
        <v>0.08528033</v>
      </c>
      <c r="L7" s="20" t="n">
        <v>0.04944103</v>
      </c>
      <c r="M7" s="18" t="n">
        <v>0.0287603</v>
      </c>
      <c r="N7" s="20" t="n">
        <v>0.0200857</v>
      </c>
      <c r="O7" s="18" t="n">
        <v>0</v>
      </c>
      <c r="P7" s="20" t="n">
        <v>0</v>
      </c>
      <c r="Q7" s="18" t="n">
        <v>11.08667957</v>
      </c>
      <c r="R7" s="20" t="n">
        <v>1.26265262</v>
      </c>
    </row>
    <row r="8" spans="1:18">
      <c r="A8" s="15" t="s">
        <v>432</v>
      </c>
      <c r="B8" s="17" t="n">
        <v>3564</v>
      </c>
      <c r="C8" s="18">
        <f>(3144.0/B8*100)</f>
        <v/>
      </c>
      <c r="D8" s="19" t="n">
        <v>420</v>
      </c>
      <c r="E8" s="18" t="n">
        <v>22.59377485</v>
      </c>
      <c r="F8" s="20" t="n">
        <v>1.78074009</v>
      </c>
      <c r="G8" s="18" t="n">
        <v>59.00799165</v>
      </c>
      <c r="H8" s="20" t="n">
        <v>2.20803501</v>
      </c>
      <c r="I8" s="18" t="s">
        <v>431</v>
      </c>
      <c r="J8" s="20" t="s">
        <v>431</v>
      </c>
      <c r="K8" s="18" t="n">
        <v>0</v>
      </c>
      <c r="L8" s="20" t="n">
        <v>0</v>
      </c>
      <c r="M8" s="18" t="n">
        <v>0</v>
      </c>
      <c r="N8" s="20" t="n">
        <v>0</v>
      </c>
      <c r="O8" s="18" t="n">
        <v>0</v>
      </c>
      <c r="P8" s="20" t="n">
        <v>0</v>
      </c>
      <c r="Q8" s="18" t="n">
        <v>18.39823351</v>
      </c>
      <c r="R8" s="20" t="n">
        <v>1.81813647</v>
      </c>
    </row>
    <row r="9" spans="1:18">
      <c r="A9" s="15" t="s">
        <v>433</v>
      </c>
      <c r="B9" s="17" t="n">
        <v>4899</v>
      </c>
      <c r="C9" s="18">
        <f>(4298.0/B9*100)</f>
        <v/>
      </c>
      <c r="D9" s="19" t="n">
        <v>601</v>
      </c>
      <c r="E9" s="18" t="n">
        <v>15.97870035</v>
      </c>
      <c r="F9" s="20" t="n">
        <v>1.77793673</v>
      </c>
      <c r="G9" s="18" t="n">
        <v>68.5905186</v>
      </c>
      <c r="H9" s="20" t="n">
        <v>2.11996481</v>
      </c>
      <c r="I9" s="18" t="s">
        <v>431</v>
      </c>
      <c r="J9" s="20" t="s">
        <v>431</v>
      </c>
      <c r="K9" s="18" t="n">
        <v>0</v>
      </c>
      <c r="L9" s="20" t="n">
        <v>0</v>
      </c>
      <c r="M9" s="18" t="n">
        <v>0.13992209</v>
      </c>
      <c r="N9" s="20" t="n">
        <v>0.1251721</v>
      </c>
      <c r="O9" s="18" t="n">
        <v>0</v>
      </c>
      <c r="P9" s="20" t="n">
        <v>0</v>
      </c>
      <c r="Q9" s="18" t="n">
        <v>15.29085896</v>
      </c>
      <c r="R9" s="20" t="n">
        <v>1.32634711</v>
      </c>
    </row>
    <row r="10" spans="1:18">
      <c r="A10" s="15" t="s">
        <v>434</v>
      </c>
      <c r="B10" s="17" t="n">
        <v>10036</v>
      </c>
      <c r="C10" s="18">
        <f>(8830.0/B10*100)</f>
        <v/>
      </c>
      <c r="D10" s="19" t="n">
        <v>1206</v>
      </c>
      <c r="E10" s="18" t="n">
        <v>13.21096482</v>
      </c>
      <c r="F10" s="20" t="n">
        <v>1.42950314</v>
      </c>
      <c r="G10" s="18" t="n">
        <v>79.99328466999999</v>
      </c>
      <c r="H10" s="20" t="n">
        <v>1.64199158</v>
      </c>
      <c r="I10" s="18" t="s">
        <v>431</v>
      </c>
      <c r="J10" s="20" t="s">
        <v>431</v>
      </c>
      <c r="K10" s="18" t="n">
        <v>0.39832864</v>
      </c>
      <c r="L10" s="20" t="n">
        <v>0.29114741</v>
      </c>
      <c r="M10" s="18" t="n">
        <v>0.08932189</v>
      </c>
      <c r="N10" s="20" t="n">
        <v>0.0892091</v>
      </c>
      <c r="O10" s="18" t="n">
        <v>0</v>
      </c>
      <c r="P10" s="20" t="n">
        <v>0</v>
      </c>
      <c r="Q10" s="18" t="n">
        <v>6.30809998</v>
      </c>
      <c r="R10" s="20" t="n">
        <v>1.10231777</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(3040.0/B12*100)</f>
        <v/>
      </c>
      <c r="D12" s="19" t="n">
        <v>432</v>
      </c>
      <c r="E12" s="18" t="n">
        <v>14.54493856</v>
      </c>
      <c r="F12" s="20" t="n">
        <v>1.92621438</v>
      </c>
      <c r="G12" s="18" t="n">
        <v>69.45283322</v>
      </c>
      <c r="H12" s="20" t="n">
        <v>2.63629654</v>
      </c>
      <c r="I12" s="18" t="s">
        <v>431</v>
      </c>
      <c r="J12" s="20" t="s">
        <v>431</v>
      </c>
      <c r="K12" s="18" t="n">
        <v>0</v>
      </c>
      <c r="L12" s="20" t="n">
        <v>0</v>
      </c>
      <c r="M12" s="18" t="n">
        <v>0</v>
      </c>
      <c r="N12" s="20" t="n">
        <v>0</v>
      </c>
      <c r="O12" s="18" t="n">
        <v>0</v>
      </c>
      <c r="P12" s="20" t="n">
        <v>0</v>
      </c>
      <c r="Q12" s="18" t="n">
        <v>16.00222822</v>
      </c>
      <c r="R12" s="20" t="n">
        <v>2.16098552</v>
      </c>
    </row>
    <row r="13" spans="1:18">
      <c r="A13" s="15" t="s">
        <v>437</v>
      </c>
      <c r="B13" s="17" t="n">
        <v>3559</v>
      </c>
      <c r="C13" s="18">
        <f>(3143.0/B13*100)</f>
        <v/>
      </c>
      <c r="D13" s="19" t="n">
        <v>416</v>
      </c>
      <c r="E13" s="18" t="n">
        <v>19.82540481</v>
      </c>
      <c r="F13" s="20" t="n">
        <v>2.70744986</v>
      </c>
      <c r="G13" s="18" t="n">
        <v>71.63827997</v>
      </c>
      <c r="H13" s="20" t="n">
        <v>2.90689943</v>
      </c>
      <c r="I13" s="18" t="s">
        <v>431</v>
      </c>
      <c r="J13" s="20" t="s">
        <v>431</v>
      </c>
      <c r="K13" s="18" t="n">
        <v>0.14417021</v>
      </c>
      <c r="L13" s="20" t="n">
        <v>0.14801545</v>
      </c>
      <c r="M13" s="18" t="n">
        <v>0</v>
      </c>
      <c r="N13" s="20" t="n">
        <v>0</v>
      </c>
      <c r="O13" s="18" t="n">
        <v>0</v>
      </c>
      <c r="P13" s="20" t="n">
        <v>0</v>
      </c>
      <c r="Q13" s="18" t="n">
        <v>8.39214501</v>
      </c>
      <c r="R13" s="20" t="n">
        <v>1.34562936</v>
      </c>
    </row>
    <row r="14" spans="1:18">
      <c r="A14" s="15" t="s">
        <v>438</v>
      </c>
      <c r="B14" s="17" t="n">
        <v>2799</v>
      </c>
      <c r="C14" s="18">
        <f>(2453.0/B14*100)</f>
        <v/>
      </c>
      <c r="D14" s="19" t="n">
        <v>346</v>
      </c>
      <c r="E14" s="18" t="n">
        <v>21.11034163</v>
      </c>
      <c r="F14" s="20" t="n">
        <v>2.50491052</v>
      </c>
      <c r="G14" s="18" t="n">
        <v>70.43643018</v>
      </c>
      <c r="H14" s="20" t="n">
        <v>3.14121742</v>
      </c>
      <c r="I14" s="18" t="s">
        <v>431</v>
      </c>
      <c r="J14" s="20" t="s">
        <v>431</v>
      </c>
      <c r="K14" s="18" t="n">
        <v>0</v>
      </c>
      <c r="L14" s="20" t="n">
        <v>0</v>
      </c>
      <c r="M14" s="18" t="n">
        <v>0</v>
      </c>
      <c r="N14" s="20" t="n">
        <v>0</v>
      </c>
      <c r="O14" s="18" t="n">
        <v>0</v>
      </c>
      <c r="P14" s="20" t="n">
        <v>0</v>
      </c>
      <c r="Q14" s="18" t="n">
        <v>8.4532282</v>
      </c>
      <c r="R14" s="20" t="n">
        <v>1.66864941</v>
      </c>
    </row>
    <row r="15" spans="1:18">
      <c r="A15" s="15" t="s">
        <v>439</v>
      </c>
      <c r="B15" s="17" t="n">
        <v>3019</v>
      </c>
      <c r="C15" s="18">
        <f>(2644.0/B15*100)</f>
        <v/>
      </c>
      <c r="D15" s="19" t="n">
        <v>375</v>
      </c>
      <c r="E15" s="18" t="n">
        <v>17.04035071</v>
      </c>
      <c r="F15" s="20" t="n">
        <v>1.74856749</v>
      </c>
      <c r="G15" s="18" t="n">
        <v>70.99541401</v>
      </c>
      <c r="H15" s="20" t="n">
        <v>2.09831321</v>
      </c>
      <c r="I15" s="18" t="s">
        <v>431</v>
      </c>
      <c r="J15" s="20" t="s">
        <v>431</v>
      </c>
      <c r="K15" s="18" t="n">
        <v>0.76295117</v>
      </c>
      <c r="L15" s="20" t="n">
        <v>0.44546663</v>
      </c>
      <c r="M15" s="18" t="n">
        <v>0</v>
      </c>
      <c r="N15" s="20" t="n">
        <v>0</v>
      </c>
      <c r="O15" s="18" t="n">
        <v>0</v>
      </c>
      <c r="P15" s="20" t="n">
        <v>0</v>
      </c>
      <c r="Q15" s="18" t="n">
        <v>11.20128411</v>
      </c>
      <c r="R15" s="20" t="n">
        <v>1.6098652</v>
      </c>
    </row>
    <row r="16" spans="1:18">
      <c r="A16" s="15" t="s">
        <v>440</v>
      </c>
      <c r="B16" s="17" t="n">
        <v>2997</v>
      </c>
      <c r="C16" s="18">
        <f>(2617.0/B16*100)</f>
        <v/>
      </c>
      <c r="D16" s="19" t="n">
        <v>380</v>
      </c>
      <c r="E16" s="18" t="n">
        <v>12.30691868</v>
      </c>
      <c r="F16" s="20" t="n">
        <v>1.77907917</v>
      </c>
      <c r="G16" s="18" t="n">
        <v>64.42184985</v>
      </c>
      <c r="H16" s="20" t="n">
        <v>2.69523918</v>
      </c>
      <c r="I16" s="18" t="s">
        <v>431</v>
      </c>
      <c r="J16" s="20" t="s">
        <v>431</v>
      </c>
      <c r="K16" s="18" t="n">
        <v>0.90918484</v>
      </c>
      <c r="L16" s="20" t="n">
        <v>0.52468302</v>
      </c>
      <c r="M16" s="18" t="n">
        <v>0</v>
      </c>
      <c r="N16" s="20" t="n">
        <v>0</v>
      </c>
      <c r="O16" s="18" t="n">
        <v>0</v>
      </c>
      <c r="P16" s="20" t="n">
        <v>0</v>
      </c>
      <c r="Q16" s="18" t="n">
        <v>22.36204663</v>
      </c>
      <c r="R16" s="20" t="n">
        <v>1.97170322</v>
      </c>
    </row>
    <row r="17" spans="1:18">
      <c r="A17" s="15" t="s">
        <v>441</v>
      </c>
      <c r="B17" s="17" t="n">
        <v>3307</v>
      </c>
      <c r="C17" s="18">
        <f>(2910.0/B17*100)</f>
        <v/>
      </c>
      <c r="D17" s="19" t="n">
        <v>397</v>
      </c>
      <c r="E17" s="18" t="n">
        <v>21.26458538</v>
      </c>
      <c r="F17" s="20" t="n">
        <v>2.43596547</v>
      </c>
      <c r="G17" s="18" t="n">
        <v>61.93720262</v>
      </c>
      <c r="H17" s="20" t="n">
        <v>2.93512896</v>
      </c>
      <c r="I17" s="18" t="s">
        <v>431</v>
      </c>
      <c r="J17" s="20" t="s">
        <v>431</v>
      </c>
      <c r="K17" s="18" t="n">
        <v>0.31964448</v>
      </c>
      <c r="L17" s="20" t="n">
        <v>0.30949189</v>
      </c>
      <c r="M17" s="18" t="n">
        <v>0</v>
      </c>
      <c r="N17" s="20" t="n">
        <v>0</v>
      </c>
      <c r="O17" s="18" t="n">
        <v>0</v>
      </c>
      <c r="P17" s="20" t="n">
        <v>0</v>
      </c>
      <c r="Q17" s="18" t="n">
        <v>16.47856752</v>
      </c>
      <c r="R17" s="20" t="n">
        <v>2.1125055</v>
      </c>
    </row>
    <row r="18" spans="1:18">
      <c r="A18" s="15" t="s">
        <v>442</v>
      </c>
      <c r="B18" s="17" t="n">
        <v>2826</v>
      </c>
      <c r="C18" s="18">
        <f>(2474.0/B18*100)</f>
        <v/>
      </c>
      <c r="D18" s="19" t="n">
        <v>352</v>
      </c>
      <c r="E18" s="18" t="n">
        <v>19.88339885</v>
      </c>
      <c r="F18" s="20" t="n">
        <v>2.01149589</v>
      </c>
      <c r="G18" s="18" t="n">
        <v>59.69126341</v>
      </c>
      <c r="H18" s="20" t="n">
        <v>2.79417207</v>
      </c>
      <c r="I18" s="18" t="s">
        <v>431</v>
      </c>
      <c r="J18" s="20" t="s">
        <v>431</v>
      </c>
      <c r="K18" s="18" t="n">
        <v>0</v>
      </c>
      <c r="L18" s="20" t="n">
        <v>0</v>
      </c>
      <c r="M18" s="18" t="n">
        <v>0</v>
      </c>
      <c r="N18" s="20" t="n">
        <v>0</v>
      </c>
      <c r="O18" s="18" t="n">
        <v>0</v>
      </c>
      <c r="P18" s="20" t="n">
        <v>0</v>
      </c>
      <c r="Q18" s="18" t="n">
        <v>20.42533773</v>
      </c>
      <c r="R18" s="20" t="n">
        <v>2.11529926</v>
      </c>
    </row>
    <row r="19" spans="1:18">
      <c r="A19" s="15" t="s">
        <v>443</v>
      </c>
      <c r="B19" s="17" t="n">
        <v>2808</v>
      </c>
      <c r="C19" s="18">
        <f>(2464.0/B19*100)</f>
        <v/>
      </c>
      <c r="D19" s="19" t="n">
        <v>344</v>
      </c>
      <c r="E19" s="18" t="n">
        <v>21.71927735</v>
      </c>
      <c r="F19" s="20" t="n">
        <v>2.46929548</v>
      </c>
      <c r="G19" s="18" t="n">
        <v>64.10393809</v>
      </c>
      <c r="H19" s="20" t="n">
        <v>2.37855723</v>
      </c>
      <c r="I19" s="18" t="s">
        <v>431</v>
      </c>
      <c r="J19" s="20" t="s">
        <v>431</v>
      </c>
      <c r="K19" s="18" t="n">
        <v>0</v>
      </c>
      <c r="L19" s="20" t="n">
        <v>0</v>
      </c>
      <c r="M19" s="18" t="n">
        <v>0</v>
      </c>
      <c r="N19" s="20" t="n">
        <v>0</v>
      </c>
      <c r="O19" s="18" t="n">
        <v>0</v>
      </c>
      <c r="P19" s="20" t="n">
        <v>0</v>
      </c>
      <c r="Q19" s="18" t="n">
        <v>14.17678457</v>
      </c>
      <c r="R19" s="20" t="n">
        <v>1.93381621</v>
      </c>
    </row>
    <row r="20" spans="1:18">
      <c r="A20" s="15" t="s">
        <v>444</v>
      </c>
      <c r="B20" s="17" t="n">
        <v>1630</v>
      </c>
      <c r="C20" s="18">
        <f>(1442.0/B20*100)</f>
        <v/>
      </c>
      <c r="D20" s="19" t="n">
        <v>188</v>
      </c>
      <c r="E20" s="18" t="n">
        <v>18.00004466</v>
      </c>
      <c r="F20" s="20" t="n">
        <v>2.83424192</v>
      </c>
      <c r="G20" s="18" t="n">
        <v>69.581734</v>
      </c>
      <c r="H20" s="20" t="n">
        <v>3.32579562</v>
      </c>
      <c r="I20" s="18" t="s">
        <v>431</v>
      </c>
      <c r="J20" s="20" t="s">
        <v>431</v>
      </c>
      <c r="K20" s="18" t="n">
        <v>0</v>
      </c>
      <c r="L20" s="20" t="n">
        <v>0</v>
      </c>
      <c r="M20" s="18" t="n">
        <v>0</v>
      </c>
      <c r="N20" s="20" t="n">
        <v>0</v>
      </c>
      <c r="O20" s="18" t="n">
        <v>0</v>
      </c>
      <c r="P20" s="20" t="n">
        <v>0</v>
      </c>
      <c r="Q20" s="18" t="n">
        <v>12.41822134</v>
      </c>
      <c r="R20" s="20" t="n">
        <v>2.15725767</v>
      </c>
    </row>
    <row r="21" spans="1:18">
      <c r="A21" s="15" t="s">
        <v>445</v>
      </c>
      <c r="B21" s="17" t="n">
        <v>2908</v>
      </c>
      <c r="C21" s="18">
        <f>(2420.0/B21*100)</f>
        <v/>
      </c>
      <c r="D21" s="19" t="n">
        <v>488</v>
      </c>
      <c r="E21" s="18" t="n">
        <v>8.31332849</v>
      </c>
      <c r="F21" s="20" t="n">
        <v>1.40642714</v>
      </c>
      <c r="G21" s="18" t="n">
        <v>85.80954378</v>
      </c>
      <c r="H21" s="20" t="n">
        <v>1.52280458</v>
      </c>
      <c r="I21" s="18" t="s">
        <v>431</v>
      </c>
      <c r="J21" s="20" t="s">
        <v>431</v>
      </c>
      <c r="K21" s="18" t="n">
        <v>0</v>
      </c>
      <c r="L21" s="20" t="n">
        <v>0</v>
      </c>
      <c r="M21" s="18" t="n">
        <v>0</v>
      </c>
      <c r="N21" s="20" t="n">
        <v>0</v>
      </c>
      <c r="O21" s="18" t="n">
        <v>0</v>
      </c>
      <c r="P21" s="20" t="n">
        <v>0</v>
      </c>
      <c r="Q21" s="18" t="n">
        <v>5.87712773</v>
      </c>
      <c r="R21" s="20" t="n">
        <v>0.91554623</v>
      </c>
    </row>
    <row r="22" spans="1:18">
      <c r="A22" s="15" t="s">
        <v>446</v>
      </c>
      <c r="B22" s="17" t="n">
        <v>2931</v>
      </c>
      <c r="C22" s="18">
        <f>(2577.0/B22*100)</f>
        <v/>
      </c>
      <c r="D22" s="19" t="n">
        <v>354</v>
      </c>
      <c r="E22" s="18" t="n">
        <v>18.82857809</v>
      </c>
      <c r="F22" s="20" t="n">
        <v>2.34779857</v>
      </c>
      <c r="G22" s="18" t="n">
        <v>65.48899387</v>
      </c>
      <c r="H22" s="20" t="n">
        <v>3.58188725</v>
      </c>
      <c r="I22" s="18" t="s">
        <v>431</v>
      </c>
      <c r="J22" s="20" t="s">
        <v>431</v>
      </c>
      <c r="K22" s="18" t="n">
        <v>1.15947898</v>
      </c>
      <c r="L22" s="20" t="n">
        <v>0.58384867</v>
      </c>
      <c r="M22" s="18" t="n">
        <v>0</v>
      </c>
      <c r="N22" s="20" t="n">
        <v>0</v>
      </c>
      <c r="O22" s="18" t="n">
        <v>0</v>
      </c>
      <c r="P22" s="20" t="n">
        <v>0</v>
      </c>
      <c r="Q22" s="18" t="n">
        <v>14.52294906</v>
      </c>
      <c r="R22" s="20" t="n">
        <v>2.53523177</v>
      </c>
    </row>
    <row r="23" spans="1:18">
      <c r="A23" s="15" t="s">
        <v>447</v>
      </c>
      <c r="B23" s="17" t="n">
        <v>5791</v>
      </c>
      <c r="C23" s="18">
        <f>(5110.0/B23*100)</f>
        <v/>
      </c>
      <c r="D23" s="19" t="n">
        <v>681</v>
      </c>
      <c r="E23" s="18" t="n">
        <v>9.73774463</v>
      </c>
      <c r="F23" s="20" t="n">
        <v>1.18445799</v>
      </c>
      <c r="G23" s="18" t="n">
        <v>74.82095658999999</v>
      </c>
      <c r="H23" s="20" t="n">
        <v>2.15815638</v>
      </c>
      <c r="I23" s="18" t="s">
        <v>431</v>
      </c>
      <c r="J23" s="20" t="s">
        <v>431</v>
      </c>
      <c r="K23" s="18" t="n">
        <v>0.94805289</v>
      </c>
      <c r="L23" s="20" t="n">
        <v>0.48641111</v>
      </c>
      <c r="M23" s="18" t="n">
        <v>0.59921294</v>
      </c>
      <c r="N23" s="20" t="n">
        <v>0.45011833</v>
      </c>
      <c r="O23" s="18" t="n">
        <v>0</v>
      </c>
      <c r="P23" s="20" t="n">
        <v>0</v>
      </c>
      <c r="Q23" s="18" t="n">
        <v>13.89403295</v>
      </c>
      <c r="R23" s="20" t="n">
        <v>1.89804996</v>
      </c>
    </row>
    <row r="24" spans="1:18">
      <c r="A24" s="15" t="s">
        <v>448</v>
      </c>
      <c r="B24" s="17" t="n">
        <v>3338</v>
      </c>
      <c r="C24" s="18">
        <f>(2924.0/B24*100)</f>
        <v/>
      </c>
      <c r="D24" s="19" t="n">
        <v>414</v>
      </c>
      <c r="E24" s="18" t="n">
        <v>12.66676934</v>
      </c>
      <c r="F24" s="20" t="n">
        <v>1.69370955</v>
      </c>
      <c r="G24" s="18" t="n">
        <v>75.75254196</v>
      </c>
      <c r="H24" s="20" t="n">
        <v>1.91203718</v>
      </c>
      <c r="I24" s="18" t="s">
        <v>431</v>
      </c>
      <c r="J24" s="20" t="s">
        <v>431</v>
      </c>
      <c r="K24" s="18" t="n">
        <v>0</v>
      </c>
      <c r="L24" s="20" t="n">
        <v>0</v>
      </c>
      <c r="M24" s="18" t="n">
        <v>0</v>
      </c>
      <c r="N24" s="20" t="n">
        <v>0</v>
      </c>
      <c r="O24" s="18" t="n">
        <v>0</v>
      </c>
      <c r="P24" s="20" t="n">
        <v>0</v>
      </c>
      <c r="Q24" s="18" t="n">
        <v>11.58068869</v>
      </c>
      <c r="R24" s="20" t="n">
        <v>1.53641272</v>
      </c>
    </row>
    <row r="25" spans="1:18">
      <c r="A25" s="15" t="s">
        <v>449</v>
      </c>
      <c r="B25" s="17" t="n">
        <v>2912</v>
      </c>
      <c r="C25" s="18">
        <f>(2547.0/B25*100)</f>
        <v/>
      </c>
      <c r="D25" s="19" t="n">
        <v>365</v>
      </c>
      <c r="E25" s="18" t="n">
        <v>21.72332128</v>
      </c>
      <c r="F25" s="20" t="n">
        <v>2.23598016</v>
      </c>
      <c r="G25" s="18" t="n">
        <v>66.80891364</v>
      </c>
      <c r="H25" s="20" t="n">
        <v>2.81777359</v>
      </c>
      <c r="I25" s="18" t="s">
        <v>431</v>
      </c>
      <c r="J25" s="20" t="s">
        <v>431</v>
      </c>
      <c r="K25" s="18" t="n">
        <v>0</v>
      </c>
      <c r="L25" s="20" t="n">
        <v>0</v>
      </c>
      <c r="M25" s="18" t="n">
        <v>0.27869184</v>
      </c>
      <c r="N25" s="20" t="n">
        <v>0.27781633</v>
      </c>
      <c r="O25" s="18" t="n">
        <v>0</v>
      </c>
      <c r="P25" s="20" t="n">
        <v>0</v>
      </c>
      <c r="Q25" s="18" t="n">
        <v>11.18907324</v>
      </c>
      <c r="R25" s="20" t="n">
        <v>1.81831234</v>
      </c>
    </row>
    <row r="26" spans="1:18">
      <c r="A26" s="15" t="s">
        <v>450</v>
      </c>
      <c r="B26" s="17" t="n">
        <v>2450</v>
      </c>
      <c r="C26" s="18">
        <f>(2152.0/B26*100)</f>
        <v/>
      </c>
      <c r="D26" s="19" t="n">
        <v>298</v>
      </c>
      <c r="E26" s="18" t="n">
        <v>22.3411678</v>
      </c>
      <c r="F26" s="20" t="n">
        <v>2.84316567</v>
      </c>
      <c r="G26" s="18" t="n">
        <v>67.0179548</v>
      </c>
      <c r="H26" s="20" t="n">
        <v>3.53160031</v>
      </c>
      <c r="I26" s="18" t="s">
        <v>431</v>
      </c>
      <c r="J26" s="20" t="s">
        <v>431</v>
      </c>
      <c r="K26" s="18" t="n">
        <v>0</v>
      </c>
      <c r="L26" s="20" t="n">
        <v>0</v>
      </c>
      <c r="M26" s="18" t="n">
        <v>0.26720002</v>
      </c>
      <c r="N26" s="20" t="n">
        <v>0.26634204</v>
      </c>
      <c r="O26" s="18" t="n">
        <v>0</v>
      </c>
      <c r="P26" s="20" t="n">
        <v>0</v>
      </c>
      <c r="Q26" s="18" t="n">
        <v>10.37367738</v>
      </c>
      <c r="R26" s="20" t="n">
        <v>2.08863334</v>
      </c>
    </row>
    <row r="27" spans="1:18">
      <c r="A27" s="15" t="s">
        <v>451</v>
      </c>
      <c r="B27" s="17" t="n">
        <v>2616</v>
      </c>
      <c r="C27" s="18">
        <f>(2290.0/B27*100)</f>
        <v/>
      </c>
      <c r="D27" s="19" t="n">
        <v>326</v>
      </c>
      <c r="E27" s="18" t="n">
        <v>20.99873721</v>
      </c>
      <c r="F27" s="20" t="n">
        <v>2.24922173</v>
      </c>
      <c r="G27" s="18" t="n">
        <v>61.15712185</v>
      </c>
      <c r="H27" s="20" t="n">
        <v>2.96848037</v>
      </c>
      <c r="I27" s="18" t="s">
        <v>431</v>
      </c>
      <c r="J27" s="20" t="s">
        <v>431</v>
      </c>
      <c r="K27" s="18" t="n">
        <v>0.30550495</v>
      </c>
      <c r="L27" s="20" t="n">
        <v>0.30794766</v>
      </c>
      <c r="M27" s="18" t="n">
        <v>0</v>
      </c>
      <c r="N27" s="20" t="n">
        <v>0</v>
      </c>
      <c r="O27" s="18" t="n">
        <v>0</v>
      </c>
      <c r="P27" s="20" t="n">
        <v>0</v>
      </c>
      <c r="Q27" s="18" t="n">
        <v>17.53863599</v>
      </c>
      <c r="R27" s="20" t="n">
        <v>2.26780915</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(2378.0/B29*100)</f>
        <v/>
      </c>
      <c r="D29" s="19" t="n">
        <v>307</v>
      </c>
      <c r="E29" s="18" t="n">
        <v>26.3857606</v>
      </c>
      <c r="F29" s="20" t="n">
        <v>2.30325784</v>
      </c>
      <c r="G29" s="18" t="n">
        <v>64.48541638</v>
      </c>
      <c r="H29" s="20" t="n">
        <v>2.255391</v>
      </c>
      <c r="I29" s="18" t="s">
        <v>431</v>
      </c>
      <c r="J29" s="20" t="s">
        <v>431</v>
      </c>
      <c r="K29" s="18" t="n">
        <v>0.70306701</v>
      </c>
      <c r="L29" s="20" t="n">
        <v>0.5015482999999999</v>
      </c>
      <c r="M29" s="18" t="n">
        <v>0</v>
      </c>
      <c r="N29" s="20" t="n">
        <v>0</v>
      </c>
      <c r="O29" s="18" t="n">
        <v>0</v>
      </c>
      <c r="P29" s="20" t="n">
        <v>0</v>
      </c>
      <c r="Q29" s="18" t="n">
        <v>8.425756</v>
      </c>
      <c r="R29" s="20" t="n">
        <v>1.37647419</v>
      </c>
    </row>
    <row r="30" spans="1:18">
      <c r="A30" s="15" t="s">
        <v>454</v>
      </c>
      <c r="B30" s="17" t="n">
        <v>2263</v>
      </c>
      <c r="C30" s="18">
        <f>(1992.0/B30*100)</f>
        <v/>
      </c>
      <c r="D30" s="19" t="n">
        <v>271</v>
      </c>
      <c r="E30" s="18" t="n">
        <v>17.2393884</v>
      </c>
      <c r="F30" s="20" t="n">
        <v>2.75127351</v>
      </c>
      <c r="G30" s="18" t="n">
        <v>71.06742303</v>
      </c>
      <c r="H30" s="20" t="n">
        <v>3.27490767</v>
      </c>
      <c r="I30" s="18" t="s">
        <v>431</v>
      </c>
      <c r="J30" s="20" t="s">
        <v>431</v>
      </c>
      <c r="K30" s="18" t="n">
        <v>0</v>
      </c>
      <c r="L30" s="20" t="n">
        <v>0</v>
      </c>
      <c r="M30" s="18" t="n">
        <v>0</v>
      </c>
      <c r="N30" s="20" t="n">
        <v>0</v>
      </c>
      <c r="O30" s="18" t="n">
        <v>0</v>
      </c>
      <c r="P30" s="20" t="n">
        <v>0</v>
      </c>
      <c r="Q30" s="18" t="n">
        <v>11.69318858</v>
      </c>
      <c r="R30" s="20" t="n">
        <v>2.01356677</v>
      </c>
    </row>
    <row r="31" spans="1:18">
      <c r="A31" s="15" t="s">
        <v>455</v>
      </c>
      <c r="B31" s="17" t="n">
        <v>2750</v>
      </c>
      <c r="C31" s="18">
        <f>(2408.0/B31*100)</f>
        <v/>
      </c>
      <c r="D31" s="19" t="n">
        <v>342</v>
      </c>
      <c r="E31" s="18" t="n">
        <v>11.23564503</v>
      </c>
      <c r="F31" s="20" t="n">
        <v>1.54386175</v>
      </c>
      <c r="G31" s="18" t="n">
        <v>73.84113345999999</v>
      </c>
      <c r="H31" s="20" t="n">
        <v>2.1996889</v>
      </c>
      <c r="I31" s="18" t="s">
        <v>431</v>
      </c>
      <c r="J31" s="20" t="s">
        <v>431</v>
      </c>
      <c r="K31" s="18" t="n">
        <v>0</v>
      </c>
      <c r="L31" s="20" t="n">
        <v>0</v>
      </c>
      <c r="M31" s="18" t="n">
        <v>0</v>
      </c>
      <c r="N31" s="20" t="n">
        <v>0</v>
      </c>
      <c r="O31" s="18" t="n">
        <v>0</v>
      </c>
      <c r="P31" s="20" t="n">
        <v>0</v>
      </c>
      <c r="Q31" s="18" t="n">
        <v>14.92322151</v>
      </c>
      <c r="R31" s="20" t="n">
        <v>1.90799938</v>
      </c>
    </row>
    <row r="32" spans="1:18">
      <c r="A32" s="15" t="s">
        <v>456</v>
      </c>
      <c r="B32" s="17" t="n">
        <v>2269</v>
      </c>
      <c r="C32" s="18">
        <f>(1891.0/B32*100)</f>
        <v/>
      </c>
      <c r="D32" s="19" t="n">
        <v>378</v>
      </c>
      <c r="E32" s="18" t="n">
        <v>14.67880406</v>
      </c>
      <c r="F32" s="20" t="n">
        <v>1.60842658</v>
      </c>
      <c r="G32" s="18" t="n">
        <v>73.13235555999999</v>
      </c>
      <c r="H32" s="20" t="n">
        <v>2.22255173</v>
      </c>
      <c r="I32" s="18" t="s">
        <v>431</v>
      </c>
      <c r="J32" s="20" t="s">
        <v>431</v>
      </c>
      <c r="K32" s="18" t="n">
        <v>0.27324371</v>
      </c>
      <c r="L32" s="20" t="n">
        <v>0.23809587</v>
      </c>
      <c r="M32" s="18" t="n">
        <v>0</v>
      </c>
      <c r="N32" s="20" t="n">
        <v>0</v>
      </c>
      <c r="O32" s="18" t="n">
        <v>0</v>
      </c>
      <c r="P32" s="20" t="n">
        <v>0</v>
      </c>
      <c r="Q32" s="18" t="n">
        <v>11.91559667</v>
      </c>
      <c r="R32" s="20" t="n">
        <v>1.60105397</v>
      </c>
    </row>
    <row r="33" spans="1:18">
      <c r="A33" s="15" t="s">
        <v>457</v>
      </c>
      <c r="B33" s="17" t="n">
        <v>3674</v>
      </c>
      <c r="C33" s="18">
        <f>(3231.0/B33*100)</f>
        <v/>
      </c>
      <c r="D33" s="19" t="n">
        <v>443</v>
      </c>
      <c r="E33" s="18" t="n">
        <v>12.62812659</v>
      </c>
      <c r="F33" s="20" t="n">
        <v>1.76967264</v>
      </c>
      <c r="G33" s="18" t="n">
        <v>74.50365569</v>
      </c>
      <c r="H33" s="20" t="n">
        <v>2.61694888</v>
      </c>
      <c r="I33" s="18" t="s">
        <v>431</v>
      </c>
      <c r="J33" s="20" t="s">
        <v>431</v>
      </c>
      <c r="K33" s="18" t="n">
        <v>0</v>
      </c>
      <c r="L33" s="20" t="n">
        <v>0</v>
      </c>
      <c r="M33" s="18" t="n">
        <v>0</v>
      </c>
      <c r="N33" s="20" t="n">
        <v>0</v>
      </c>
      <c r="O33" s="18" t="n">
        <v>0</v>
      </c>
      <c r="P33" s="20" t="n">
        <v>0</v>
      </c>
      <c r="Q33" s="18" t="n">
        <v>12.86821772</v>
      </c>
      <c r="R33" s="20" t="n">
        <v>2.07597989</v>
      </c>
    </row>
    <row r="34" spans="1:18">
      <c r="A34" s="15" t="s">
        <v>458</v>
      </c>
      <c r="B34" s="17" t="n">
        <v>3315</v>
      </c>
      <c r="C34" s="18">
        <f>(2913.0/B34*100)</f>
        <v/>
      </c>
      <c r="D34" s="19" t="n">
        <v>402</v>
      </c>
      <c r="E34" s="18" t="n">
        <v>22.66537762</v>
      </c>
      <c r="F34" s="20" t="n">
        <v>2.55506119</v>
      </c>
      <c r="G34" s="18" t="n">
        <v>52.20732047</v>
      </c>
      <c r="H34" s="20" t="n">
        <v>2.67587498</v>
      </c>
      <c r="I34" s="18" t="s">
        <v>431</v>
      </c>
      <c r="J34" s="20" t="s">
        <v>431</v>
      </c>
      <c r="K34" s="18" t="n">
        <v>0.19234024</v>
      </c>
      <c r="L34" s="20" t="n">
        <v>0.19146941</v>
      </c>
      <c r="M34" s="18" t="n">
        <v>0.2252234</v>
      </c>
      <c r="N34" s="20" t="n">
        <v>0.22487441</v>
      </c>
      <c r="O34" s="18" t="n">
        <v>0</v>
      </c>
      <c r="P34" s="20" t="n">
        <v>0</v>
      </c>
      <c r="Q34" s="18" t="n">
        <v>24.70973827</v>
      </c>
      <c r="R34" s="20" t="n">
        <v>2.13837808</v>
      </c>
    </row>
    <row r="35" spans="1:18">
      <c r="A35" s="15" t="s">
        <v>459</v>
      </c>
      <c r="B35" s="17" t="n">
        <v>3505</v>
      </c>
      <c r="C35" s="18">
        <f>(3084.0/B35*100)</f>
        <v/>
      </c>
      <c r="D35" s="19" t="n">
        <v>421</v>
      </c>
      <c r="E35" s="18" t="n">
        <v>13.07230494</v>
      </c>
      <c r="F35" s="20" t="n">
        <v>1.8291328</v>
      </c>
      <c r="G35" s="18" t="n">
        <v>70.74552375</v>
      </c>
      <c r="H35" s="20" t="n">
        <v>2.56209668</v>
      </c>
      <c r="I35" s="18" t="s">
        <v>431</v>
      </c>
      <c r="J35" s="20" t="s">
        <v>431</v>
      </c>
      <c r="K35" s="18" t="n">
        <v>0.13667915</v>
      </c>
      <c r="L35" s="20" t="n">
        <v>0.13515363</v>
      </c>
      <c r="M35" s="18" t="n">
        <v>0.84741075</v>
      </c>
      <c r="N35" s="20" t="n">
        <v>0.57952827</v>
      </c>
      <c r="O35" s="18" t="n">
        <v>0</v>
      </c>
      <c r="P35" s="20" t="n">
        <v>0</v>
      </c>
      <c r="Q35" s="18" t="n">
        <v>15.19808141</v>
      </c>
      <c r="R35" s="20" t="n">
        <v>2.04826965</v>
      </c>
    </row>
    <row r="36" spans="1:18">
      <c r="A36" s="15" t="s">
        <v>460</v>
      </c>
      <c r="B36" s="17" t="n">
        <v>3332</v>
      </c>
      <c r="C36" s="18">
        <f>(2919.0/B36*100)</f>
        <v/>
      </c>
      <c r="D36" s="19" t="n">
        <v>413</v>
      </c>
      <c r="E36" s="18" t="n">
        <v>11.871382</v>
      </c>
      <c r="F36" s="20" t="n">
        <v>1.60742238</v>
      </c>
      <c r="G36" s="18" t="n">
        <v>75.00632668999999</v>
      </c>
      <c r="H36" s="20" t="n">
        <v>1.84882038</v>
      </c>
      <c r="I36" s="18" t="s">
        <v>431</v>
      </c>
      <c r="J36" s="20" t="s">
        <v>431</v>
      </c>
      <c r="K36" s="18" t="n">
        <v>0</v>
      </c>
      <c r="L36" s="20" t="n">
        <v>0</v>
      </c>
      <c r="M36" s="18" t="n">
        <v>0</v>
      </c>
      <c r="N36" s="20" t="n">
        <v>0</v>
      </c>
      <c r="O36" s="18" t="n">
        <v>0</v>
      </c>
      <c r="P36" s="20" t="n">
        <v>0</v>
      </c>
      <c r="Q36" s="18" t="n">
        <v>13.12229131</v>
      </c>
      <c r="R36" s="20" t="n">
        <v>1.63276935</v>
      </c>
    </row>
    <row r="37" spans="1:18">
      <c r="A37" s="15" t="s">
        <v>461</v>
      </c>
      <c r="B37" s="17" t="n">
        <v>2727</v>
      </c>
      <c r="C37" s="18">
        <f>(2386.0/B37*100)</f>
        <v/>
      </c>
      <c r="D37" s="19" t="n">
        <v>341</v>
      </c>
      <c r="E37" s="18" t="n">
        <v>15.65420028</v>
      </c>
      <c r="F37" s="20" t="n">
        <v>2.07042875</v>
      </c>
      <c r="G37" s="18" t="n">
        <v>64.55535904</v>
      </c>
      <c r="H37" s="20" t="n">
        <v>2.99449717</v>
      </c>
      <c r="I37" s="18" t="s">
        <v>431</v>
      </c>
      <c r="J37" s="20" t="s">
        <v>431</v>
      </c>
      <c r="K37" s="18" t="n">
        <v>0.85737495</v>
      </c>
      <c r="L37" s="20" t="n">
        <v>0.48703452</v>
      </c>
      <c r="M37" s="18" t="n">
        <v>0.23386812</v>
      </c>
      <c r="N37" s="20" t="n">
        <v>0.23368529</v>
      </c>
      <c r="O37" s="18" t="n">
        <v>0</v>
      </c>
      <c r="P37" s="20" t="n">
        <v>0</v>
      </c>
      <c r="Q37" s="18" t="n">
        <v>18.69919761</v>
      </c>
      <c r="R37" s="20" t="n">
        <v>2.4208294</v>
      </c>
    </row>
    <row r="38" spans="1:18">
      <c r="A38" s="15" t="s">
        <v>462</v>
      </c>
      <c r="B38" s="17" t="n">
        <v>3053</v>
      </c>
      <c r="C38" s="18">
        <f>(2511.0/B38*100)</f>
        <v/>
      </c>
      <c r="D38" s="19" t="n">
        <v>542</v>
      </c>
      <c r="E38" s="18" t="n">
        <v>20.92378139</v>
      </c>
      <c r="F38" s="20" t="n">
        <v>1.89428625</v>
      </c>
      <c r="G38" s="18" t="n">
        <v>60.77213916</v>
      </c>
      <c r="H38" s="20" t="n">
        <v>2.43306839</v>
      </c>
      <c r="I38" s="18" t="s">
        <v>431</v>
      </c>
      <c r="J38" s="20" t="s">
        <v>431</v>
      </c>
      <c r="K38" s="18" t="n">
        <v>0.32772423</v>
      </c>
      <c r="L38" s="20" t="n">
        <v>0.23347408</v>
      </c>
      <c r="M38" s="18" t="n">
        <v>0</v>
      </c>
      <c r="N38" s="20" t="n">
        <v>0</v>
      </c>
      <c r="O38" s="18" t="n">
        <v>0</v>
      </c>
      <c r="P38" s="20" t="n">
        <v>0</v>
      </c>
      <c r="Q38" s="18" t="n">
        <v>17.97635521</v>
      </c>
      <c r="R38" s="20" t="n">
        <v>2.31124701</v>
      </c>
    </row>
    <row r="39" spans="1:18">
      <c r="A39" s="15" t="s">
        <v>463</v>
      </c>
      <c r="B39" s="17" t="n">
        <v>2957</v>
      </c>
      <c r="C39" s="18">
        <f>(2586.0/B39*100)</f>
        <v/>
      </c>
      <c r="D39" s="19" t="n">
        <v>371</v>
      </c>
      <c r="E39" s="18" t="n">
        <v>34.00748319</v>
      </c>
      <c r="F39" s="20" t="n">
        <v>2.4409351</v>
      </c>
      <c r="G39" s="18" t="n">
        <v>49.82422841</v>
      </c>
      <c r="H39" s="20" t="n">
        <v>2.95984058</v>
      </c>
      <c r="I39" s="18" t="s">
        <v>431</v>
      </c>
      <c r="J39" s="20" t="s">
        <v>431</v>
      </c>
      <c r="K39" s="18" t="n">
        <v>0</v>
      </c>
      <c r="L39" s="20" t="n">
        <v>0</v>
      </c>
      <c r="M39" s="18" t="n">
        <v>0</v>
      </c>
      <c r="N39" s="20" t="n">
        <v>0</v>
      </c>
      <c r="O39" s="18" t="n">
        <v>0</v>
      </c>
      <c r="P39" s="20" t="n">
        <v>0</v>
      </c>
      <c r="Q39" s="18" t="n">
        <v>16.1682884</v>
      </c>
      <c r="R39" s="20" t="n">
        <v>2.22886891</v>
      </c>
    </row>
    <row r="40" spans="1:18">
      <c r="A40" s="15" t="s">
        <v>464</v>
      </c>
      <c r="B40" s="17" t="n">
        <v>7235</v>
      </c>
      <c r="C40" s="18">
        <f>(6333.0/B40*100)</f>
        <v/>
      </c>
      <c r="D40" s="19" t="n">
        <v>902</v>
      </c>
      <c r="E40" s="18" t="n">
        <v>11.46835837</v>
      </c>
      <c r="F40" s="20" t="n">
        <v>1.66052368</v>
      </c>
      <c r="G40" s="18" t="n">
        <v>72.98305352</v>
      </c>
      <c r="H40" s="20" t="n">
        <v>2.1191694</v>
      </c>
      <c r="I40" s="18" t="s">
        <v>431</v>
      </c>
      <c r="J40" s="20" t="s">
        <v>431</v>
      </c>
      <c r="K40" s="18" t="n">
        <v>0.1477744</v>
      </c>
      <c r="L40" s="20" t="n">
        <v>0.06412706</v>
      </c>
      <c r="M40" s="18" t="n">
        <v>0.54988286</v>
      </c>
      <c r="N40" s="20" t="n">
        <v>0.43114642</v>
      </c>
      <c r="O40" s="18" t="n">
        <v>0</v>
      </c>
      <c r="P40" s="20" t="n">
        <v>0</v>
      </c>
      <c r="Q40" s="18" t="n">
        <v>14.85093085</v>
      </c>
      <c r="R40" s="20" t="n">
        <v>1.86671615</v>
      </c>
    </row>
    <row r="41" spans="1:18">
      <c r="A41" s="15" t="s">
        <v>465</v>
      </c>
      <c r="B41" s="17" t="n">
        <v>2858</v>
      </c>
      <c r="C41" s="18">
        <f>(2502.0/B41*100)</f>
        <v/>
      </c>
      <c r="D41" s="19" t="n">
        <v>356</v>
      </c>
      <c r="E41" s="18" t="n">
        <v>24.78014693</v>
      </c>
      <c r="F41" s="20" t="n">
        <v>2.33448685</v>
      </c>
      <c r="G41" s="18" t="n">
        <v>70.72737343999999</v>
      </c>
      <c r="H41" s="20" t="n">
        <v>2.35657301</v>
      </c>
      <c r="I41" s="18" t="s">
        <v>431</v>
      </c>
      <c r="J41" s="20" t="s">
        <v>431</v>
      </c>
      <c r="K41" s="18" t="n">
        <v>0</v>
      </c>
      <c r="L41" s="20" t="n">
        <v>0</v>
      </c>
      <c r="M41" s="18" t="n">
        <v>0</v>
      </c>
      <c r="N41" s="20" t="n">
        <v>0</v>
      </c>
      <c r="O41" s="18" t="n">
        <v>0</v>
      </c>
      <c r="P41" s="20" t="n">
        <v>0</v>
      </c>
      <c r="Q41" s="18" t="n">
        <v>4.49247964</v>
      </c>
      <c r="R41" s="20" t="n">
        <v>0.89139455</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(4511.0/B48*100)</f>
        <v/>
      </c>
      <c r="D48" s="19" t="n">
        <v>648</v>
      </c>
      <c r="E48" s="18" t="n">
        <v>26.4711645</v>
      </c>
      <c r="F48" s="20" t="n">
        <v>1.97457818</v>
      </c>
      <c r="G48" s="18" t="n">
        <v>59.2862219</v>
      </c>
      <c r="H48" s="20" t="n">
        <v>1.97402369</v>
      </c>
      <c r="I48" s="18" t="s">
        <v>431</v>
      </c>
      <c r="J48" s="20" t="s">
        <v>431</v>
      </c>
      <c r="K48" s="18" t="n">
        <v>0.27416983</v>
      </c>
      <c r="L48" s="20" t="n">
        <v>0.28428573</v>
      </c>
      <c r="M48" s="18" t="n">
        <v>0.26653893</v>
      </c>
      <c r="N48" s="20" t="n">
        <v>0.2659019</v>
      </c>
      <c r="O48" s="18" t="n">
        <v>0</v>
      </c>
      <c r="P48" s="20" t="n">
        <v>0</v>
      </c>
      <c r="Q48" s="18" t="n">
        <v>13.70190483</v>
      </c>
      <c r="R48" s="20" t="n">
        <v>1.7786138</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(2453.0/B52*100)</f>
        <v/>
      </c>
      <c r="D52" s="19" t="n">
        <v>343</v>
      </c>
      <c r="E52" s="18" t="n">
        <v>18.41130247</v>
      </c>
      <c r="F52" s="20" t="n">
        <v>2.24298307</v>
      </c>
      <c r="G52" s="18" t="n">
        <v>61.69933356</v>
      </c>
      <c r="H52" s="20" t="n">
        <v>3.00762496</v>
      </c>
      <c r="I52" s="18" t="s">
        <v>431</v>
      </c>
      <c r="J52" s="20" t="s">
        <v>431</v>
      </c>
      <c r="K52" s="18" t="n">
        <v>0</v>
      </c>
      <c r="L52" s="20" t="n">
        <v>0</v>
      </c>
      <c r="M52" s="18" t="n">
        <v>0</v>
      </c>
      <c r="N52" s="20" t="n">
        <v>0</v>
      </c>
      <c r="O52" s="18" t="n">
        <v>0</v>
      </c>
      <c r="P52" s="20" t="n">
        <v>0</v>
      </c>
      <c r="Q52" s="18" t="n">
        <v>19.88936397</v>
      </c>
      <c r="R52" s="20" t="n">
        <v>2.37468525</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19.22101215</v>
      </c>
      <c r="F56" s="20" t="n">
        <v>2.63999175</v>
      </c>
      <c r="G56" s="18" t="n">
        <v>72.12738858</v>
      </c>
      <c r="H56" s="20" t="n">
        <v>3.22333255</v>
      </c>
      <c r="I56" s="18" t="s">
        <v>431</v>
      </c>
      <c r="J56" s="20" t="s">
        <v>431</v>
      </c>
      <c r="K56" s="18" t="n">
        <v>0</v>
      </c>
      <c r="L56" s="20" t="n">
        <v>0</v>
      </c>
      <c r="M56" s="18" t="n">
        <v>0</v>
      </c>
      <c r="N56" s="20" t="n">
        <v>0</v>
      </c>
      <c r="O56" s="18" t="n">
        <v>0</v>
      </c>
      <c r="P56" s="20" t="n">
        <v>0</v>
      </c>
      <c r="Q56" s="18" t="n">
        <v>8.651599279999999</v>
      </c>
      <c r="R56" s="20" t="n">
        <v>1.65313432</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(2892.0/B61*100)</f>
        <v/>
      </c>
      <c r="D61" s="19" t="n">
        <v>432</v>
      </c>
      <c r="E61" s="18" t="n">
        <v>20.03093309</v>
      </c>
      <c r="F61" s="20" t="n">
        <v>2.14239449</v>
      </c>
      <c r="G61" s="18" t="n">
        <v>65.61411903</v>
      </c>
      <c r="H61" s="20" t="n">
        <v>2.11333745</v>
      </c>
      <c r="I61" s="18" t="s">
        <v>431</v>
      </c>
      <c r="J61" s="20" t="s">
        <v>431</v>
      </c>
      <c r="K61" s="18" t="n">
        <v>0</v>
      </c>
      <c r="L61" s="20" t="n">
        <v>0</v>
      </c>
      <c r="M61" s="18" t="n">
        <v>0</v>
      </c>
      <c r="N61" s="20" t="n">
        <v>0</v>
      </c>
      <c r="O61" s="18" t="n">
        <v>0</v>
      </c>
      <c r="P61" s="20" t="n">
        <v>0</v>
      </c>
      <c r="Q61" s="18" t="n">
        <v>14.35494789</v>
      </c>
      <c r="R61" s="20" t="n">
        <v>1.86666756</v>
      </c>
    </row>
    <row r="62" spans="1:18">
      <c r="A62" s="15" t="s">
        <v>486</v>
      </c>
      <c r="B62" s="17" t="n">
        <v>2246</v>
      </c>
      <c r="C62" s="18">
        <f>(1966.0/B62*100)</f>
        <v/>
      </c>
      <c r="D62" s="19" t="n">
        <v>280</v>
      </c>
      <c r="E62" s="18" t="n">
        <v>32.48808219</v>
      </c>
      <c r="F62" s="20" t="n">
        <v>2.6250457</v>
      </c>
      <c r="G62" s="18" t="n">
        <v>61.78788291</v>
      </c>
      <c r="H62" s="20" t="n">
        <v>2.7544863</v>
      </c>
      <c r="I62" s="18" t="s">
        <v>431</v>
      </c>
      <c r="J62" s="20" t="s">
        <v>431</v>
      </c>
      <c r="K62" s="18" t="n">
        <v>0.36701419</v>
      </c>
      <c r="L62" s="20" t="n">
        <v>0.36550719</v>
      </c>
      <c r="M62" s="18" t="n">
        <v>0</v>
      </c>
      <c r="N62" s="20" t="n">
        <v>0</v>
      </c>
      <c r="O62" s="18" t="n">
        <v>0</v>
      </c>
      <c r="P62" s="20" t="n">
        <v>0</v>
      </c>
      <c r="Q62" s="18" t="n">
        <v>5.35702071</v>
      </c>
      <c r="R62" s="20" t="n">
        <v>1.16967572</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(2554.0/B66*100)</f>
        <v/>
      </c>
      <c r="D66" s="19" t="n">
        <v>340</v>
      </c>
      <c r="E66" s="18" t="n">
        <v>16.51764181</v>
      </c>
      <c r="F66" s="20" t="n">
        <v>1.79356694</v>
      </c>
      <c r="G66" s="18" t="n">
        <v>45.26277058</v>
      </c>
      <c r="H66" s="20" t="n">
        <v>3.0802872</v>
      </c>
      <c r="I66" s="18" t="s">
        <v>431</v>
      </c>
      <c r="J66" s="20" t="s">
        <v>431</v>
      </c>
      <c r="K66" s="18" t="n">
        <v>1.13510248</v>
      </c>
      <c r="L66" s="20" t="n">
        <v>0.57719357</v>
      </c>
      <c r="M66" s="18" t="n">
        <v>0.55949433</v>
      </c>
      <c r="N66" s="20" t="n">
        <v>0.39428482</v>
      </c>
      <c r="O66" s="18" t="n">
        <v>0</v>
      </c>
      <c r="P66" s="20" t="n">
        <v>0</v>
      </c>
      <c r="Q66" s="18" t="n">
        <v>36.5249908</v>
      </c>
      <c r="R66" s="20" t="n">
        <v>2.95482838</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(2581.0/B70*100)</f>
        <v/>
      </c>
      <c r="D70" s="19" t="n">
        <v>348</v>
      </c>
      <c r="E70" s="18" t="n">
        <v>21.58714988</v>
      </c>
      <c r="F70" s="20" t="n">
        <v>2.54920021</v>
      </c>
      <c r="G70" s="18" t="n">
        <v>65.76391184000001</v>
      </c>
      <c r="H70" s="20" t="n">
        <v>2.80614585</v>
      </c>
      <c r="I70" s="18" t="s">
        <v>431</v>
      </c>
      <c r="J70" s="20" t="s">
        <v>431</v>
      </c>
      <c r="K70" s="18" t="n">
        <v>0.23940884</v>
      </c>
      <c r="L70" s="20" t="n">
        <v>0.33966809</v>
      </c>
      <c r="M70" s="18" t="n">
        <v>0.18811051</v>
      </c>
      <c r="N70" s="20" t="n">
        <v>0.19059404</v>
      </c>
      <c r="O70" s="18" t="n">
        <v>0</v>
      </c>
      <c r="P70" s="20" t="n">
        <v>0</v>
      </c>
      <c r="Q70" s="18" t="n">
        <v>12.22141893</v>
      </c>
      <c r="R70" s="20" t="n">
        <v>1.61661311</v>
      </c>
    </row>
    <row r="71" spans="1:18">
      <c r="A71" s="15" t="s">
        <v>495</v>
      </c>
      <c r="B71" s="17" t="n">
        <v>3142</v>
      </c>
      <c r="C71" s="18">
        <f>(2763.0/B71*100)</f>
        <v/>
      </c>
      <c r="D71" s="19" t="n">
        <v>379</v>
      </c>
      <c r="E71" s="18" t="n">
        <v>17.8153931</v>
      </c>
      <c r="F71" s="20" t="n">
        <v>1.91983039</v>
      </c>
      <c r="G71" s="18" t="n">
        <v>77.03004867999999</v>
      </c>
      <c r="H71" s="20" t="n">
        <v>1.92473287</v>
      </c>
      <c r="I71" s="18" t="s">
        <v>431</v>
      </c>
      <c r="J71" s="20" t="s">
        <v>431</v>
      </c>
      <c r="K71" s="18" t="n">
        <v>0.75798963</v>
      </c>
      <c r="L71" s="20" t="n">
        <v>0.4362667</v>
      </c>
      <c r="M71" s="18" t="n">
        <v>0</v>
      </c>
      <c r="N71" s="20" t="n">
        <v>0</v>
      </c>
      <c r="O71" s="18" t="n">
        <v>0</v>
      </c>
      <c r="P71" s="20" t="n">
        <v>0</v>
      </c>
      <c r="Q71" s="18" t="n">
        <v>4.3965686</v>
      </c>
      <c r="R71" s="20" t="n">
        <v>1.03199128</v>
      </c>
    </row>
    <row r="72" spans="1:18">
      <c r="A72" s="15" t="s">
        <v>496</v>
      </c>
      <c r="B72" s="17" t="n">
        <v>3889</v>
      </c>
      <c r="C72" s="18">
        <f>(3415.0/B72*100)</f>
        <v/>
      </c>
      <c r="D72" s="19" t="n">
        <v>474</v>
      </c>
      <c r="E72" s="18" t="n">
        <v>31.05048698</v>
      </c>
      <c r="F72" s="20" t="n">
        <v>2.28803068</v>
      </c>
      <c r="G72" s="18" t="n">
        <v>61.25115263</v>
      </c>
      <c r="H72" s="20" t="n">
        <v>2.33906266</v>
      </c>
      <c r="I72" s="18" t="s">
        <v>431</v>
      </c>
      <c r="J72" s="20" t="s">
        <v>431</v>
      </c>
      <c r="K72" s="18" t="n">
        <v>0.165327</v>
      </c>
      <c r="L72" s="20" t="n">
        <v>0.16586649</v>
      </c>
      <c r="M72" s="18" t="n">
        <v>0</v>
      </c>
      <c r="N72" s="20" t="n">
        <v>0</v>
      </c>
      <c r="O72" s="18" t="n">
        <v>0</v>
      </c>
      <c r="P72" s="20" t="n">
        <v>0</v>
      </c>
      <c r="Q72" s="18" t="n">
        <v>7.5330334</v>
      </c>
      <c r="R72" s="20" t="n">
        <v>1.23422229</v>
      </c>
    </row>
    <row r="73" spans="1:18">
      <c r="A73" s="15" t="s">
        <v>497</v>
      </c>
      <c r="B73" s="17" t="n">
        <v>3597</v>
      </c>
      <c r="C73" s="18">
        <f>(3150.0/B73*100)</f>
        <v/>
      </c>
      <c r="D73" s="19" t="n">
        <v>447</v>
      </c>
      <c r="E73" s="18" t="n">
        <v>51.50833216</v>
      </c>
      <c r="F73" s="20" t="n">
        <v>3.40194836</v>
      </c>
      <c r="G73" s="18" t="n">
        <v>44.3378269</v>
      </c>
      <c r="H73" s="20" t="n">
        <v>3.36249925</v>
      </c>
      <c r="I73" s="18" t="s">
        <v>431</v>
      </c>
      <c r="J73" s="20" t="s">
        <v>431</v>
      </c>
      <c r="K73" s="18" t="n">
        <v>0</v>
      </c>
      <c r="L73" s="20" t="n">
        <v>0</v>
      </c>
      <c r="M73" s="18" t="n">
        <v>0.38607218</v>
      </c>
      <c r="N73" s="20" t="n">
        <v>0.38978323</v>
      </c>
      <c r="O73" s="18" t="n">
        <v>0</v>
      </c>
      <c r="P73" s="20" t="n">
        <v>0</v>
      </c>
      <c r="Q73" s="18" t="n">
        <v>3.76776876</v>
      </c>
      <c r="R73" s="20" t="n">
        <v>1.36864202</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(6439.0/B7*100)</f>
        <v/>
      </c>
      <c r="D7" s="19" t="n">
        <v>928</v>
      </c>
      <c r="E7" s="18" t="n">
        <v>63.66863867</v>
      </c>
      <c r="F7" s="20" t="n">
        <v>1.77656974</v>
      </c>
      <c r="G7" s="18" t="n">
        <v>21.46464003</v>
      </c>
      <c r="H7" s="20" t="n">
        <v>1.57856553</v>
      </c>
      <c r="I7" s="18" t="s">
        <v>431</v>
      </c>
      <c r="J7" s="20" t="s">
        <v>431</v>
      </c>
      <c r="K7" s="18" t="n">
        <v>0.13927451</v>
      </c>
      <c r="L7" s="20" t="n">
        <v>0.07382501</v>
      </c>
      <c r="M7" s="18" t="n">
        <v>5.36060854</v>
      </c>
      <c r="N7" s="20" t="n">
        <v>0.92806829</v>
      </c>
      <c r="O7" s="18" t="n">
        <v>0</v>
      </c>
      <c r="P7" s="20" t="n">
        <v>0</v>
      </c>
      <c r="Q7" s="18" t="n">
        <v>9.366838250000001</v>
      </c>
      <c r="R7" s="20" t="n">
        <v>0.99305617</v>
      </c>
    </row>
    <row r="8" spans="1:18">
      <c r="A8" s="15" t="s">
        <v>432</v>
      </c>
      <c r="B8" s="17" t="n">
        <v>3564</v>
      </c>
      <c r="C8" s="18">
        <f>(3144.0/B8*100)</f>
        <v/>
      </c>
      <c r="D8" s="19" t="n">
        <v>420</v>
      </c>
      <c r="E8" s="18" t="n">
        <v>53.59523909</v>
      </c>
      <c r="F8" s="20" t="n">
        <v>2.59742862</v>
      </c>
      <c r="G8" s="18" t="n">
        <v>30.28024705</v>
      </c>
      <c r="H8" s="20" t="n">
        <v>2.11361411</v>
      </c>
      <c r="I8" s="18" t="s">
        <v>431</v>
      </c>
      <c r="J8" s="20" t="s">
        <v>431</v>
      </c>
      <c r="K8" s="18" t="n">
        <v>0</v>
      </c>
      <c r="L8" s="20" t="n">
        <v>0</v>
      </c>
      <c r="M8" s="18" t="n">
        <v>0</v>
      </c>
      <c r="N8" s="20" t="n">
        <v>0</v>
      </c>
      <c r="O8" s="18" t="n">
        <v>0</v>
      </c>
      <c r="P8" s="20" t="n">
        <v>0</v>
      </c>
      <c r="Q8" s="18" t="n">
        <v>16.12451386</v>
      </c>
      <c r="R8" s="20" t="n">
        <v>1.99117315</v>
      </c>
    </row>
    <row r="9" spans="1:18">
      <c r="A9" s="15" t="s">
        <v>433</v>
      </c>
      <c r="B9" s="17" t="n">
        <v>4899</v>
      </c>
      <c r="C9" s="18">
        <f>(4298.0/B9*100)</f>
        <v/>
      </c>
      <c r="D9" s="19" t="n">
        <v>601</v>
      </c>
      <c r="E9" s="18" t="n">
        <v>52.00208537</v>
      </c>
      <c r="F9" s="20" t="n">
        <v>1.98533621</v>
      </c>
      <c r="G9" s="18" t="n">
        <v>36.93555153</v>
      </c>
      <c r="H9" s="20" t="n">
        <v>2.06350973</v>
      </c>
      <c r="I9" s="18" t="s">
        <v>431</v>
      </c>
      <c r="J9" s="20" t="s">
        <v>431</v>
      </c>
      <c r="K9" s="18" t="n">
        <v>0</v>
      </c>
      <c r="L9" s="20" t="n">
        <v>0</v>
      </c>
      <c r="M9" s="18" t="n">
        <v>0.13992209</v>
      </c>
      <c r="N9" s="20" t="n">
        <v>0.1251721</v>
      </c>
      <c r="O9" s="18" t="n">
        <v>0</v>
      </c>
      <c r="P9" s="20" t="n">
        <v>0</v>
      </c>
      <c r="Q9" s="18" t="n">
        <v>10.922441</v>
      </c>
      <c r="R9" s="20" t="n">
        <v>1.24309222</v>
      </c>
    </row>
    <row r="10" spans="1:18">
      <c r="A10" s="15" t="s">
        <v>434</v>
      </c>
      <c r="B10" s="17" t="n">
        <v>10036</v>
      </c>
      <c r="C10" s="18">
        <f>(8831.0/B10*100)</f>
        <v/>
      </c>
      <c r="D10" s="19" t="n">
        <v>1205</v>
      </c>
      <c r="E10" s="18" t="n">
        <v>66.85514291</v>
      </c>
      <c r="F10" s="20" t="n">
        <v>1.76044301</v>
      </c>
      <c r="G10" s="18" t="n">
        <v>27.17576997</v>
      </c>
      <c r="H10" s="20" t="n">
        <v>1.62376587</v>
      </c>
      <c r="I10" s="18" t="s">
        <v>431</v>
      </c>
      <c r="J10" s="20" t="s">
        <v>431</v>
      </c>
      <c r="K10" s="18" t="n">
        <v>0.62379602</v>
      </c>
      <c r="L10" s="20" t="n">
        <v>0.33885798</v>
      </c>
      <c r="M10" s="18" t="n">
        <v>0.08935086</v>
      </c>
      <c r="N10" s="20" t="n">
        <v>0.08923773</v>
      </c>
      <c r="O10" s="18" t="n">
        <v>0</v>
      </c>
      <c r="P10" s="20" t="n">
        <v>0</v>
      </c>
      <c r="Q10" s="18" t="n">
        <v>5.25594024</v>
      </c>
      <c r="R10" s="20" t="n">
        <v>0.95968558</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(3040.0/B12*100)</f>
        <v/>
      </c>
      <c r="D12" s="19" t="n">
        <v>432</v>
      </c>
      <c r="E12" s="18" t="n">
        <v>42.18128103</v>
      </c>
      <c r="F12" s="20" t="n">
        <v>2.73335626</v>
      </c>
      <c r="G12" s="18" t="n">
        <v>42.49361679</v>
      </c>
      <c r="H12" s="20" t="n">
        <v>2.87061337</v>
      </c>
      <c r="I12" s="18" t="s">
        <v>431</v>
      </c>
      <c r="J12" s="20" t="s">
        <v>431</v>
      </c>
      <c r="K12" s="18" t="n">
        <v>0</v>
      </c>
      <c r="L12" s="20" t="n">
        <v>0</v>
      </c>
      <c r="M12" s="18" t="n">
        <v>0</v>
      </c>
      <c r="N12" s="20" t="n">
        <v>0</v>
      </c>
      <c r="O12" s="18" t="n">
        <v>0</v>
      </c>
      <c r="P12" s="20" t="n">
        <v>0</v>
      </c>
      <c r="Q12" s="18" t="n">
        <v>15.32510218</v>
      </c>
      <c r="R12" s="20" t="n">
        <v>2.20368865</v>
      </c>
    </row>
    <row r="13" spans="1:18">
      <c r="A13" s="15" t="s">
        <v>437</v>
      </c>
      <c r="B13" s="17" t="n">
        <v>3559</v>
      </c>
      <c r="C13" s="18">
        <f>(3143.0/B13*100)</f>
        <v/>
      </c>
      <c r="D13" s="19" t="n">
        <v>416</v>
      </c>
      <c r="E13" s="18" t="n">
        <v>68.89741528</v>
      </c>
      <c r="F13" s="20" t="n">
        <v>2.5314635</v>
      </c>
      <c r="G13" s="18" t="n">
        <v>22.82841527</v>
      </c>
      <c r="H13" s="20" t="n">
        <v>2.45135154</v>
      </c>
      <c r="I13" s="18" t="s">
        <v>431</v>
      </c>
      <c r="J13" s="20" t="s">
        <v>431</v>
      </c>
      <c r="K13" s="18" t="n">
        <v>0.14417021</v>
      </c>
      <c r="L13" s="20" t="n">
        <v>0.14801545</v>
      </c>
      <c r="M13" s="18" t="n">
        <v>0</v>
      </c>
      <c r="N13" s="20" t="n">
        <v>0</v>
      </c>
      <c r="O13" s="18" t="n">
        <v>0</v>
      </c>
      <c r="P13" s="20" t="n">
        <v>0</v>
      </c>
      <c r="Q13" s="18" t="n">
        <v>8.12999924</v>
      </c>
      <c r="R13" s="20" t="n">
        <v>1.37513273</v>
      </c>
    </row>
    <row r="14" spans="1:18">
      <c r="A14" s="15" t="s">
        <v>438</v>
      </c>
      <c r="B14" s="17" t="n">
        <v>2799</v>
      </c>
      <c r="C14" s="18">
        <f>(2453.0/B14*100)</f>
        <v/>
      </c>
      <c r="D14" s="19" t="n">
        <v>346</v>
      </c>
      <c r="E14" s="18" t="n">
        <v>66.49864259</v>
      </c>
      <c r="F14" s="20" t="n">
        <v>2.61498709</v>
      </c>
      <c r="G14" s="18" t="n">
        <v>28.40693462</v>
      </c>
      <c r="H14" s="20" t="n">
        <v>2.63070494</v>
      </c>
      <c r="I14" s="18" t="s">
        <v>431</v>
      </c>
      <c r="J14" s="20" t="s">
        <v>431</v>
      </c>
      <c r="K14" s="18" t="n">
        <v>0</v>
      </c>
      <c r="L14" s="20" t="n">
        <v>0</v>
      </c>
      <c r="M14" s="18" t="n">
        <v>0</v>
      </c>
      <c r="N14" s="20" t="n">
        <v>0</v>
      </c>
      <c r="O14" s="18" t="n">
        <v>0</v>
      </c>
      <c r="P14" s="20" t="n">
        <v>0</v>
      </c>
      <c r="Q14" s="18" t="n">
        <v>5.09442278</v>
      </c>
      <c r="R14" s="20" t="n">
        <v>1.10404292</v>
      </c>
    </row>
    <row r="15" spans="1:18">
      <c r="A15" s="15" t="s">
        <v>439</v>
      </c>
      <c r="B15" s="17" t="n">
        <v>3019</v>
      </c>
      <c r="C15" s="18">
        <f>(2644.0/B15*100)</f>
        <v/>
      </c>
      <c r="D15" s="19" t="n">
        <v>375</v>
      </c>
      <c r="E15" s="18" t="n">
        <v>58.85944166</v>
      </c>
      <c r="F15" s="20" t="n">
        <v>2.91001708</v>
      </c>
      <c r="G15" s="18" t="n">
        <v>32.01673197</v>
      </c>
      <c r="H15" s="20" t="n">
        <v>2.7531513</v>
      </c>
      <c r="I15" s="18" t="s">
        <v>431</v>
      </c>
      <c r="J15" s="20" t="s">
        <v>431</v>
      </c>
      <c r="K15" s="18" t="n">
        <v>0.76295117</v>
      </c>
      <c r="L15" s="20" t="n">
        <v>0.44546663</v>
      </c>
      <c r="M15" s="18" t="n">
        <v>0</v>
      </c>
      <c r="N15" s="20" t="n">
        <v>0</v>
      </c>
      <c r="O15" s="18" t="n">
        <v>0</v>
      </c>
      <c r="P15" s="20" t="n">
        <v>0</v>
      </c>
      <c r="Q15" s="18" t="n">
        <v>8.360875200000001</v>
      </c>
      <c r="R15" s="20" t="n">
        <v>1.33581501</v>
      </c>
    </row>
    <row r="16" spans="1:18">
      <c r="A16" s="15" t="s">
        <v>440</v>
      </c>
      <c r="B16" s="17" t="n">
        <v>2997</v>
      </c>
      <c r="C16" s="18">
        <f>(2617.0/B16*100)</f>
        <v/>
      </c>
      <c r="D16" s="19" t="n">
        <v>380</v>
      </c>
      <c r="E16" s="18" t="n">
        <v>40.25207146</v>
      </c>
      <c r="F16" s="20" t="n">
        <v>2.63415935</v>
      </c>
      <c r="G16" s="18" t="n">
        <v>37.19569211</v>
      </c>
      <c r="H16" s="20" t="n">
        <v>2.48549806</v>
      </c>
      <c r="I16" s="18" t="s">
        <v>431</v>
      </c>
      <c r="J16" s="20" t="s">
        <v>431</v>
      </c>
      <c r="K16" s="18" t="n">
        <v>0.90918484</v>
      </c>
      <c r="L16" s="20" t="n">
        <v>0.52468302</v>
      </c>
      <c r="M16" s="18" t="n">
        <v>0</v>
      </c>
      <c r="N16" s="20" t="n">
        <v>0</v>
      </c>
      <c r="O16" s="18" t="n">
        <v>0</v>
      </c>
      <c r="P16" s="20" t="n">
        <v>0</v>
      </c>
      <c r="Q16" s="18" t="n">
        <v>21.64305159</v>
      </c>
      <c r="R16" s="20" t="n">
        <v>2.16635887</v>
      </c>
    </row>
    <row r="17" spans="1:18">
      <c r="A17" s="15" t="s">
        <v>441</v>
      </c>
      <c r="B17" s="17" t="n">
        <v>3307</v>
      </c>
      <c r="C17" s="18">
        <f>(2910.0/B17*100)</f>
        <v/>
      </c>
      <c r="D17" s="19" t="n">
        <v>397</v>
      </c>
      <c r="E17" s="18" t="n">
        <v>53.83149743</v>
      </c>
      <c r="F17" s="20" t="n">
        <v>2.83570452</v>
      </c>
      <c r="G17" s="18" t="n">
        <v>31.12314846</v>
      </c>
      <c r="H17" s="20" t="n">
        <v>2.23689448</v>
      </c>
      <c r="I17" s="18" t="s">
        <v>431</v>
      </c>
      <c r="J17" s="20" t="s">
        <v>431</v>
      </c>
      <c r="K17" s="18" t="n">
        <v>0.31964448</v>
      </c>
      <c r="L17" s="20" t="n">
        <v>0.30949189</v>
      </c>
      <c r="M17" s="18" t="n">
        <v>0</v>
      </c>
      <c r="N17" s="20" t="n">
        <v>0</v>
      </c>
      <c r="O17" s="18" t="n">
        <v>0</v>
      </c>
      <c r="P17" s="20" t="n">
        <v>0</v>
      </c>
      <c r="Q17" s="18" t="n">
        <v>14.72570963</v>
      </c>
      <c r="R17" s="20" t="n">
        <v>2.0157566</v>
      </c>
    </row>
    <row r="18" spans="1:18">
      <c r="A18" s="15" t="s">
        <v>442</v>
      </c>
      <c r="B18" s="17" t="n">
        <v>2826</v>
      </c>
      <c r="C18" s="18">
        <f>(2474.0/B18*100)</f>
        <v/>
      </c>
      <c r="D18" s="19" t="n">
        <v>352</v>
      </c>
      <c r="E18" s="18" t="n">
        <v>50.52868856</v>
      </c>
      <c r="F18" s="20" t="n">
        <v>3.00127278</v>
      </c>
      <c r="G18" s="18" t="n">
        <v>30.00407339</v>
      </c>
      <c r="H18" s="20" t="n">
        <v>2.62281101</v>
      </c>
      <c r="I18" s="18" t="s">
        <v>431</v>
      </c>
      <c r="J18" s="20" t="s">
        <v>431</v>
      </c>
      <c r="K18" s="18" t="n">
        <v>0</v>
      </c>
      <c r="L18" s="20" t="n">
        <v>0</v>
      </c>
      <c r="M18" s="18" t="n">
        <v>0</v>
      </c>
      <c r="N18" s="20" t="n">
        <v>0</v>
      </c>
      <c r="O18" s="18" t="n">
        <v>0</v>
      </c>
      <c r="P18" s="20" t="n">
        <v>0</v>
      </c>
      <c r="Q18" s="18" t="n">
        <v>19.46723805</v>
      </c>
      <c r="R18" s="20" t="n">
        <v>2.13120969</v>
      </c>
    </row>
    <row r="19" spans="1:18">
      <c r="A19" s="15" t="s">
        <v>443</v>
      </c>
      <c r="B19" s="17" t="n">
        <v>2808</v>
      </c>
      <c r="C19" s="18">
        <f>(2464.0/B19*100)</f>
        <v/>
      </c>
      <c r="D19" s="19" t="n">
        <v>344</v>
      </c>
      <c r="E19" s="18" t="n">
        <v>54.08909286</v>
      </c>
      <c r="F19" s="20" t="n">
        <v>3.10853519</v>
      </c>
      <c r="G19" s="18" t="n">
        <v>26.49499108</v>
      </c>
      <c r="H19" s="20" t="n">
        <v>2.27690159</v>
      </c>
      <c r="I19" s="18" t="s">
        <v>431</v>
      </c>
      <c r="J19" s="20" t="s">
        <v>431</v>
      </c>
      <c r="K19" s="18" t="n">
        <v>0</v>
      </c>
      <c r="L19" s="20" t="n">
        <v>0</v>
      </c>
      <c r="M19" s="18" t="n">
        <v>0</v>
      </c>
      <c r="N19" s="20" t="n">
        <v>0</v>
      </c>
      <c r="O19" s="18" t="n">
        <v>0</v>
      </c>
      <c r="P19" s="20" t="n">
        <v>0</v>
      </c>
      <c r="Q19" s="18" t="n">
        <v>19.41591606</v>
      </c>
      <c r="R19" s="20" t="n">
        <v>2.1630776</v>
      </c>
    </row>
    <row r="20" spans="1:18">
      <c r="A20" s="15" t="s">
        <v>444</v>
      </c>
      <c r="B20" s="17" t="n">
        <v>1630</v>
      </c>
      <c r="C20" s="18">
        <f>(1442.0/B20*100)</f>
        <v/>
      </c>
      <c r="D20" s="19" t="n">
        <v>188</v>
      </c>
      <c r="E20" s="18" t="n">
        <v>59.76953156</v>
      </c>
      <c r="F20" s="20" t="n">
        <v>4.08263266</v>
      </c>
      <c r="G20" s="18" t="n">
        <v>27.28951141</v>
      </c>
      <c r="H20" s="20" t="n">
        <v>3.46843022</v>
      </c>
      <c r="I20" s="18" t="s">
        <v>431</v>
      </c>
      <c r="J20" s="20" t="s">
        <v>431</v>
      </c>
      <c r="K20" s="18" t="n">
        <v>0</v>
      </c>
      <c r="L20" s="20" t="n">
        <v>0</v>
      </c>
      <c r="M20" s="18" t="n">
        <v>0</v>
      </c>
      <c r="N20" s="20" t="n">
        <v>0</v>
      </c>
      <c r="O20" s="18" t="n">
        <v>0</v>
      </c>
      <c r="P20" s="20" t="n">
        <v>0</v>
      </c>
      <c r="Q20" s="18" t="n">
        <v>12.94095703</v>
      </c>
      <c r="R20" s="20" t="n">
        <v>2.04319652</v>
      </c>
    </row>
    <row r="21" spans="1:18">
      <c r="A21" s="15" t="s">
        <v>445</v>
      </c>
      <c r="B21" s="17" t="n">
        <v>2908</v>
      </c>
      <c r="C21" s="18">
        <f>(2420.0/B21*100)</f>
        <v/>
      </c>
      <c r="D21" s="19" t="n">
        <v>488</v>
      </c>
      <c r="E21" s="18" t="n">
        <v>64.15115900000001</v>
      </c>
      <c r="F21" s="20" t="n">
        <v>2.05248829</v>
      </c>
      <c r="G21" s="18" t="n">
        <v>28.11215611</v>
      </c>
      <c r="H21" s="20" t="n">
        <v>1.77135152</v>
      </c>
      <c r="I21" s="18" t="s">
        <v>431</v>
      </c>
      <c r="J21" s="20" t="s">
        <v>431</v>
      </c>
      <c r="K21" s="18" t="n">
        <v>0</v>
      </c>
      <c r="L21" s="20" t="n">
        <v>0</v>
      </c>
      <c r="M21" s="18" t="n">
        <v>0</v>
      </c>
      <c r="N21" s="20" t="n">
        <v>0</v>
      </c>
      <c r="O21" s="18" t="n">
        <v>0</v>
      </c>
      <c r="P21" s="20" t="n">
        <v>0</v>
      </c>
      <c r="Q21" s="18" t="n">
        <v>7.73668489</v>
      </c>
      <c r="R21" s="20" t="n">
        <v>1.15457137</v>
      </c>
    </row>
    <row r="22" spans="1:18">
      <c r="A22" s="15" t="s">
        <v>446</v>
      </c>
      <c r="B22" s="17" t="n">
        <v>2931</v>
      </c>
      <c r="C22" s="18">
        <f>(2578.0/B22*100)</f>
        <v/>
      </c>
      <c r="D22" s="19" t="n">
        <v>353</v>
      </c>
      <c r="E22" s="18" t="n">
        <v>50.97005211</v>
      </c>
      <c r="F22" s="20" t="n">
        <v>2.7391643</v>
      </c>
      <c r="G22" s="18" t="n">
        <v>32.01285526</v>
      </c>
      <c r="H22" s="20" t="n">
        <v>2.50251198</v>
      </c>
      <c r="I22" s="18" t="s">
        <v>431</v>
      </c>
      <c r="J22" s="20" t="s">
        <v>431</v>
      </c>
      <c r="K22" s="18" t="n">
        <v>1.6199923</v>
      </c>
      <c r="L22" s="20" t="n">
        <v>0.7335926</v>
      </c>
      <c r="M22" s="18" t="n">
        <v>0</v>
      </c>
      <c r="N22" s="20" t="n">
        <v>0</v>
      </c>
      <c r="O22" s="18" t="n">
        <v>0</v>
      </c>
      <c r="P22" s="20" t="n">
        <v>0</v>
      </c>
      <c r="Q22" s="18" t="n">
        <v>15.39710032</v>
      </c>
      <c r="R22" s="20" t="n">
        <v>2.40421649</v>
      </c>
    </row>
    <row r="23" spans="1:18">
      <c r="A23" s="15" t="s">
        <v>447</v>
      </c>
      <c r="B23" s="17" t="n">
        <v>5791</v>
      </c>
      <c r="C23" s="18">
        <f>(5110.0/B23*100)</f>
        <v/>
      </c>
      <c r="D23" s="19" t="n">
        <v>681</v>
      </c>
      <c r="E23" s="18" t="n">
        <v>46.51341526</v>
      </c>
      <c r="F23" s="20" t="n">
        <v>2.48281872</v>
      </c>
      <c r="G23" s="18" t="n">
        <v>36.5656621</v>
      </c>
      <c r="H23" s="20" t="n">
        <v>2.36245371</v>
      </c>
      <c r="I23" s="18" t="s">
        <v>431</v>
      </c>
      <c r="J23" s="20" t="s">
        <v>431</v>
      </c>
      <c r="K23" s="18" t="n">
        <v>0.94805289</v>
      </c>
      <c r="L23" s="20" t="n">
        <v>0.48641111</v>
      </c>
      <c r="M23" s="18" t="n">
        <v>0.59921294</v>
      </c>
      <c r="N23" s="20" t="n">
        <v>0.45011833</v>
      </c>
      <c r="O23" s="18" t="n">
        <v>0</v>
      </c>
      <c r="P23" s="20" t="n">
        <v>0</v>
      </c>
      <c r="Q23" s="18" t="n">
        <v>15.37365681</v>
      </c>
      <c r="R23" s="20" t="n">
        <v>1.90768066</v>
      </c>
    </row>
    <row r="24" spans="1:18">
      <c r="A24" s="15" t="s">
        <v>448</v>
      </c>
      <c r="B24" s="17" t="n">
        <v>3338</v>
      </c>
      <c r="C24" s="18">
        <f>(2924.0/B24*100)</f>
        <v/>
      </c>
      <c r="D24" s="19" t="n">
        <v>414</v>
      </c>
      <c r="E24" s="18" t="n">
        <v>55.56065221</v>
      </c>
      <c r="F24" s="20" t="n">
        <v>2.3654646</v>
      </c>
      <c r="G24" s="18" t="n">
        <v>29.48436719</v>
      </c>
      <c r="H24" s="20" t="n">
        <v>2.40761141</v>
      </c>
      <c r="I24" s="18" t="s">
        <v>431</v>
      </c>
      <c r="J24" s="20" t="s">
        <v>431</v>
      </c>
      <c r="K24" s="18" t="n">
        <v>0.20105419</v>
      </c>
      <c r="L24" s="20" t="n">
        <v>0.20084157</v>
      </c>
      <c r="M24" s="18" t="n">
        <v>0</v>
      </c>
      <c r="N24" s="20" t="n">
        <v>0</v>
      </c>
      <c r="O24" s="18" t="n">
        <v>0</v>
      </c>
      <c r="P24" s="20" t="n">
        <v>0</v>
      </c>
      <c r="Q24" s="18" t="n">
        <v>14.75392642</v>
      </c>
      <c r="R24" s="20" t="n">
        <v>1.7380777</v>
      </c>
    </row>
    <row r="25" spans="1:18">
      <c r="A25" s="15" t="s">
        <v>449</v>
      </c>
      <c r="B25" s="17" t="n">
        <v>2912</v>
      </c>
      <c r="C25" s="18">
        <f>(2547.0/B25*100)</f>
        <v/>
      </c>
      <c r="D25" s="19" t="n">
        <v>365</v>
      </c>
      <c r="E25" s="18" t="n">
        <v>50.37663455</v>
      </c>
      <c r="F25" s="20" t="n">
        <v>2.37122137</v>
      </c>
      <c r="G25" s="18" t="n">
        <v>35.39478532</v>
      </c>
      <c r="H25" s="20" t="n">
        <v>2.57701475</v>
      </c>
      <c r="I25" s="18" t="s">
        <v>431</v>
      </c>
      <c r="J25" s="20" t="s">
        <v>431</v>
      </c>
      <c r="K25" s="18" t="n">
        <v>0</v>
      </c>
      <c r="L25" s="20" t="n">
        <v>0</v>
      </c>
      <c r="M25" s="18" t="n">
        <v>0.27869184</v>
      </c>
      <c r="N25" s="20" t="n">
        <v>0.27781633</v>
      </c>
      <c r="O25" s="18" t="n">
        <v>0</v>
      </c>
      <c r="P25" s="20" t="n">
        <v>0</v>
      </c>
      <c r="Q25" s="18" t="n">
        <v>13.94988829</v>
      </c>
      <c r="R25" s="20" t="n">
        <v>1.98480395</v>
      </c>
    </row>
    <row r="26" spans="1:18">
      <c r="A26" s="15" t="s">
        <v>450</v>
      </c>
      <c r="B26" s="17" t="n">
        <v>2450</v>
      </c>
      <c r="C26" s="18">
        <f>(2152.0/B26*100)</f>
        <v/>
      </c>
      <c r="D26" s="19" t="n">
        <v>298</v>
      </c>
      <c r="E26" s="18" t="n">
        <v>73.87664097</v>
      </c>
      <c r="F26" s="20" t="n">
        <v>2.43254696</v>
      </c>
      <c r="G26" s="18" t="n">
        <v>17.50723829</v>
      </c>
      <c r="H26" s="20" t="n">
        <v>2.08322839</v>
      </c>
      <c r="I26" s="18" t="s">
        <v>431</v>
      </c>
      <c r="J26" s="20" t="s">
        <v>431</v>
      </c>
      <c r="K26" s="18" t="n">
        <v>0</v>
      </c>
      <c r="L26" s="20" t="n">
        <v>0</v>
      </c>
      <c r="M26" s="18" t="n">
        <v>0.26720002</v>
      </c>
      <c r="N26" s="20" t="n">
        <v>0.26634204</v>
      </c>
      <c r="O26" s="18" t="n">
        <v>0</v>
      </c>
      <c r="P26" s="20" t="n">
        <v>0</v>
      </c>
      <c r="Q26" s="18" t="n">
        <v>8.348920720000001</v>
      </c>
      <c r="R26" s="20" t="n">
        <v>1.56801582</v>
      </c>
    </row>
    <row r="27" spans="1:18">
      <c r="A27" s="15" t="s">
        <v>451</v>
      </c>
      <c r="B27" s="17" t="n">
        <v>2616</v>
      </c>
      <c r="C27" s="18">
        <f>(2291.0/B27*100)</f>
        <v/>
      </c>
      <c r="D27" s="19" t="n">
        <v>325</v>
      </c>
      <c r="E27" s="18" t="n">
        <v>49.69657597</v>
      </c>
      <c r="F27" s="20" t="n">
        <v>2.89202519</v>
      </c>
      <c r="G27" s="18" t="n">
        <v>34.09434758</v>
      </c>
      <c r="H27" s="20" t="n">
        <v>3.03436875</v>
      </c>
      <c r="I27" s="18" t="s">
        <v>431</v>
      </c>
      <c r="J27" s="20" t="s">
        <v>431</v>
      </c>
      <c r="K27" s="18" t="n">
        <v>0.30657732</v>
      </c>
      <c r="L27" s="20" t="n">
        <v>0.3090466</v>
      </c>
      <c r="M27" s="18" t="n">
        <v>0</v>
      </c>
      <c r="N27" s="20" t="n">
        <v>0</v>
      </c>
      <c r="O27" s="18" t="n">
        <v>0</v>
      </c>
      <c r="P27" s="20" t="n">
        <v>0</v>
      </c>
      <c r="Q27" s="18" t="n">
        <v>15.90249912</v>
      </c>
      <c r="R27" s="20" t="n">
        <v>2.03114219</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57.88737135</v>
      </c>
      <c r="F29" s="20" t="n">
        <v>2.57895499</v>
      </c>
      <c r="G29" s="18" t="n">
        <v>36.69428985</v>
      </c>
      <c r="H29" s="20" t="n">
        <v>2.60578721</v>
      </c>
      <c r="I29" s="18" t="s">
        <v>431</v>
      </c>
      <c r="J29" s="20" t="s">
        <v>431</v>
      </c>
      <c r="K29" s="18" t="n">
        <v>0.70136714</v>
      </c>
      <c r="L29" s="20" t="n">
        <v>0.50028068</v>
      </c>
      <c r="M29" s="18" t="n">
        <v>0</v>
      </c>
      <c r="N29" s="20" t="n">
        <v>0</v>
      </c>
      <c r="O29" s="18" t="n">
        <v>0</v>
      </c>
      <c r="P29" s="20" t="n">
        <v>0</v>
      </c>
      <c r="Q29" s="18" t="n">
        <v>4.71697167</v>
      </c>
      <c r="R29" s="20" t="n">
        <v>1.26503924</v>
      </c>
    </row>
    <row r="30" spans="1:18">
      <c r="A30" s="15" t="s">
        <v>454</v>
      </c>
      <c r="B30" s="17" t="n">
        <v>2263</v>
      </c>
      <c r="C30" s="18">
        <f>(1993.0/B30*100)</f>
        <v/>
      </c>
      <c r="D30" s="19" t="n">
        <v>270</v>
      </c>
      <c r="E30" s="18" t="n">
        <v>55.63552083</v>
      </c>
      <c r="F30" s="20" t="n">
        <v>2.46415171</v>
      </c>
      <c r="G30" s="18" t="n">
        <v>28.1966307</v>
      </c>
      <c r="H30" s="20" t="n">
        <v>2.77644278</v>
      </c>
      <c r="I30" s="18" t="s">
        <v>431</v>
      </c>
      <c r="J30" s="20" t="s">
        <v>431</v>
      </c>
      <c r="K30" s="18" t="n">
        <v>0</v>
      </c>
      <c r="L30" s="20" t="n">
        <v>0</v>
      </c>
      <c r="M30" s="18" t="n">
        <v>0</v>
      </c>
      <c r="N30" s="20" t="n">
        <v>0</v>
      </c>
      <c r="O30" s="18" t="n">
        <v>0</v>
      </c>
      <c r="P30" s="20" t="n">
        <v>0</v>
      </c>
      <c r="Q30" s="18" t="n">
        <v>16.16784847</v>
      </c>
      <c r="R30" s="20" t="n">
        <v>2.3765422</v>
      </c>
    </row>
    <row r="31" spans="1:18">
      <c r="A31" s="15" t="s">
        <v>455</v>
      </c>
      <c r="B31" s="17" t="n">
        <v>2750</v>
      </c>
      <c r="C31" s="18">
        <f>(2408.0/B31*100)</f>
        <v/>
      </c>
      <c r="D31" s="19" t="n">
        <v>342</v>
      </c>
      <c r="E31" s="18" t="n">
        <v>50.64769145</v>
      </c>
      <c r="F31" s="20" t="n">
        <v>2.82764561</v>
      </c>
      <c r="G31" s="18" t="n">
        <v>35.54667905</v>
      </c>
      <c r="H31" s="20" t="n">
        <v>2.42707207</v>
      </c>
      <c r="I31" s="18" t="s">
        <v>431</v>
      </c>
      <c r="J31" s="20" t="s">
        <v>431</v>
      </c>
      <c r="K31" s="18" t="n">
        <v>0</v>
      </c>
      <c r="L31" s="20" t="n">
        <v>0</v>
      </c>
      <c r="M31" s="18" t="n">
        <v>0</v>
      </c>
      <c r="N31" s="20" t="n">
        <v>0</v>
      </c>
      <c r="O31" s="18" t="n">
        <v>0</v>
      </c>
      <c r="P31" s="20" t="n">
        <v>0</v>
      </c>
      <c r="Q31" s="18" t="n">
        <v>13.8056295</v>
      </c>
      <c r="R31" s="20" t="n">
        <v>1.84934736</v>
      </c>
    </row>
    <row r="32" spans="1:18">
      <c r="A32" s="15" t="s">
        <v>456</v>
      </c>
      <c r="B32" s="17" t="n">
        <v>2269</v>
      </c>
      <c r="C32" s="18">
        <f>(1891.0/B32*100)</f>
        <v/>
      </c>
      <c r="D32" s="19" t="n">
        <v>378</v>
      </c>
      <c r="E32" s="18" t="n">
        <v>54.75958445</v>
      </c>
      <c r="F32" s="20" t="n">
        <v>2.54280193</v>
      </c>
      <c r="G32" s="18" t="n">
        <v>33.43377332</v>
      </c>
      <c r="H32" s="20" t="n">
        <v>2.35725403</v>
      </c>
      <c r="I32" s="18" t="s">
        <v>431</v>
      </c>
      <c r="J32" s="20" t="s">
        <v>431</v>
      </c>
      <c r="K32" s="18" t="n">
        <v>0.27324371</v>
      </c>
      <c r="L32" s="20" t="n">
        <v>0.23809587</v>
      </c>
      <c r="M32" s="18" t="n">
        <v>0</v>
      </c>
      <c r="N32" s="20" t="n">
        <v>0</v>
      </c>
      <c r="O32" s="18" t="n">
        <v>0</v>
      </c>
      <c r="P32" s="20" t="n">
        <v>0</v>
      </c>
      <c r="Q32" s="18" t="n">
        <v>11.53339852</v>
      </c>
      <c r="R32" s="20" t="n">
        <v>1.64200054</v>
      </c>
    </row>
    <row r="33" spans="1:18">
      <c r="A33" s="15" t="s">
        <v>457</v>
      </c>
      <c r="B33" s="17" t="n">
        <v>3674</v>
      </c>
      <c r="C33" s="18">
        <f>(3231.0/B33*100)</f>
        <v/>
      </c>
      <c r="D33" s="19" t="n">
        <v>443</v>
      </c>
      <c r="E33" s="18" t="n">
        <v>53.65887388</v>
      </c>
      <c r="F33" s="20" t="n">
        <v>3.16594058</v>
      </c>
      <c r="G33" s="18" t="n">
        <v>30.71608808</v>
      </c>
      <c r="H33" s="20" t="n">
        <v>3.00593346</v>
      </c>
      <c r="I33" s="18" t="s">
        <v>431</v>
      </c>
      <c r="J33" s="20" t="s">
        <v>431</v>
      </c>
      <c r="K33" s="18" t="n">
        <v>0</v>
      </c>
      <c r="L33" s="20" t="n">
        <v>0</v>
      </c>
      <c r="M33" s="18" t="n">
        <v>0</v>
      </c>
      <c r="N33" s="20" t="n">
        <v>0</v>
      </c>
      <c r="O33" s="18" t="n">
        <v>0</v>
      </c>
      <c r="P33" s="20" t="n">
        <v>0</v>
      </c>
      <c r="Q33" s="18" t="n">
        <v>15.62503804</v>
      </c>
      <c r="R33" s="20" t="n">
        <v>2.27858956</v>
      </c>
    </row>
    <row r="34" spans="1:18">
      <c r="A34" s="15" t="s">
        <v>458</v>
      </c>
      <c r="B34" s="17" t="n">
        <v>3315</v>
      </c>
      <c r="C34" s="18">
        <f>(2913.0/B34*100)</f>
        <v/>
      </c>
      <c r="D34" s="19" t="n">
        <v>402</v>
      </c>
      <c r="E34" s="18" t="n">
        <v>47.7146688</v>
      </c>
      <c r="F34" s="20" t="n">
        <v>2.72849333</v>
      </c>
      <c r="G34" s="18" t="n">
        <v>28.06690836</v>
      </c>
      <c r="H34" s="20" t="n">
        <v>2.55925455</v>
      </c>
      <c r="I34" s="18" t="s">
        <v>431</v>
      </c>
      <c r="J34" s="20" t="s">
        <v>431</v>
      </c>
      <c r="K34" s="18" t="n">
        <v>0.19234024</v>
      </c>
      <c r="L34" s="20" t="n">
        <v>0.19146941</v>
      </c>
      <c r="M34" s="18" t="n">
        <v>0.2252234</v>
      </c>
      <c r="N34" s="20" t="n">
        <v>0.22487441</v>
      </c>
      <c r="O34" s="18" t="n">
        <v>0</v>
      </c>
      <c r="P34" s="20" t="n">
        <v>0</v>
      </c>
      <c r="Q34" s="18" t="n">
        <v>23.80085921</v>
      </c>
      <c r="R34" s="20" t="n">
        <v>2.25912102</v>
      </c>
    </row>
    <row r="35" spans="1:18">
      <c r="A35" s="15" t="s">
        <v>459</v>
      </c>
      <c r="B35" s="17" t="n">
        <v>3505</v>
      </c>
      <c r="C35" s="18">
        <f>(3084.0/B35*100)</f>
        <v/>
      </c>
      <c r="D35" s="19" t="n">
        <v>421</v>
      </c>
      <c r="E35" s="18" t="n">
        <v>58.88325926</v>
      </c>
      <c r="F35" s="20" t="n">
        <v>2.84667595</v>
      </c>
      <c r="G35" s="18" t="n">
        <v>29.55272332</v>
      </c>
      <c r="H35" s="20" t="n">
        <v>2.57505595</v>
      </c>
      <c r="I35" s="18" t="s">
        <v>431</v>
      </c>
      <c r="J35" s="20" t="s">
        <v>431</v>
      </c>
      <c r="K35" s="18" t="n">
        <v>0.13667915</v>
      </c>
      <c r="L35" s="20" t="n">
        <v>0.13515363</v>
      </c>
      <c r="M35" s="18" t="n">
        <v>0.84741075</v>
      </c>
      <c r="N35" s="20" t="n">
        <v>0.57952827</v>
      </c>
      <c r="O35" s="18" t="n">
        <v>0</v>
      </c>
      <c r="P35" s="20" t="n">
        <v>0</v>
      </c>
      <c r="Q35" s="18" t="n">
        <v>10.57992752</v>
      </c>
      <c r="R35" s="20" t="n">
        <v>1.64431613</v>
      </c>
    </row>
    <row r="36" spans="1:18">
      <c r="A36" s="15" t="s">
        <v>460</v>
      </c>
      <c r="B36" s="17" t="n">
        <v>3332</v>
      </c>
      <c r="C36" s="18">
        <f>(2919.0/B36*100)</f>
        <v/>
      </c>
      <c r="D36" s="19" t="n">
        <v>413</v>
      </c>
      <c r="E36" s="18" t="n">
        <v>45.97535001</v>
      </c>
      <c r="F36" s="20" t="n">
        <v>2.39446075</v>
      </c>
      <c r="G36" s="18" t="n">
        <v>42.10037259</v>
      </c>
      <c r="H36" s="20" t="n">
        <v>2.48735257</v>
      </c>
      <c r="I36" s="18" t="s">
        <v>431</v>
      </c>
      <c r="J36" s="20" t="s">
        <v>431</v>
      </c>
      <c r="K36" s="18" t="n">
        <v>0</v>
      </c>
      <c r="L36" s="20" t="n">
        <v>0</v>
      </c>
      <c r="M36" s="18" t="n">
        <v>0</v>
      </c>
      <c r="N36" s="20" t="n">
        <v>0</v>
      </c>
      <c r="O36" s="18" t="n">
        <v>0</v>
      </c>
      <c r="P36" s="20" t="n">
        <v>0</v>
      </c>
      <c r="Q36" s="18" t="n">
        <v>11.9242774</v>
      </c>
      <c r="R36" s="20" t="n">
        <v>1.60441108</v>
      </c>
    </row>
    <row r="37" spans="1:18">
      <c r="A37" s="15" t="s">
        <v>461</v>
      </c>
      <c r="B37" s="17" t="n">
        <v>2727</v>
      </c>
      <c r="C37" s="18">
        <f>(2386.0/B37*100)</f>
        <v/>
      </c>
      <c r="D37" s="19" t="n">
        <v>341</v>
      </c>
      <c r="E37" s="18" t="n">
        <v>52.78493139</v>
      </c>
      <c r="F37" s="20" t="n">
        <v>2.69172727</v>
      </c>
      <c r="G37" s="18" t="n">
        <v>27.74438943</v>
      </c>
      <c r="H37" s="20" t="n">
        <v>2.45962231</v>
      </c>
      <c r="I37" s="18" t="s">
        <v>431</v>
      </c>
      <c r="J37" s="20" t="s">
        <v>431</v>
      </c>
      <c r="K37" s="18" t="n">
        <v>1.12017849</v>
      </c>
      <c r="L37" s="20" t="n">
        <v>0.54263508</v>
      </c>
      <c r="M37" s="18" t="n">
        <v>0.23386812</v>
      </c>
      <c r="N37" s="20" t="n">
        <v>0.23368529</v>
      </c>
      <c r="O37" s="18" t="n">
        <v>0</v>
      </c>
      <c r="P37" s="20" t="n">
        <v>0</v>
      </c>
      <c r="Q37" s="18" t="n">
        <v>18.11663256</v>
      </c>
      <c r="R37" s="20" t="n">
        <v>2.40753585</v>
      </c>
    </row>
    <row r="38" spans="1:18">
      <c r="A38" s="15" t="s">
        <v>462</v>
      </c>
      <c r="B38" s="17" t="n">
        <v>3053</v>
      </c>
      <c r="C38" s="18">
        <f>(2511.0/B38*100)</f>
        <v/>
      </c>
      <c r="D38" s="19" t="n">
        <v>542</v>
      </c>
      <c r="E38" s="18" t="n">
        <v>50.35961127</v>
      </c>
      <c r="F38" s="20" t="n">
        <v>2.52120152</v>
      </c>
      <c r="G38" s="18" t="n">
        <v>32.67506988</v>
      </c>
      <c r="H38" s="20" t="n">
        <v>2.17787415</v>
      </c>
      <c r="I38" s="18" t="s">
        <v>431</v>
      </c>
      <c r="J38" s="20" t="s">
        <v>431</v>
      </c>
      <c r="K38" s="18" t="n">
        <v>0.36705889</v>
      </c>
      <c r="L38" s="20" t="n">
        <v>0.23667064</v>
      </c>
      <c r="M38" s="18" t="n">
        <v>0</v>
      </c>
      <c r="N38" s="20" t="n">
        <v>0</v>
      </c>
      <c r="O38" s="18" t="n">
        <v>0</v>
      </c>
      <c r="P38" s="20" t="n">
        <v>0</v>
      </c>
      <c r="Q38" s="18" t="n">
        <v>16.59825996</v>
      </c>
      <c r="R38" s="20" t="n">
        <v>2.02829228</v>
      </c>
    </row>
    <row r="39" spans="1:18">
      <c r="A39" s="15" t="s">
        <v>463</v>
      </c>
      <c r="B39" s="17" t="n">
        <v>2957</v>
      </c>
      <c r="C39" s="18">
        <f>(2586.0/B39*100)</f>
        <v/>
      </c>
      <c r="D39" s="19" t="n">
        <v>371</v>
      </c>
      <c r="E39" s="18" t="n">
        <v>72.85945124</v>
      </c>
      <c r="F39" s="20" t="n">
        <v>2.47130954</v>
      </c>
      <c r="G39" s="18" t="n">
        <v>15.04504165</v>
      </c>
      <c r="H39" s="20" t="n">
        <v>1.97652298</v>
      </c>
      <c r="I39" s="18" t="s">
        <v>431</v>
      </c>
      <c r="J39" s="20" t="s">
        <v>431</v>
      </c>
      <c r="K39" s="18" t="n">
        <v>0</v>
      </c>
      <c r="L39" s="20" t="n">
        <v>0</v>
      </c>
      <c r="M39" s="18" t="n">
        <v>0</v>
      </c>
      <c r="N39" s="20" t="n">
        <v>0</v>
      </c>
      <c r="O39" s="18" t="n">
        <v>0</v>
      </c>
      <c r="P39" s="20" t="n">
        <v>0</v>
      </c>
      <c r="Q39" s="18" t="n">
        <v>12.09550711</v>
      </c>
      <c r="R39" s="20" t="n">
        <v>1.59909197</v>
      </c>
    </row>
    <row r="40" spans="1:18">
      <c r="A40" s="15" t="s">
        <v>464</v>
      </c>
      <c r="B40" s="17" t="n">
        <v>7235</v>
      </c>
      <c r="C40" s="18">
        <f>(6333.0/B40*100)</f>
        <v/>
      </c>
      <c r="D40" s="19" t="n">
        <v>902</v>
      </c>
      <c r="E40" s="18" t="n">
        <v>64.34967752999999</v>
      </c>
      <c r="F40" s="20" t="n">
        <v>2.33649813</v>
      </c>
      <c r="G40" s="18" t="n">
        <v>23.12258226</v>
      </c>
      <c r="H40" s="20" t="n">
        <v>1.90244988</v>
      </c>
      <c r="I40" s="18" t="s">
        <v>431</v>
      </c>
      <c r="J40" s="20" t="s">
        <v>431</v>
      </c>
      <c r="K40" s="18" t="n">
        <v>0.1477744</v>
      </c>
      <c r="L40" s="20" t="n">
        <v>0.06412706</v>
      </c>
      <c r="M40" s="18" t="n">
        <v>0.54988286</v>
      </c>
      <c r="N40" s="20" t="n">
        <v>0.43114642</v>
      </c>
      <c r="O40" s="18" t="n">
        <v>0</v>
      </c>
      <c r="P40" s="20" t="n">
        <v>0</v>
      </c>
      <c r="Q40" s="18" t="n">
        <v>11.83008295</v>
      </c>
      <c r="R40" s="20" t="n">
        <v>1.7108215</v>
      </c>
    </row>
    <row r="41" spans="1:18">
      <c r="A41" s="15" t="s">
        <v>465</v>
      </c>
      <c r="B41" s="17" t="n">
        <v>2858</v>
      </c>
      <c r="C41" s="18">
        <f>(2502.0/B41*100)</f>
        <v/>
      </c>
      <c r="D41" s="19" t="n">
        <v>356</v>
      </c>
      <c r="E41" s="18" t="n">
        <v>71.02014015</v>
      </c>
      <c r="F41" s="20" t="n">
        <v>2.34707408</v>
      </c>
      <c r="G41" s="18" t="n">
        <v>25.52784546</v>
      </c>
      <c r="H41" s="20" t="n">
        <v>2.26383783</v>
      </c>
      <c r="I41" s="18" t="s">
        <v>431</v>
      </c>
      <c r="J41" s="20" t="s">
        <v>431</v>
      </c>
      <c r="K41" s="18" t="n">
        <v>0</v>
      </c>
      <c r="L41" s="20" t="n">
        <v>0</v>
      </c>
      <c r="M41" s="18" t="n">
        <v>0</v>
      </c>
      <c r="N41" s="20" t="n">
        <v>0</v>
      </c>
      <c r="O41" s="18" t="n">
        <v>0</v>
      </c>
      <c r="P41" s="20" t="n">
        <v>0</v>
      </c>
      <c r="Q41" s="18" t="n">
        <v>3.45201439</v>
      </c>
      <c r="R41" s="20" t="n">
        <v>0.80550592</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(4511.0/B48*100)</f>
        <v/>
      </c>
      <c r="D48" s="19" t="n">
        <v>648</v>
      </c>
      <c r="E48" s="18" t="n">
        <v>49.98399384</v>
      </c>
      <c r="F48" s="20" t="n">
        <v>2.94135854</v>
      </c>
      <c r="G48" s="18" t="n">
        <v>38.37549457</v>
      </c>
      <c r="H48" s="20" t="n">
        <v>2.81062057</v>
      </c>
      <c r="I48" s="18" t="s">
        <v>431</v>
      </c>
      <c r="J48" s="20" t="s">
        <v>431</v>
      </c>
      <c r="K48" s="18" t="n">
        <v>0.27416983</v>
      </c>
      <c r="L48" s="20" t="n">
        <v>0.28428573</v>
      </c>
      <c r="M48" s="18" t="n">
        <v>0.26653893</v>
      </c>
      <c r="N48" s="20" t="n">
        <v>0.2659019</v>
      </c>
      <c r="O48" s="18" t="n">
        <v>0</v>
      </c>
      <c r="P48" s="20" t="n">
        <v>0</v>
      </c>
      <c r="Q48" s="18" t="n">
        <v>11.09980282</v>
      </c>
      <c r="R48" s="20" t="n">
        <v>1.37187238</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(2453.0/B52*100)</f>
        <v/>
      </c>
      <c r="D52" s="19" t="n">
        <v>343</v>
      </c>
      <c r="E52" s="18" t="n">
        <v>60.46442353</v>
      </c>
      <c r="F52" s="20" t="n">
        <v>3.20695429</v>
      </c>
      <c r="G52" s="18" t="n">
        <v>22.61655279</v>
      </c>
      <c r="H52" s="20" t="n">
        <v>2.35741252</v>
      </c>
      <c r="I52" s="18" t="s">
        <v>431</v>
      </c>
      <c r="J52" s="20" t="s">
        <v>431</v>
      </c>
      <c r="K52" s="18" t="n">
        <v>0</v>
      </c>
      <c r="L52" s="20" t="n">
        <v>0</v>
      </c>
      <c r="M52" s="18" t="n">
        <v>0</v>
      </c>
      <c r="N52" s="20" t="n">
        <v>0</v>
      </c>
      <c r="O52" s="18" t="n">
        <v>0</v>
      </c>
      <c r="P52" s="20" t="n">
        <v>0</v>
      </c>
      <c r="Q52" s="18" t="n">
        <v>16.91902367</v>
      </c>
      <c r="R52" s="20" t="n">
        <v>2.13196596</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52.06303085</v>
      </c>
      <c r="F56" s="20" t="n">
        <v>3.35746817</v>
      </c>
      <c r="G56" s="18" t="n">
        <v>42.03941054</v>
      </c>
      <c r="H56" s="20" t="n">
        <v>3.49223525</v>
      </c>
      <c r="I56" s="18" t="s">
        <v>431</v>
      </c>
      <c r="J56" s="20" t="s">
        <v>431</v>
      </c>
      <c r="K56" s="18" t="n">
        <v>0</v>
      </c>
      <c r="L56" s="20" t="n">
        <v>0</v>
      </c>
      <c r="M56" s="18" t="n">
        <v>0</v>
      </c>
      <c r="N56" s="20" t="n">
        <v>0</v>
      </c>
      <c r="O56" s="18" t="n">
        <v>0</v>
      </c>
      <c r="P56" s="20" t="n">
        <v>0</v>
      </c>
      <c r="Q56" s="18" t="n">
        <v>5.8975586</v>
      </c>
      <c r="R56" s="20" t="n">
        <v>1.49093979</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(2892.0/B61*100)</f>
        <v/>
      </c>
      <c r="D61" s="19" t="n">
        <v>432</v>
      </c>
      <c r="E61" s="18" t="n">
        <v>60.71741601</v>
      </c>
      <c r="F61" s="20" t="n">
        <v>2.61449304</v>
      </c>
      <c r="G61" s="18" t="n">
        <v>24.78838416</v>
      </c>
      <c r="H61" s="20" t="n">
        <v>2.00752688</v>
      </c>
      <c r="I61" s="18" t="s">
        <v>431</v>
      </c>
      <c r="J61" s="20" t="s">
        <v>431</v>
      </c>
      <c r="K61" s="18" t="n">
        <v>0</v>
      </c>
      <c r="L61" s="20" t="n">
        <v>0</v>
      </c>
      <c r="M61" s="18" t="n">
        <v>0</v>
      </c>
      <c r="N61" s="20" t="n">
        <v>0</v>
      </c>
      <c r="O61" s="18" t="n">
        <v>0</v>
      </c>
      <c r="P61" s="20" t="n">
        <v>0</v>
      </c>
      <c r="Q61" s="18" t="n">
        <v>14.49419982</v>
      </c>
      <c r="R61" s="20" t="n">
        <v>1.75505597</v>
      </c>
    </row>
    <row r="62" spans="1:18">
      <c r="A62" s="15" t="s">
        <v>486</v>
      </c>
      <c r="B62" s="17" t="n">
        <v>2246</v>
      </c>
      <c r="C62" s="18">
        <f>(1966.0/B62*100)</f>
        <v/>
      </c>
      <c r="D62" s="19" t="n">
        <v>280</v>
      </c>
      <c r="E62" s="18" t="n">
        <v>65.35289247999999</v>
      </c>
      <c r="F62" s="20" t="n">
        <v>2.98112074</v>
      </c>
      <c r="G62" s="18" t="n">
        <v>28.21661784</v>
      </c>
      <c r="H62" s="20" t="n">
        <v>2.48722844</v>
      </c>
      <c r="I62" s="18" t="s">
        <v>431</v>
      </c>
      <c r="J62" s="20" t="s">
        <v>431</v>
      </c>
      <c r="K62" s="18" t="n">
        <v>0.36701419</v>
      </c>
      <c r="L62" s="20" t="n">
        <v>0.36550719</v>
      </c>
      <c r="M62" s="18" t="n">
        <v>0</v>
      </c>
      <c r="N62" s="20" t="n">
        <v>0</v>
      </c>
      <c r="O62" s="18" t="n">
        <v>0</v>
      </c>
      <c r="P62" s="20" t="n">
        <v>0</v>
      </c>
      <c r="Q62" s="18" t="n">
        <v>6.06347549</v>
      </c>
      <c r="R62" s="20" t="n">
        <v>1.52240569</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(2554.0/B66*100)</f>
        <v/>
      </c>
      <c r="D66" s="19" t="n">
        <v>340</v>
      </c>
      <c r="E66" s="18" t="n">
        <v>43.80584343</v>
      </c>
      <c r="F66" s="20" t="n">
        <v>2.72042648</v>
      </c>
      <c r="G66" s="18" t="n">
        <v>17.74719987</v>
      </c>
      <c r="H66" s="20" t="n">
        <v>2.31083002</v>
      </c>
      <c r="I66" s="18" t="s">
        <v>431</v>
      </c>
      <c r="J66" s="20" t="s">
        <v>431</v>
      </c>
      <c r="K66" s="18" t="n">
        <v>1.13510248</v>
      </c>
      <c r="L66" s="20" t="n">
        <v>0.57719357</v>
      </c>
      <c r="M66" s="18" t="n">
        <v>0.55949433</v>
      </c>
      <c r="N66" s="20" t="n">
        <v>0.39428482</v>
      </c>
      <c r="O66" s="18" t="n">
        <v>0</v>
      </c>
      <c r="P66" s="20" t="n">
        <v>0</v>
      </c>
      <c r="Q66" s="18" t="n">
        <v>36.75235989</v>
      </c>
      <c r="R66" s="20" t="n">
        <v>2.72279695</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(2581.0/B70*100)</f>
        <v/>
      </c>
      <c r="D70" s="19" t="n">
        <v>348</v>
      </c>
      <c r="E70" s="18" t="n">
        <v>66.98900709999999</v>
      </c>
      <c r="F70" s="20" t="n">
        <v>2.99759266</v>
      </c>
      <c r="G70" s="18" t="n">
        <v>20.67722295</v>
      </c>
      <c r="H70" s="20" t="n">
        <v>2.38131945</v>
      </c>
      <c r="I70" s="18" t="s">
        <v>431</v>
      </c>
      <c r="J70" s="20" t="s">
        <v>431</v>
      </c>
      <c r="K70" s="18" t="n">
        <v>0.23940884</v>
      </c>
      <c r="L70" s="20" t="n">
        <v>0.33966809</v>
      </c>
      <c r="M70" s="18" t="n">
        <v>0.18811051</v>
      </c>
      <c r="N70" s="20" t="n">
        <v>0.19059404</v>
      </c>
      <c r="O70" s="18" t="n">
        <v>0</v>
      </c>
      <c r="P70" s="20" t="n">
        <v>0</v>
      </c>
      <c r="Q70" s="18" t="n">
        <v>11.90625061</v>
      </c>
      <c r="R70" s="20" t="n">
        <v>1.7572917</v>
      </c>
    </row>
    <row r="71" spans="1:18">
      <c r="A71" s="15" t="s">
        <v>495</v>
      </c>
      <c r="B71" s="17" t="n">
        <v>3142</v>
      </c>
      <c r="C71" s="18">
        <f>(2763.0/B71*100)</f>
        <v/>
      </c>
      <c r="D71" s="19" t="n">
        <v>379</v>
      </c>
      <c r="E71" s="18" t="n">
        <v>63.56271447</v>
      </c>
      <c r="F71" s="20" t="n">
        <v>2.8792612</v>
      </c>
      <c r="G71" s="18" t="n">
        <v>32.65415146</v>
      </c>
      <c r="H71" s="20" t="n">
        <v>2.88283612</v>
      </c>
      <c r="I71" s="18" t="s">
        <v>431</v>
      </c>
      <c r="J71" s="20" t="s">
        <v>431</v>
      </c>
      <c r="K71" s="18" t="n">
        <v>0.75798963</v>
      </c>
      <c r="L71" s="20" t="n">
        <v>0.4362667</v>
      </c>
      <c r="M71" s="18" t="n">
        <v>0</v>
      </c>
      <c r="N71" s="20" t="n">
        <v>0</v>
      </c>
      <c r="O71" s="18" t="n">
        <v>0</v>
      </c>
      <c r="P71" s="20" t="n">
        <v>0</v>
      </c>
      <c r="Q71" s="18" t="n">
        <v>3.02514444</v>
      </c>
      <c r="R71" s="20" t="n">
        <v>0.84728412</v>
      </c>
    </row>
    <row r="72" spans="1:18">
      <c r="A72" s="15" t="s">
        <v>496</v>
      </c>
      <c r="B72" s="17" t="n">
        <v>3889</v>
      </c>
      <c r="C72" s="18">
        <f>(3415.0/B72*100)</f>
        <v/>
      </c>
      <c r="D72" s="19" t="n">
        <v>474</v>
      </c>
      <c r="E72" s="18" t="n">
        <v>59.70262587</v>
      </c>
      <c r="F72" s="20" t="n">
        <v>2.49423701</v>
      </c>
      <c r="G72" s="18" t="n">
        <v>33.31470586</v>
      </c>
      <c r="H72" s="20" t="n">
        <v>2.35171778</v>
      </c>
      <c r="I72" s="18" t="s">
        <v>431</v>
      </c>
      <c r="J72" s="20" t="s">
        <v>431</v>
      </c>
      <c r="K72" s="18" t="n">
        <v>0.165327</v>
      </c>
      <c r="L72" s="20" t="n">
        <v>0.16586649</v>
      </c>
      <c r="M72" s="18" t="n">
        <v>0</v>
      </c>
      <c r="N72" s="20" t="n">
        <v>0</v>
      </c>
      <c r="O72" s="18" t="n">
        <v>0</v>
      </c>
      <c r="P72" s="20" t="n">
        <v>0</v>
      </c>
      <c r="Q72" s="18" t="n">
        <v>6.81734128</v>
      </c>
      <c r="R72" s="20" t="n">
        <v>1.15033812</v>
      </c>
    </row>
    <row r="73" spans="1:18">
      <c r="A73" s="15" t="s">
        <v>497</v>
      </c>
      <c r="B73" s="17" t="n">
        <v>3597</v>
      </c>
      <c r="C73" s="18">
        <f>(3150.0/B73*100)</f>
        <v/>
      </c>
      <c r="D73" s="19" t="n">
        <v>447</v>
      </c>
      <c r="E73" s="18" t="n">
        <v>87.06848721</v>
      </c>
      <c r="F73" s="20" t="n">
        <v>2.05301252</v>
      </c>
      <c r="G73" s="18" t="n">
        <v>9.304669130000001</v>
      </c>
      <c r="H73" s="20" t="n">
        <v>1.77358386</v>
      </c>
      <c r="I73" s="18" t="s">
        <v>431</v>
      </c>
      <c r="J73" s="20" t="s">
        <v>431</v>
      </c>
      <c r="K73" s="18" t="n">
        <v>0</v>
      </c>
      <c r="L73" s="20" t="n">
        <v>0</v>
      </c>
      <c r="M73" s="18" t="n">
        <v>0.38607218</v>
      </c>
      <c r="N73" s="20" t="n">
        <v>0.38978323</v>
      </c>
      <c r="O73" s="18" t="n">
        <v>0</v>
      </c>
      <c r="P73" s="20" t="n">
        <v>0</v>
      </c>
      <c r="Q73" s="18" t="n">
        <v>3.24077149</v>
      </c>
      <c r="R73" s="20" t="n">
        <v>1.2343108</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(6439.0/B7*100)</f>
        <v/>
      </c>
      <c r="D7" s="19" t="n">
        <v>928</v>
      </c>
      <c r="E7" s="18" t="n">
        <v>57.70288377</v>
      </c>
      <c r="F7" s="20" t="n">
        <v>1.9484863</v>
      </c>
      <c r="G7" s="18" t="n">
        <v>18.0373065</v>
      </c>
      <c r="H7" s="20" t="n">
        <v>1.44073455</v>
      </c>
      <c r="I7" s="18" t="s">
        <v>431</v>
      </c>
      <c r="J7" s="20" t="s">
        <v>431</v>
      </c>
      <c r="K7" s="18" t="n">
        <v>0.29425401</v>
      </c>
      <c r="L7" s="20" t="n">
        <v>0.16928085</v>
      </c>
      <c r="M7" s="18" t="n">
        <v>0.0287603</v>
      </c>
      <c r="N7" s="20" t="n">
        <v>0.0200857</v>
      </c>
      <c r="O7" s="18" t="n">
        <v>0</v>
      </c>
      <c r="P7" s="20" t="n">
        <v>0</v>
      </c>
      <c r="Q7" s="18" t="n">
        <v>23.93679541</v>
      </c>
      <c r="R7" s="20" t="n">
        <v>1.42458461</v>
      </c>
    </row>
    <row r="8" spans="1:18">
      <c r="A8" s="15" t="s">
        <v>432</v>
      </c>
      <c r="B8" s="17" t="n">
        <v>3564</v>
      </c>
      <c r="C8" s="18">
        <f>(3144.0/B8*100)</f>
        <v/>
      </c>
      <c r="D8" s="19" t="n">
        <v>420</v>
      </c>
      <c r="E8" s="18" t="n">
        <v>43.61613134</v>
      </c>
      <c r="F8" s="20" t="n">
        <v>3.04395414</v>
      </c>
      <c r="G8" s="18" t="n">
        <v>15.66712335</v>
      </c>
      <c r="H8" s="20" t="n">
        <v>1.90922445</v>
      </c>
      <c r="I8" s="18" t="s">
        <v>431</v>
      </c>
      <c r="J8" s="20" t="s">
        <v>431</v>
      </c>
      <c r="K8" s="18" t="n">
        <v>0</v>
      </c>
      <c r="L8" s="20" t="n">
        <v>0</v>
      </c>
      <c r="M8" s="18" t="n">
        <v>0</v>
      </c>
      <c r="N8" s="20" t="n">
        <v>0</v>
      </c>
      <c r="O8" s="18" t="n">
        <v>0</v>
      </c>
      <c r="P8" s="20" t="n">
        <v>0</v>
      </c>
      <c r="Q8" s="18" t="n">
        <v>40.71674531</v>
      </c>
      <c r="R8" s="20" t="n">
        <v>2.8795493</v>
      </c>
    </row>
    <row r="9" spans="1:18">
      <c r="A9" s="15" t="s">
        <v>433</v>
      </c>
      <c r="B9" s="17" t="n">
        <v>4899</v>
      </c>
      <c r="C9" s="18">
        <f>(4298.0/B9*100)</f>
        <v/>
      </c>
      <c r="D9" s="19" t="n">
        <v>601</v>
      </c>
      <c r="E9" s="18" t="n">
        <v>48.00253497</v>
      </c>
      <c r="F9" s="20" t="n">
        <v>2.43219876</v>
      </c>
      <c r="G9" s="18" t="n">
        <v>21.79124697</v>
      </c>
      <c r="H9" s="20" t="n">
        <v>1.73300527</v>
      </c>
      <c r="I9" s="18" t="s">
        <v>431</v>
      </c>
      <c r="J9" s="20" t="s">
        <v>431</v>
      </c>
      <c r="K9" s="18" t="n">
        <v>0</v>
      </c>
      <c r="L9" s="20" t="n">
        <v>0</v>
      </c>
      <c r="M9" s="18" t="n">
        <v>0.13992209</v>
      </c>
      <c r="N9" s="20" t="n">
        <v>0.1251721</v>
      </c>
      <c r="O9" s="18" t="n">
        <v>0</v>
      </c>
      <c r="P9" s="20" t="n">
        <v>0</v>
      </c>
      <c r="Q9" s="18" t="n">
        <v>30.06629597</v>
      </c>
      <c r="R9" s="20" t="n">
        <v>2.03707959</v>
      </c>
    </row>
    <row r="10" spans="1:18">
      <c r="A10" s="15" t="s">
        <v>434</v>
      </c>
      <c r="B10" s="17" t="n">
        <v>10036</v>
      </c>
      <c r="C10" s="18">
        <f>(8830.0/B10*100)</f>
        <v/>
      </c>
      <c r="D10" s="19" t="n">
        <v>1206</v>
      </c>
      <c r="E10" s="18" t="n">
        <v>57.10722979</v>
      </c>
      <c r="F10" s="20" t="n">
        <v>1.98833107</v>
      </c>
      <c r="G10" s="18" t="n">
        <v>24.73292988</v>
      </c>
      <c r="H10" s="20" t="n">
        <v>1.77406329</v>
      </c>
      <c r="I10" s="18" t="s">
        <v>431</v>
      </c>
      <c r="J10" s="20" t="s">
        <v>431</v>
      </c>
      <c r="K10" s="18" t="n">
        <v>0.62359376</v>
      </c>
      <c r="L10" s="20" t="n">
        <v>0.33874714</v>
      </c>
      <c r="M10" s="18" t="n">
        <v>0.08932189</v>
      </c>
      <c r="N10" s="20" t="n">
        <v>0.0892091</v>
      </c>
      <c r="O10" s="18" t="n">
        <v>0</v>
      </c>
      <c r="P10" s="20" t="n">
        <v>0</v>
      </c>
      <c r="Q10" s="18" t="n">
        <v>17.44692468</v>
      </c>
      <c r="R10" s="20" t="n">
        <v>1.71511891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(3040.0/B12*100)</f>
        <v/>
      </c>
      <c r="D12" s="19" t="n">
        <v>432</v>
      </c>
      <c r="E12" s="18" t="n">
        <v>40.20657549</v>
      </c>
      <c r="F12" s="20" t="n">
        <v>2.5759884</v>
      </c>
      <c r="G12" s="18" t="n">
        <v>19.06043548</v>
      </c>
      <c r="H12" s="20" t="n">
        <v>2.08395211</v>
      </c>
      <c r="I12" s="18" t="s">
        <v>431</v>
      </c>
      <c r="J12" s="20" t="s">
        <v>431</v>
      </c>
      <c r="K12" s="18" t="n">
        <v>0</v>
      </c>
      <c r="L12" s="20" t="n">
        <v>0</v>
      </c>
      <c r="M12" s="18" t="n">
        <v>0</v>
      </c>
      <c r="N12" s="20" t="n">
        <v>0</v>
      </c>
      <c r="O12" s="18" t="n">
        <v>0</v>
      </c>
      <c r="P12" s="20" t="n">
        <v>0</v>
      </c>
      <c r="Q12" s="18" t="n">
        <v>40.73298903</v>
      </c>
      <c r="R12" s="20" t="n">
        <v>2.66218233</v>
      </c>
    </row>
    <row r="13" spans="1:18">
      <c r="A13" s="15" t="s">
        <v>437</v>
      </c>
      <c r="B13" s="17" t="n">
        <v>3559</v>
      </c>
      <c r="C13" s="18">
        <f>(3144.0/B13*100)</f>
        <v/>
      </c>
      <c r="D13" s="19" t="n">
        <v>415</v>
      </c>
      <c r="E13" s="18" t="n">
        <v>58.39987485</v>
      </c>
      <c r="F13" s="20" t="n">
        <v>3.1359105</v>
      </c>
      <c r="G13" s="18" t="n">
        <v>19.88377509</v>
      </c>
      <c r="H13" s="20" t="n">
        <v>2.41214177</v>
      </c>
      <c r="I13" s="18" t="s">
        <v>431</v>
      </c>
      <c r="J13" s="20" t="s">
        <v>431</v>
      </c>
      <c r="K13" s="18" t="n">
        <v>0.14493429</v>
      </c>
      <c r="L13" s="20" t="n">
        <v>0.14877659</v>
      </c>
      <c r="M13" s="18" t="n">
        <v>0</v>
      </c>
      <c r="N13" s="20" t="n">
        <v>0</v>
      </c>
      <c r="O13" s="18" t="n">
        <v>0</v>
      </c>
      <c r="P13" s="20" t="n">
        <v>0</v>
      </c>
      <c r="Q13" s="18" t="n">
        <v>21.57141577</v>
      </c>
      <c r="R13" s="20" t="n">
        <v>2.3899616</v>
      </c>
    </row>
    <row r="14" spans="1:18">
      <c r="A14" s="15" t="s">
        <v>438</v>
      </c>
      <c r="B14" s="17" t="n">
        <v>2799</v>
      </c>
      <c r="C14" s="18">
        <f>(2454.0/B14*100)</f>
        <v/>
      </c>
      <c r="D14" s="19" t="n">
        <v>345</v>
      </c>
      <c r="E14" s="18" t="n">
        <v>57.81449881</v>
      </c>
      <c r="F14" s="20" t="n">
        <v>2.97862356</v>
      </c>
      <c r="G14" s="18" t="n">
        <v>18.90484771</v>
      </c>
      <c r="H14" s="20" t="n">
        <v>2.24942917</v>
      </c>
      <c r="I14" s="18" t="s">
        <v>431</v>
      </c>
      <c r="J14" s="20" t="s">
        <v>431</v>
      </c>
      <c r="K14" s="18" t="n">
        <v>0</v>
      </c>
      <c r="L14" s="20" t="n">
        <v>0</v>
      </c>
      <c r="M14" s="18" t="n">
        <v>0</v>
      </c>
      <c r="N14" s="20" t="n">
        <v>0</v>
      </c>
      <c r="O14" s="18" t="n">
        <v>0</v>
      </c>
      <c r="P14" s="20" t="n">
        <v>0</v>
      </c>
      <c r="Q14" s="18" t="n">
        <v>23.28065348</v>
      </c>
      <c r="R14" s="20" t="n">
        <v>2.39515681</v>
      </c>
    </row>
    <row r="15" spans="1:18">
      <c r="A15" s="15" t="s">
        <v>439</v>
      </c>
      <c r="B15" s="17" t="n">
        <v>3019</v>
      </c>
      <c r="C15" s="18">
        <f>(2644.0/B15*100)</f>
        <v/>
      </c>
      <c r="D15" s="19" t="n">
        <v>375</v>
      </c>
      <c r="E15" s="18" t="n">
        <v>53.11280308</v>
      </c>
      <c r="F15" s="20" t="n">
        <v>2.58055304</v>
      </c>
      <c r="G15" s="18" t="n">
        <v>13.72312741</v>
      </c>
      <c r="H15" s="20" t="n">
        <v>2.1811223</v>
      </c>
      <c r="I15" s="18" t="s">
        <v>431</v>
      </c>
      <c r="J15" s="20" t="s">
        <v>431</v>
      </c>
      <c r="K15" s="18" t="n">
        <v>0.76295117</v>
      </c>
      <c r="L15" s="20" t="n">
        <v>0.44546663</v>
      </c>
      <c r="M15" s="18" t="n">
        <v>0</v>
      </c>
      <c r="N15" s="20" t="n">
        <v>0</v>
      </c>
      <c r="O15" s="18" t="n">
        <v>0</v>
      </c>
      <c r="P15" s="20" t="n">
        <v>0</v>
      </c>
      <c r="Q15" s="18" t="n">
        <v>32.40111833</v>
      </c>
      <c r="R15" s="20" t="n">
        <v>2.43152078</v>
      </c>
    </row>
    <row r="16" spans="1:18">
      <c r="A16" s="15" t="s">
        <v>440</v>
      </c>
      <c r="B16" s="17" t="n">
        <v>2997</v>
      </c>
      <c r="C16" s="18">
        <f>(2617.0/B16*100)</f>
        <v/>
      </c>
      <c r="D16" s="19" t="n">
        <v>380</v>
      </c>
      <c r="E16" s="18" t="n">
        <v>31.92520644</v>
      </c>
      <c r="F16" s="20" t="n">
        <v>2.73338841</v>
      </c>
      <c r="G16" s="18" t="n">
        <v>23.66396078</v>
      </c>
      <c r="H16" s="20" t="n">
        <v>2.21364032</v>
      </c>
      <c r="I16" s="18" t="s">
        <v>431</v>
      </c>
      <c r="J16" s="20" t="s">
        <v>431</v>
      </c>
      <c r="K16" s="18" t="n">
        <v>0.90918484</v>
      </c>
      <c r="L16" s="20" t="n">
        <v>0.52468302</v>
      </c>
      <c r="M16" s="18" t="n">
        <v>0</v>
      </c>
      <c r="N16" s="20" t="n">
        <v>0</v>
      </c>
      <c r="O16" s="18" t="n">
        <v>0</v>
      </c>
      <c r="P16" s="20" t="n">
        <v>0</v>
      </c>
      <c r="Q16" s="18" t="n">
        <v>43.50164793</v>
      </c>
      <c r="R16" s="20" t="n">
        <v>2.53942057</v>
      </c>
    </row>
    <row r="17" spans="1:18">
      <c r="A17" s="15" t="s">
        <v>441</v>
      </c>
      <c r="B17" s="17" t="n">
        <v>3307</v>
      </c>
      <c r="C17" s="18">
        <f>(2910.0/B17*100)</f>
        <v/>
      </c>
      <c r="D17" s="19" t="n">
        <v>397</v>
      </c>
      <c r="E17" s="18" t="n">
        <v>43.57824875</v>
      </c>
      <c r="F17" s="20" t="n">
        <v>2.87326764</v>
      </c>
      <c r="G17" s="18" t="n">
        <v>17.47196258</v>
      </c>
      <c r="H17" s="20" t="n">
        <v>1.76237435</v>
      </c>
      <c r="I17" s="18" t="s">
        <v>431</v>
      </c>
      <c r="J17" s="20" t="s">
        <v>431</v>
      </c>
      <c r="K17" s="18" t="n">
        <v>0.31964448</v>
      </c>
      <c r="L17" s="20" t="n">
        <v>0.30949189</v>
      </c>
      <c r="M17" s="18" t="n">
        <v>0</v>
      </c>
      <c r="N17" s="20" t="n">
        <v>0</v>
      </c>
      <c r="O17" s="18" t="n">
        <v>0</v>
      </c>
      <c r="P17" s="20" t="n">
        <v>0</v>
      </c>
      <c r="Q17" s="18" t="n">
        <v>38.6301442</v>
      </c>
      <c r="R17" s="20" t="n">
        <v>3.00508367</v>
      </c>
    </row>
    <row r="18" spans="1:18">
      <c r="A18" s="15" t="s">
        <v>442</v>
      </c>
      <c r="B18" s="17" t="n">
        <v>2826</v>
      </c>
      <c r="C18" s="18">
        <f>(2474.0/B18*100)</f>
        <v/>
      </c>
      <c r="D18" s="19" t="n">
        <v>352</v>
      </c>
      <c r="E18" s="18" t="n">
        <v>38.49813731</v>
      </c>
      <c r="F18" s="20" t="n">
        <v>2.51004099</v>
      </c>
      <c r="G18" s="18" t="n">
        <v>26.46765577</v>
      </c>
      <c r="H18" s="20" t="n">
        <v>2.05570133</v>
      </c>
      <c r="I18" s="18" t="s">
        <v>431</v>
      </c>
      <c r="J18" s="20" t="s">
        <v>431</v>
      </c>
      <c r="K18" s="18" t="n">
        <v>0</v>
      </c>
      <c r="L18" s="20" t="n">
        <v>0</v>
      </c>
      <c r="M18" s="18" t="n">
        <v>0</v>
      </c>
      <c r="N18" s="20" t="n">
        <v>0</v>
      </c>
      <c r="O18" s="18" t="n">
        <v>0</v>
      </c>
      <c r="P18" s="20" t="n">
        <v>0</v>
      </c>
      <c r="Q18" s="18" t="n">
        <v>35.03420692</v>
      </c>
      <c r="R18" s="20" t="n">
        <v>2.8638018</v>
      </c>
    </row>
    <row r="19" spans="1:18">
      <c r="A19" s="15" t="s">
        <v>443</v>
      </c>
      <c r="B19" s="17" t="n">
        <v>2808</v>
      </c>
      <c r="C19" s="18">
        <f>(2464.0/B19*100)</f>
        <v/>
      </c>
      <c r="D19" s="19" t="n">
        <v>344</v>
      </c>
      <c r="E19" s="18" t="n">
        <v>44.43164018</v>
      </c>
      <c r="F19" s="20" t="n">
        <v>3.13432689</v>
      </c>
      <c r="G19" s="18" t="n">
        <v>9.761169779999999</v>
      </c>
      <c r="H19" s="20" t="n">
        <v>1.55211121</v>
      </c>
      <c r="I19" s="18" t="s">
        <v>431</v>
      </c>
      <c r="J19" s="20" t="s">
        <v>431</v>
      </c>
      <c r="K19" s="18" t="n">
        <v>0</v>
      </c>
      <c r="L19" s="20" t="n">
        <v>0</v>
      </c>
      <c r="M19" s="18" t="n">
        <v>0</v>
      </c>
      <c r="N19" s="20" t="n">
        <v>0</v>
      </c>
      <c r="O19" s="18" t="n">
        <v>0</v>
      </c>
      <c r="P19" s="20" t="n">
        <v>0</v>
      </c>
      <c r="Q19" s="18" t="n">
        <v>45.80719004</v>
      </c>
      <c r="R19" s="20" t="n">
        <v>3.09523736</v>
      </c>
    </row>
    <row r="20" spans="1:18">
      <c r="A20" s="15" t="s">
        <v>444</v>
      </c>
      <c r="B20" s="17" t="n">
        <v>1630</v>
      </c>
      <c r="C20" s="18">
        <f>(1442.0/B20*100)</f>
        <v/>
      </c>
      <c r="D20" s="19" t="n">
        <v>188</v>
      </c>
      <c r="E20" s="18" t="n">
        <v>60.7674288</v>
      </c>
      <c r="F20" s="20" t="n">
        <v>3.42484241</v>
      </c>
      <c r="G20" s="18" t="n">
        <v>10.56616843</v>
      </c>
      <c r="H20" s="20" t="n">
        <v>2.16800059</v>
      </c>
      <c r="I20" s="18" t="s">
        <v>431</v>
      </c>
      <c r="J20" s="20" t="s">
        <v>431</v>
      </c>
      <c r="K20" s="18" t="n">
        <v>0</v>
      </c>
      <c r="L20" s="20" t="n">
        <v>0</v>
      </c>
      <c r="M20" s="18" t="n">
        <v>0</v>
      </c>
      <c r="N20" s="20" t="n">
        <v>0</v>
      </c>
      <c r="O20" s="18" t="n">
        <v>0</v>
      </c>
      <c r="P20" s="20" t="n">
        <v>0</v>
      </c>
      <c r="Q20" s="18" t="n">
        <v>28.66640277</v>
      </c>
      <c r="R20" s="20" t="n">
        <v>3.35000355</v>
      </c>
    </row>
    <row r="21" spans="1:18">
      <c r="A21" s="15" t="s">
        <v>445</v>
      </c>
      <c r="B21" s="17" t="n">
        <v>2908</v>
      </c>
      <c r="C21" s="18">
        <f>(2420.0/B21*100)</f>
        <v/>
      </c>
      <c r="D21" s="19" t="n">
        <v>488</v>
      </c>
      <c r="E21" s="18" t="n">
        <v>47.76297671</v>
      </c>
      <c r="F21" s="20" t="n">
        <v>2.24670457</v>
      </c>
      <c r="G21" s="18" t="n">
        <v>23.73057295</v>
      </c>
      <c r="H21" s="20" t="n">
        <v>2.0914606</v>
      </c>
      <c r="I21" s="18" t="s">
        <v>431</v>
      </c>
      <c r="J21" s="20" t="s">
        <v>431</v>
      </c>
      <c r="K21" s="18" t="n">
        <v>0</v>
      </c>
      <c r="L21" s="20" t="n">
        <v>0</v>
      </c>
      <c r="M21" s="18" t="n">
        <v>0</v>
      </c>
      <c r="N21" s="20" t="n">
        <v>0</v>
      </c>
      <c r="O21" s="18" t="n">
        <v>0</v>
      </c>
      <c r="P21" s="20" t="n">
        <v>0</v>
      </c>
      <c r="Q21" s="18" t="n">
        <v>28.50645034</v>
      </c>
      <c r="R21" s="20" t="n">
        <v>1.90974878</v>
      </c>
    </row>
    <row r="22" spans="1:18">
      <c r="A22" s="15" t="s">
        <v>446</v>
      </c>
      <c r="B22" s="17" t="n">
        <v>2931</v>
      </c>
      <c r="C22" s="18">
        <f>(2577.0/B22*100)</f>
        <v/>
      </c>
      <c r="D22" s="19" t="n">
        <v>354</v>
      </c>
      <c r="E22" s="18" t="n">
        <v>47.16800544</v>
      </c>
      <c r="F22" s="20" t="n">
        <v>3.51245067</v>
      </c>
      <c r="G22" s="18" t="n">
        <v>19.17383802</v>
      </c>
      <c r="H22" s="20" t="n">
        <v>2.67248512</v>
      </c>
      <c r="I22" s="18" t="s">
        <v>431</v>
      </c>
      <c r="J22" s="20" t="s">
        <v>431</v>
      </c>
      <c r="K22" s="18" t="n">
        <v>1.84879167</v>
      </c>
      <c r="L22" s="20" t="n">
        <v>0.76708223</v>
      </c>
      <c r="M22" s="18" t="n">
        <v>0</v>
      </c>
      <c r="N22" s="20" t="n">
        <v>0</v>
      </c>
      <c r="O22" s="18" t="n">
        <v>0</v>
      </c>
      <c r="P22" s="20" t="n">
        <v>0</v>
      </c>
      <c r="Q22" s="18" t="n">
        <v>31.80936487</v>
      </c>
      <c r="R22" s="20" t="n">
        <v>2.78862372</v>
      </c>
    </row>
    <row r="23" spans="1:18">
      <c r="A23" s="15" t="s">
        <v>447</v>
      </c>
      <c r="B23" s="17" t="n">
        <v>5791</v>
      </c>
      <c r="C23" s="18">
        <f>(5110.0/B23*100)</f>
        <v/>
      </c>
      <c r="D23" s="19" t="n">
        <v>681</v>
      </c>
      <c r="E23" s="18" t="n">
        <v>39.42698884</v>
      </c>
      <c r="F23" s="20" t="n">
        <v>2.64145234</v>
      </c>
      <c r="G23" s="18" t="n">
        <v>19.10249916</v>
      </c>
      <c r="H23" s="20" t="n">
        <v>2.20372886</v>
      </c>
      <c r="I23" s="18" t="s">
        <v>431</v>
      </c>
      <c r="J23" s="20" t="s">
        <v>431</v>
      </c>
      <c r="K23" s="18" t="n">
        <v>0.94805289</v>
      </c>
      <c r="L23" s="20" t="n">
        <v>0.48641111</v>
      </c>
      <c r="M23" s="18" t="n">
        <v>0.59921294</v>
      </c>
      <c r="N23" s="20" t="n">
        <v>0.45011833</v>
      </c>
      <c r="O23" s="18" t="n">
        <v>0</v>
      </c>
      <c r="P23" s="20" t="n">
        <v>0</v>
      </c>
      <c r="Q23" s="18" t="n">
        <v>39.92324616</v>
      </c>
      <c r="R23" s="20" t="n">
        <v>2.6809895</v>
      </c>
    </row>
    <row r="24" spans="1:18">
      <c r="A24" s="15" t="s">
        <v>448</v>
      </c>
      <c r="B24" s="17" t="n">
        <v>3338</v>
      </c>
      <c r="C24" s="18">
        <f>(2924.0/B24*100)</f>
        <v/>
      </c>
      <c r="D24" s="19" t="n">
        <v>414</v>
      </c>
      <c r="E24" s="18" t="n">
        <v>34.91287294</v>
      </c>
      <c r="F24" s="20" t="n">
        <v>2.4661691</v>
      </c>
      <c r="G24" s="18" t="n">
        <v>27.18901104</v>
      </c>
      <c r="H24" s="20" t="n">
        <v>3.04304409</v>
      </c>
      <c r="I24" s="18" t="s">
        <v>431</v>
      </c>
      <c r="J24" s="20" t="s">
        <v>431</v>
      </c>
      <c r="K24" s="18" t="n">
        <v>0.20105419</v>
      </c>
      <c r="L24" s="20" t="n">
        <v>0.20084157</v>
      </c>
      <c r="M24" s="18" t="n">
        <v>0</v>
      </c>
      <c r="N24" s="20" t="n">
        <v>0</v>
      </c>
      <c r="O24" s="18" t="n">
        <v>0</v>
      </c>
      <c r="P24" s="20" t="n">
        <v>0</v>
      </c>
      <c r="Q24" s="18" t="n">
        <v>37.69706183</v>
      </c>
      <c r="R24" s="20" t="n">
        <v>2.5799204</v>
      </c>
    </row>
    <row r="25" spans="1:18">
      <c r="A25" s="15" t="s">
        <v>449</v>
      </c>
      <c r="B25" s="17" t="n">
        <v>2912</v>
      </c>
      <c r="C25" s="18">
        <f>(2547.0/B25*100)</f>
        <v/>
      </c>
      <c r="D25" s="19" t="n">
        <v>365</v>
      </c>
      <c r="E25" s="18" t="n">
        <v>54.3106583</v>
      </c>
      <c r="F25" s="20" t="n">
        <v>2.89428835</v>
      </c>
      <c r="G25" s="18" t="n">
        <v>17.41404452</v>
      </c>
      <c r="H25" s="20" t="n">
        <v>2.04956523</v>
      </c>
      <c r="I25" s="18" t="s">
        <v>431</v>
      </c>
      <c r="J25" s="20" t="s">
        <v>431</v>
      </c>
      <c r="K25" s="18" t="n">
        <v>0</v>
      </c>
      <c r="L25" s="20" t="n">
        <v>0</v>
      </c>
      <c r="M25" s="18" t="n">
        <v>0.27869184</v>
      </c>
      <c r="N25" s="20" t="n">
        <v>0.27781633</v>
      </c>
      <c r="O25" s="18" t="n">
        <v>0</v>
      </c>
      <c r="P25" s="20" t="n">
        <v>0</v>
      </c>
      <c r="Q25" s="18" t="n">
        <v>27.99660534</v>
      </c>
      <c r="R25" s="20" t="n">
        <v>2.80143075</v>
      </c>
    </row>
    <row r="26" spans="1:18">
      <c r="A26" s="15" t="s">
        <v>450</v>
      </c>
      <c r="B26" s="17" t="n">
        <v>2450</v>
      </c>
      <c r="C26" s="18">
        <f>(2152.0/B26*100)</f>
        <v/>
      </c>
      <c r="D26" s="19" t="n">
        <v>298</v>
      </c>
      <c r="E26" s="18" t="n">
        <v>50.60365997</v>
      </c>
      <c r="F26" s="20" t="n">
        <v>3.01238086</v>
      </c>
      <c r="G26" s="18" t="n">
        <v>21.50589578</v>
      </c>
      <c r="H26" s="20" t="n">
        <v>2.40377429</v>
      </c>
      <c r="I26" s="18" t="s">
        <v>431</v>
      </c>
      <c r="J26" s="20" t="s">
        <v>431</v>
      </c>
      <c r="K26" s="18" t="n">
        <v>0</v>
      </c>
      <c r="L26" s="20" t="n">
        <v>0</v>
      </c>
      <c r="M26" s="18" t="n">
        <v>0.26720002</v>
      </c>
      <c r="N26" s="20" t="n">
        <v>0.26634204</v>
      </c>
      <c r="O26" s="18" t="n">
        <v>0</v>
      </c>
      <c r="P26" s="20" t="n">
        <v>0</v>
      </c>
      <c r="Q26" s="18" t="n">
        <v>27.62324424</v>
      </c>
      <c r="R26" s="20" t="n">
        <v>2.93794374</v>
      </c>
    </row>
    <row r="27" spans="1:18">
      <c r="A27" s="15" t="s">
        <v>451</v>
      </c>
      <c r="B27" s="17" t="n">
        <v>2616</v>
      </c>
      <c r="C27" s="18">
        <f>(2290.0/B27*100)</f>
        <v/>
      </c>
      <c r="D27" s="19" t="n">
        <v>326</v>
      </c>
      <c r="E27" s="18" t="n">
        <v>36.51985651</v>
      </c>
      <c r="F27" s="20" t="n">
        <v>2.43410641</v>
      </c>
      <c r="G27" s="18" t="n">
        <v>19.34221644</v>
      </c>
      <c r="H27" s="20" t="n">
        <v>2.0603027</v>
      </c>
      <c r="I27" s="18" t="s">
        <v>431</v>
      </c>
      <c r="J27" s="20" t="s">
        <v>431</v>
      </c>
      <c r="K27" s="18" t="n">
        <v>0.30550495</v>
      </c>
      <c r="L27" s="20" t="n">
        <v>0.30794766</v>
      </c>
      <c r="M27" s="18" t="n">
        <v>0</v>
      </c>
      <c r="N27" s="20" t="n">
        <v>0</v>
      </c>
      <c r="O27" s="18" t="n">
        <v>0</v>
      </c>
      <c r="P27" s="20" t="n">
        <v>0</v>
      </c>
      <c r="Q27" s="18" t="n">
        <v>43.83242211</v>
      </c>
      <c r="R27" s="20" t="n">
        <v>3.04939225</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63.04968908</v>
      </c>
      <c r="F29" s="20" t="n">
        <v>2.87310344</v>
      </c>
      <c r="G29" s="18" t="n">
        <v>20.81280899</v>
      </c>
      <c r="H29" s="20" t="n">
        <v>2.25484073</v>
      </c>
      <c r="I29" s="18" t="s">
        <v>431</v>
      </c>
      <c r="J29" s="20" t="s">
        <v>431</v>
      </c>
      <c r="K29" s="18" t="n">
        <v>0.70136714</v>
      </c>
      <c r="L29" s="20" t="n">
        <v>0.50028068</v>
      </c>
      <c r="M29" s="18" t="n">
        <v>0</v>
      </c>
      <c r="N29" s="20" t="n">
        <v>0</v>
      </c>
      <c r="O29" s="18" t="n">
        <v>0</v>
      </c>
      <c r="P29" s="20" t="n">
        <v>0</v>
      </c>
      <c r="Q29" s="18" t="n">
        <v>15.43613478</v>
      </c>
      <c r="R29" s="20" t="n">
        <v>2.18384388</v>
      </c>
    </row>
    <row r="30" spans="1:18">
      <c r="A30" s="15" t="s">
        <v>454</v>
      </c>
      <c r="B30" s="17" t="n">
        <v>2263</v>
      </c>
      <c r="C30" s="18">
        <f>(1992.0/B30*100)</f>
        <v/>
      </c>
      <c r="D30" s="19" t="n">
        <v>271</v>
      </c>
      <c r="E30" s="18" t="n">
        <v>49.85860612</v>
      </c>
      <c r="F30" s="20" t="n">
        <v>3.39567506</v>
      </c>
      <c r="G30" s="18" t="n">
        <v>16.58594109</v>
      </c>
      <c r="H30" s="20" t="n">
        <v>2.15122143</v>
      </c>
      <c r="I30" s="18" t="s">
        <v>431</v>
      </c>
      <c r="J30" s="20" t="s">
        <v>431</v>
      </c>
      <c r="K30" s="18" t="n">
        <v>0</v>
      </c>
      <c r="L30" s="20" t="n">
        <v>0</v>
      </c>
      <c r="M30" s="18" t="n">
        <v>0</v>
      </c>
      <c r="N30" s="20" t="n">
        <v>0</v>
      </c>
      <c r="O30" s="18" t="n">
        <v>0</v>
      </c>
      <c r="P30" s="20" t="n">
        <v>0</v>
      </c>
      <c r="Q30" s="18" t="n">
        <v>33.55545279</v>
      </c>
      <c r="R30" s="20" t="n">
        <v>3.52782868</v>
      </c>
    </row>
    <row r="31" spans="1:18">
      <c r="A31" s="15" t="s">
        <v>455</v>
      </c>
      <c r="B31" s="17" t="n">
        <v>2750</v>
      </c>
      <c r="C31" s="18">
        <f>(2408.0/B31*100)</f>
        <v/>
      </c>
      <c r="D31" s="19" t="n">
        <v>342</v>
      </c>
      <c r="E31" s="18" t="n">
        <v>37.89280105</v>
      </c>
      <c r="F31" s="20" t="n">
        <v>2.39147308</v>
      </c>
      <c r="G31" s="18" t="n">
        <v>34.5033138</v>
      </c>
      <c r="H31" s="20" t="n">
        <v>2.38753883</v>
      </c>
      <c r="I31" s="18" t="s">
        <v>431</v>
      </c>
      <c r="J31" s="20" t="s">
        <v>431</v>
      </c>
      <c r="K31" s="18" t="n">
        <v>0</v>
      </c>
      <c r="L31" s="20" t="n">
        <v>0</v>
      </c>
      <c r="M31" s="18" t="n">
        <v>0</v>
      </c>
      <c r="N31" s="20" t="n">
        <v>0</v>
      </c>
      <c r="O31" s="18" t="n">
        <v>0</v>
      </c>
      <c r="P31" s="20" t="n">
        <v>0</v>
      </c>
      <c r="Q31" s="18" t="n">
        <v>27.60388515</v>
      </c>
      <c r="R31" s="20" t="n">
        <v>2.21545603</v>
      </c>
    </row>
    <row r="32" spans="1:18">
      <c r="A32" s="15" t="s">
        <v>456</v>
      </c>
      <c r="B32" s="17" t="n">
        <v>2269</v>
      </c>
      <c r="C32" s="18">
        <f>(1891.0/B32*100)</f>
        <v/>
      </c>
      <c r="D32" s="19" t="n">
        <v>378</v>
      </c>
      <c r="E32" s="18" t="n">
        <v>36.68694127</v>
      </c>
      <c r="F32" s="20" t="n">
        <v>2.31649721</v>
      </c>
      <c r="G32" s="18" t="n">
        <v>21.56480332</v>
      </c>
      <c r="H32" s="20" t="n">
        <v>2.34221189</v>
      </c>
      <c r="I32" s="18" t="s">
        <v>431</v>
      </c>
      <c r="J32" s="20" t="s">
        <v>431</v>
      </c>
      <c r="K32" s="18" t="n">
        <v>0.27324371</v>
      </c>
      <c r="L32" s="20" t="n">
        <v>0.23809587</v>
      </c>
      <c r="M32" s="18" t="n">
        <v>0</v>
      </c>
      <c r="N32" s="20" t="n">
        <v>0</v>
      </c>
      <c r="O32" s="18" t="n">
        <v>0</v>
      </c>
      <c r="P32" s="20" t="n">
        <v>0</v>
      </c>
      <c r="Q32" s="18" t="n">
        <v>41.47501171</v>
      </c>
      <c r="R32" s="20" t="n">
        <v>2.66669579</v>
      </c>
    </row>
    <row r="33" spans="1:18">
      <c r="A33" s="15" t="s">
        <v>457</v>
      </c>
      <c r="B33" s="17" t="n">
        <v>3674</v>
      </c>
      <c r="C33" s="18">
        <f>(3231.0/B33*100)</f>
        <v/>
      </c>
      <c r="D33" s="19" t="n">
        <v>443</v>
      </c>
      <c r="E33" s="18" t="n">
        <v>37.03267047</v>
      </c>
      <c r="F33" s="20" t="n">
        <v>2.33898331</v>
      </c>
      <c r="G33" s="18" t="n">
        <v>24.01356585</v>
      </c>
      <c r="H33" s="20" t="n">
        <v>2.48025763</v>
      </c>
      <c r="I33" s="18" t="s">
        <v>431</v>
      </c>
      <c r="J33" s="20" t="s">
        <v>431</v>
      </c>
      <c r="K33" s="18" t="n">
        <v>0</v>
      </c>
      <c r="L33" s="20" t="n">
        <v>0</v>
      </c>
      <c r="M33" s="18" t="n">
        <v>0</v>
      </c>
      <c r="N33" s="20" t="n">
        <v>0</v>
      </c>
      <c r="O33" s="18" t="n">
        <v>0</v>
      </c>
      <c r="P33" s="20" t="n">
        <v>0</v>
      </c>
      <c r="Q33" s="18" t="n">
        <v>38.95376367</v>
      </c>
      <c r="R33" s="20" t="n">
        <v>3.06849235</v>
      </c>
    </row>
    <row r="34" spans="1:18">
      <c r="A34" s="15" t="s">
        <v>458</v>
      </c>
      <c r="B34" s="17" t="n">
        <v>3315</v>
      </c>
      <c r="C34" s="18">
        <f>(2913.0/B34*100)</f>
        <v/>
      </c>
      <c r="D34" s="19" t="n">
        <v>402</v>
      </c>
      <c r="E34" s="18" t="n">
        <v>49.84575145</v>
      </c>
      <c r="F34" s="20" t="n">
        <v>2.57451808</v>
      </c>
      <c r="G34" s="18" t="n">
        <v>9.326717410000001</v>
      </c>
      <c r="H34" s="20" t="n">
        <v>1.37890326</v>
      </c>
      <c r="I34" s="18" t="s">
        <v>431</v>
      </c>
      <c r="J34" s="20" t="s">
        <v>431</v>
      </c>
      <c r="K34" s="18" t="n">
        <v>0.19234024</v>
      </c>
      <c r="L34" s="20" t="n">
        <v>0.19146941</v>
      </c>
      <c r="M34" s="18" t="n">
        <v>0.2252234</v>
      </c>
      <c r="N34" s="20" t="n">
        <v>0.22487441</v>
      </c>
      <c r="O34" s="18" t="n">
        <v>0</v>
      </c>
      <c r="P34" s="20" t="n">
        <v>0</v>
      </c>
      <c r="Q34" s="18" t="n">
        <v>40.4099675</v>
      </c>
      <c r="R34" s="20" t="n">
        <v>2.37491694</v>
      </c>
    </row>
    <row r="35" spans="1:18">
      <c r="A35" s="15" t="s">
        <v>459</v>
      </c>
      <c r="B35" s="17" t="n">
        <v>3505</v>
      </c>
      <c r="C35" s="18">
        <f>(3084.0/B35*100)</f>
        <v/>
      </c>
      <c r="D35" s="19" t="n">
        <v>421</v>
      </c>
      <c r="E35" s="18" t="n">
        <v>51.50455011</v>
      </c>
      <c r="F35" s="20" t="n">
        <v>2.66586986</v>
      </c>
      <c r="G35" s="18" t="n">
        <v>16.66039183</v>
      </c>
      <c r="H35" s="20" t="n">
        <v>2.47890405</v>
      </c>
      <c r="I35" s="18" t="s">
        <v>431</v>
      </c>
      <c r="J35" s="20" t="s">
        <v>431</v>
      </c>
      <c r="K35" s="18" t="n">
        <v>0.13667915</v>
      </c>
      <c r="L35" s="20" t="n">
        <v>0.13515363</v>
      </c>
      <c r="M35" s="18" t="n">
        <v>0.84741075</v>
      </c>
      <c r="N35" s="20" t="n">
        <v>0.57952827</v>
      </c>
      <c r="O35" s="18" t="n">
        <v>0</v>
      </c>
      <c r="P35" s="20" t="n">
        <v>0</v>
      </c>
      <c r="Q35" s="18" t="n">
        <v>30.85096817</v>
      </c>
      <c r="R35" s="20" t="n">
        <v>2.65732342</v>
      </c>
    </row>
    <row r="36" spans="1:18">
      <c r="A36" s="15" t="s">
        <v>460</v>
      </c>
      <c r="B36" s="17" t="n">
        <v>3332</v>
      </c>
      <c r="C36" s="18">
        <f>(2919.0/B36*100)</f>
        <v/>
      </c>
      <c r="D36" s="19" t="n">
        <v>413</v>
      </c>
      <c r="E36" s="18" t="n">
        <v>46.40890424</v>
      </c>
      <c r="F36" s="20" t="n">
        <v>2.14742239</v>
      </c>
      <c r="G36" s="18" t="n">
        <v>23.7859836</v>
      </c>
      <c r="H36" s="20" t="n">
        <v>2.03873568</v>
      </c>
      <c r="I36" s="18" t="s">
        <v>431</v>
      </c>
      <c r="J36" s="20" t="s">
        <v>431</v>
      </c>
      <c r="K36" s="18" t="n">
        <v>0</v>
      </c>
      <c r="L36" s="20" t="n">
        <v>0</v>
      </c>
      <c r="M36" s="18" t="n">
        <v>0</v>
      </c>
      <c r="N36" s="20" t="n">
        <v>0</v>
      </c>
      <c r="O36" s="18" t="n">
        <v>0</v>
      </c>
      <c r="P36" s="20" t="n">
        <v>0</v>
      </c>
      <c r="Q36" s="18" t="n">
        <v>29.80511216</v>
      </c>
      <c r="R36" s="20" t="n">
        <v>2.19369594</v>
      </c>
    </row>
    <row r="37" spans="1:18">
      <c r="A37" s="15" t="s">
        <v>461</v>
      </c>
      <c r="B37" s="17" t="n">
        <v>2727</v>
      </c>
      <c r="C37" s="18">
        <f>(2386.0/B37*100)</f>
        <v/>
      </c>
      <c r="D37" s="19" t="n">
        <v>341</v>
      </c>
      <c r="E37" s="18" t="n">
        <v>41.68284403</v>
      </c>
      <c r="F37" s="20" t="n">
        <v>2.64065053</v>
      </c>
      <c r="G37" s="18" t="n">
        <v>18.09517517</v>
      </c>
      <c r="H37" s="20" t="n">
        <v>2.51039233</v>
      </c>
      <c r="I37" s="18" t="s">
        <v>431</v>
      </c>
      <c r="J37" s="20" t="s">
        <v>431</v>
      </c>
      <c r="K37" s="18" t="n">
        <v>1.12017849</v>
      </c>
      <c r="L37" s="20" t="n">
        <v>0.54263508</v>
      </c>
      <c r="M37" s="18" t="n">
        <v>0.23386812</v>
      </c>
      <c r="N37" s="20" t="n">
        <v>0.23368529</v>
      </c>
      <c r="O37" s="18" t="n">
        <v>0</v>
      </c>
      <c r="P37" s="20" t="n">
        <v>0</v>
      </c>
      <c r="Q37" s="18" t="n">
        <v>38.86793418</v>
      </c>
      <c r="R37" s="20" t="n">
        <v>2.5178244</v>
      </c>
    </row>
    <row r="38" spans="1:18">
      <c r="A38" s="15" t="s">
        <v>462</v>
      </c>
      <c r="B38" s="17" t="n">
        <v>3053</v>
      </c>
      <c r="C38" s="18">
        <f>(2511.0/B38*100)</f>
        <v/>
      </c>
      <c r="D38" s="19" t="n">
        <v>542</v>
      </c>
      <c r="E38" s="18" t="n">
        <v>48.26709347</v>
      </c>
      <c r="F38" s="20" t="n">
        <v>2.63458523</v>
      </c>
      <c r="G38" s="18" t="n">
        <v>14.61691548</v>
      </c>
      <c r="H38" s="20" t="n">
        <v>1.81026272</v>
      </c>
      <c r="I38" s="18" t="s">
        <v>431</v>
      </c>
      <c r="J38" s="20" t="s">
        <v>431</v>
      </c>
      <c r="K38" s="18" t="n">
        <v>0.36705889</v>
      </c>
      <c r="L38" s="20" t="n">
        <v>0.23667064</v>
      </c>
      <c r="M38" s="18" t="n">
        <v>0</v>
      </c>
      <c r="N38" s="20" t="n">
        <v>0</v>
      </c>
      <c r="O38" s="18" t="n">
        <v>0</v>
      </c>
      <c r="P38" s="20" t="n">
        <v>0</v>
      </c>
      <c r="Q38" s="18" t="n">
        <v>36.74893216</v>
      </c>
      <c r="R38" s="20" t="n">
        <v>2.2233613</v>
      </c>
    </row>
    <row r="39" spans="1:18">
      <c r="A39" s="15" t="s">
        <v>463</v>
      </c>
      <c r="B39" s="17" t="n">
        <v>2957</v>
      </c>
      <c r="C39" s="18">
        <f>(2586.0/B39*100)</f>
        <v/>
      </c>
      <c r="D39" s="19" t="n">
        <v>371</v>
      </c>
      <c r="E39" s="18" t="n">
        <v>36.25630708</v>
      </c>
      <c r="F39" s="20" t="n">
        <v>2.88090399</v>
      </c>
      <c r="G39" s="18" t="n">
        <v>28.65625483</v>
      </c>
      <c r="H39" s="20" t="n">
        <v>2.36999376</v>
      </c>
      <c r="I39" s="18" t="s">
        <v>431</v>
      </c>
      <c r="J39" s="20" t="s">
        <v>431</v>
      </c>
      <c r="K39" s="18" t="n">
        <v>0</v>
      </c>
      <c r="L39" s="20" t="n">
        <v>0</v>
      </c>
      <c r="M39" s="18" t="n">
        <v>0</v>
      </c>
      <c r="N39" s="20" t="n">
        <v>0</v>
      </c>
      <c r="O39" s="18" t="n">
        <v>0</v>
      </c>
      <c r="P39" s="20" t="n">
        <v>0</v>
      </c>
      <c r="Q39" s="18" t="n">
        <v>35.08743809</v>
      </c>
      <c r="R39" s="20" t="n">
        <v>2.77313121</v>
      </c>
    </row>
    <row r="40" spans="1:18">
      <c r="A40" s="15" t="s">
        <v>464</v>
      </c>
      <c r="B40" s="17" t="n">
        <v>7235</v>
      </c>
      <c r="C40" s="18">
        <f>(6334.0/B40*100)</f>
        <v/>
      </c>
      <c r="D40" s="19" t="n">
        <v>901</v>
      </c>
      <c r="E40" s="18" t="n">
        <v>47.0001594</v>
      </c>
      <c r="F40" s="20" t="n">
        <v>3.13401249</v>
      </c>
      <c r="G40" s="18" t="n">
        <v>20.25921347</v>
      </c>
      <c r="H40" s="20" t="n">
        <v>2.59342721</v>
      </c>
      <c r="I40" s="18" t="s">
        <v>431</v>
      </c>
      <c r="J40" s="20" t="s">
        <v>431</v>
      </c>
      <c r="K40" s="18" t="n">
        <v>0.16693602</v>
      </c>
      <c r="L40" s="20" t="n">
        <v>0.06688974</v>
      </c>
      <c r="M40" s="18" t="n">
        <v>0.55010126</v>
      </c>
      <c r="N40" s="20" t="n">
        <v>0.43131284</v>
      </c>
      <c r="O40" s="18" t="n">
        <v>0</v>
      </c>
      <c r="P40" s="20" t="n">
        <v>0</v>
      </c>
      <c r="Q40" s="18" t="n">
        <v>32.02358986</v>
      </c>
      <c r="R40" s="20" t="n">
        <v>2.80255242</v>
      </c>
    </row>
    <row r="41" spans="1:18">
      <c r="A41" s="15" t="s">
        <v>465</v>
      </c>
      <c r="B41" s="17" t="n">
        <v>2858</v>
      </c>
      <c r="C41" s="18">
        <f>(2502.0/B41*100)</f>
        <v/>
      </c>
      <c r="D41" s="19" t="n">
        <v>356</v>
      </c>
      <c r="E41" s="18" t="n">
        <v>67.08148819</v>
      </c>
      <c r="F41" s="20" t="n">
        <v>2.54399971</v>
      </c>
      <c r="G41" s="18" t="n">
        <v>19.30313097</v>
      </c>
      <c r="H41" s="20" t="n">
        <v>2.09094415</v>
      </c>
      <c r="I41" s="18" t="s">
        <v>431</v>
      </c>
      <c r="J41" s="20" t="s">
        <v>431</v>
      </c>
      <c r="K41" s="18" t="n">
        <v>0</v>
      </c>
      <c r="L41" s="20" t="n">
        <v>0</v>
      </c>
      <c r="M41" s="18" t="n">
        <v>0</v>
      </c>
      <c r="N41" s="20" t="n">
        <v>0</v>
      </c>
      <c r="O41" s="18" t="n">
        <v>0</v>
      </c>
      <c r="P41" s="20" t="n">
        <v>0</v>
      </c>
      <c r="Q41" s="18" t="n">
        <v>13.61538084</v>
      </c>
      <c r="R41" s="20" t="n">
        <v>1.83739653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(4511.0/B48*100)</f>
        <v/>
      </c>
      <c r="D48" s="19" t="n">
        <v>648</v>
      </c>
      <c r="E48" s="18" t="n">
        <v>56.65781669</v>
      </c>
      <c r="F48" s="20" t="n">
        <v>2.6460163</v>
      </c>
      <c r="G48" s="18" t="n">
        <v>23.64895411</v>
      </c>
      <c r="H48" s="20" t="n">
        <v>2.17309943</v>
      </c>
      <c r="I48" s="18" t="s">
        <v>431</v>
      </c>
      <c r="J48" s="20" t="s">
        <v>431</v>
      </c>
      <c r="K48" s="18" t="n">
        <v>0.27416983</v>
      </c>
      <c r="L48" s="20" t="n">
        <v>0.28428573</v>
      </c>
      <c r="M48" s="18" t="n">
        <v>0.26653893</v>
      </c>
      <c r="N48" s="20" t="n">
        <v>0.2659019</v>
      </c>
      <c r="O48" s="18" t="n">
        <v>0</v>
      </c>
      <c r="P48" s="20" t="n">
        <v>0</v>
      </c>
      <c r="Q48" s="18" t="n">
        <v>19.15252043</v>
      </c>
      <c r="R48" s="20" t="n">
        <v>1.97280989</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(2453.0/B52*100)</f>
        <v/>
      </c>
      <c r="D52" s="19" t="n">
        <v>343</v>
      </c>
      <c r="E52" s="18" t="n">
        <v>36.87045644</v>
      </c>
      <c r="F52" s="20" t="n">
        <v>2.655262</v>
      </c>
      <c r="G52" s="18" t="n">
        <v>18.86285385</v>
      </c>
      <c r="H52" s="20" t="n">
        <v>2.2177486</v>
      </c>
      <c r="I52" s="18" t="s">
        <v>431</v>
      </c>
      <c r="J52" s="20" t="s">
        <v>431</v>
      </c>
      <c r="K52" s="18" t="n">
        <v>0</v>
      </c>
      <c r="L52" s="20" t="n">
        <v>0</v>
      </c>
      <c r="M52" s="18" t="n">
        <v>0</v>
      </c>
      <c r="N52" s="20" t="n">
        <v>0</v>
      </c>
      <c r="O52" s="18" t="n">
        <v>0</v>
      </c>
      <c r="P52" s="20" t="n">
        <v>0</v>
      </c>
      <c r="Q52" s="18" t="n">
        <v>44.26668971</v>
      </c>
      <c r="R52" s="20" t="n">
        <v>2.88795706</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63.0480591</v>
      </c>
      <c r="F56" s="20" t="n">
        <v>3.12414519</v>
      </c>
      <c r="G56" s="18" t="n">
        <v>20.34984913</v>
      </c>
      <c r="H56" s="20" t="n">
        <v>2.38900682</v>
      </c>
      <c r="I56" s="18" t="s">
        <v>431</v>
      </c>
      <c r="J56" s="20" t="s">
        <v>431</v>
      </c>
      <c r="K56" s="18" t="n">
        <v>0</v>
      </c>
      <c r="L56" s="20" t="n">
        <v>0</v>
      </c>
      <c r="M56" s="18" t="n">
        <v>0</v>
      </c>
      <c r="N56" s="20" t="n">
        <v>0</v>
      </c>
      <c r="O56" s="18" t="n">
        <v>0</v>
      </c>
      <c r="P56" s="20" t="n">
        <v>0</v>
      </c>
      <c r="Q56" s="18" t="n">
        <v>16.60209178</v>
      </c>
      <c r="R56" s="20" t="n">
        <v>2.36444636</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(2892.0/B61*100)</f>
        <v/>
      </c>
      <c r="D61" s="19" t="n">
        <v>432</v>
      </c>
      <c r="E61" s="18" t="n">
        <v>45.86022658</v>
      </c>
      <c r="F61" s="20" t="n">
        <v>3.02866713</v>
      </c>
      <c r="G61" s="18" t="n">
        <v>15.36472195</v>
      </c>
      <c r="H61" s="20" t="n">
        <v>1.99196293</v>
      </c>
      <c r="I61" s="18" t="s">
        <v>431</v>
      </c>
      <c r="J61" s="20" t="s">
        <v>431</v>
      </c>
      <c r="K61" s="18" t="n">
        <v>0</v>
      </c>
      <c r="L61" s="20" t="n">
        <v>0</v>
      </c>
      <c r="M61" s="18" t="n">
        <v>0</v>
      </c>
      <c r="N61" s="20" t="n">
        <v>0</v>
      </c>
      <c r="O61" s="18" t="n">
        <v>0</v>
      </c>
      <c r="P61" s="20" t="n">
        <v>0</v>
      </c>
      <c r="Q61" s="18" t="n">
        <v>38.77505147</v>
      </c>
      <c r="R61" s="20" t="n">
        <v>2.84410984</v>
      </c>
    </row>
    <row r="62" spans="1:18">
      <c r="A62" s="15" t="s">
        <v>486</v>
      </c>
      <c r="B62" s="17" t="n">
        <v>2246</v>
      </c>
      <c r="C62" s="18">
        <f>(1966.0/B62*100)</f>
        <v/>
      </c>
      <c r="D62" s="19" t="n">
        <v>280</v>
      </c>
      <c r="E62" s="18" t="n">
        <v>64.97160187999999</v>
      </c>
      <c r="F62" s="20" t="n">
        <v>2.5646772</v>
      </c>
      <c r="G62" s="18" t="n">
        <v>18.16127054</v>
      </c>
      <c r="H62" s="20" t="n">
        <v>2.26278993</v>
      </c>
      <c r="I62" s="18" t="s">
        <v>431</v>
      </c>
      <c r="J62" s="20" t="s">
        <v>431</v>
      </c>
      <c r="K62" s="18" t="n">
        <v>0.36701419</v>
      </c>
      <c r="L62" s="20" t="n">
        <v>0.36550719</v>
      </c>
      <c r="M62" s="18" t="n">
        <v>0</v>
      </c>
      <c r="N62" s="20" t="n">
        <v>0</v>
      </c>
      <c r="O62" s="18" t="n">
        <v>0</v>
      </c>
      <c r="P62" s="20" t="n">
        <v>0</v>
      </c>
      <c r="Q62" s="18" t="n">
        <v>16.50011339</v>
      </c>
      <c r="R62" s="20" t="n">
        <v>1.87780658</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(2554.0/B66*100)</f>
        <v/>
      </c>
      <c r="D66" s="19" t="n">
        <v>340</v>
      </c>
      <c r="E66" s="18" t="n">
        <v>30.89430894</v>
      </c>
      <c r="F66" s="20" t="n">
        <v>2.60915242</v>
      </c>
      <c r="G66" s="18" t="n">
        <v>12.06065024</v>
      </c>
      <c r="H66" s="20" t="n">
        <v>1.99609803</v>
      </c>
      <c r="I66" s="18" t="s">
        <v>431</v>
      </c>
      <c r="J66" s="20" t="s">
        <v>431</v>
      </c>
      <c r="K66" s="18" t="n">
        <v>1.13510248</v>
      </c>
      <c r="L66" s="20" t="n">
        <v>0.57719357</v>
      </c>
      <c r="M66" s="18" t="n">
        <v>0.81899869</v>
      </c>
      <c r="N66" s="20" t="n">
        <v>0.46878924</v>
      </c>
      <c r="O66" s="18" t="n">
        <v>0</v>
      </c>
      <c r="P66" s="20" t="n">
        <v>0</v>
      </c>
      <c r="Q66" s="18" t="n">
        <v>55.09093965</v>
      </c>
      <c r="R66" s="20" t="n">
        <v>2.6407068</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(2581.0/B70*100)</f>
        <v/>
      </c>
      <c r="D70" s="19" t="n">
        <v>348</v>
      </c>
      <c r="E70" s="18" t="n">
        <v>53.00617404</v>
      </c>
      <c r="F70" s="20" t="n">
        <v>3.51662296</v>
      </c>
      <c r="G70" s="18" t="n">
        <v>24.28477594</v>
      </c>
      <c r="H70" s="20" t="n">
        <v>2.28425603</v>
      </c>
      <c r="I70" s="18" t="s">
        <v>431</v>
      </c>
      <c r="J70" s="20" t="s">
        <v>431</v>
      </c>
      <c r="K70" s="18" t="n">
        <v>0.23940884</v>
      </c>
      <c r="L70" s="20" t="n">
        <v>0.33966809</v>
      </c>
      <c r="M70" s="18" t="n">
        <v>0.18811051</v>
      </c>
      <c r="N70" s="20" t="n">
        <v>0.19059404</v>
      </c>
      <c r="O70" s="18" t="n">
        <v>0</v>
      </c>
      <c r="P70" s="20" t="n">
        <v>0</v>
      </c>
      <c r="Q70" s="18" t="n">
        <v>22.28153067</v>
      </c>
      <c r="R70" s="20" t="n">
        <v>2.61161042</v>
      </c>
    </row>
    <row r="71" spans="1:18">
      <c r="A71" s="15" t="s">
        <v>495</v>
      </c>
      <c r="B71" s="17" t="n">
        <v>3142</v>
      </c>
      <c r="C71" s="18">
        <f>(2763.0/B71*100)</f>
        <v/>
      </c>
      <c r="D71" s="19" t="n">
        <v>379</v>
      </c>
      <c r="E71" s="18" t="n">
        <v>56.24323507</v>
      </c>
      <c r="F71" s="20" t="n">
        <v>2.80529576</v>
      </c>
      <c r="G71" s="18" t="n">
        <v>31.12792223</v>
      </c>
      <c r="H71" s="20" t="n">
        <v>2.71430796</v>
      </c>
      <c r="I71" s="18" t="s">
        <v>431</v>
      </c>
      <c r="J71" s="20" t="s">
        <v>431</v>
      </c>
      <c r="K71" s="18" t="n">
        <v>0.75798963</v>
      </c>
      <c r="L71" s="20" t="n">
        <v>0.4362667</v>
      </c>
      <c r="M71" s="18" t="n">
        <v>0</v>
      </c>
      <c r="N71" s="20" t="n">
        <v>0</v>
      </c>
      <c r="O71" s="18" t="n">
        <v>0</v>
      </c>
      <c r="P71" s="20" t="n">
        <v>0</v>
      </c>
      <c r="Q71" s="18" t="n">
        <v>11.87085307</v>
      </c>
      <c r="R71" s="20" t="n">
        <v>1.79630722</v>
      </c>
    </row>
    <row r="72" spans="1:18">
      <c r="A72" s="15" t="s">
        <v>496</v>
      </c>
      <c r="B72" s="17" t="n">
        <v>3889</v>
      </c>
      <c r="C72" s="18">
        <f>(3415.0/B72*100)</f>
        <v/>
      </c>
      <c r="D72" s="19" t="n">
        <v>474</v>
      </c>
      <c r="E72" s="18" t="n">
        <v>66.57877403000001</v>
      </c>
      <c r="F72" s="20" t="n">
        <v>2.39048459</v>
      </c>
      <c r="G72" s="18" t="n">
        <v>21.32517583</v>
      </c>
      <c r="H72" s="20" t="n">
        <v>2.14997554</v>
      </c>
      <c r="I72" s="18" t="s">
        <v>431</v>
      </c>
      <c r="J72" s="20" t="s">
        <v>431</v>
      </c>
      <c r="K72" s="18" t="n">
        <v>0.165327</v>
      </c>
      <c r="L72" s="20" t="n">
        <v>0.16586649</v>
      </c>
      <c r="M72" s="18" t="n">
        <v>0</v>
      </c>
      <c r="N72" s="20" t="n">
        <v>0</v>
      </c>
      <c r="O72" s="18" t="n">
        <v>0</v>
      </c>
      <c r="P72" s="20" t="n">
        <v>0</v>
      </c>
      <c r="Q72" s="18" t="n">
        <v>11.93072314</v>
      </c>
      <c r="R72" s="20" t="n">
        <v>1.51671912</v>
      </c>
    </row>
    <row r="73" spans="1:18">
      <c r="A73" s="15" t="s">
        <v>497</v>
      </c>
      <c r="B73" s="17" t="n">
        <v>3597</v>
      </c>
      <c r="C73" s="18">
        <f>(3150.0/B73*100)</f>
        <v/>
      </c>
      <c r="D73" s="19" t="n">
        <v>447</v>
      </c>
      <c r="E73" s="18" t="n">
        <v>85.87586758</v>
      </c>
      <c r="F73" s="20" t="n">
        <v>1.7761385</v>
      </c>
      <c r="G73" s="18" t="n">
        <v>7.43716136</v>
      </c>
      <c r="H73" s="20" t="n">
        <v>1.36832717</v>
      </c>
      <c r="I73" s="18" t="s">
        <v>431</v>
      </c>
      <c r="J73" s="20" t="s">
        <v>431</v>
      </c>
      <c r="K73" s="18" t="n">
        <v>0</v>
      </c>
      <c r="L73" s="20" t="n">
        <v>0</v>
      </c>
      <c r="M73" s="18" t="n">
        <v>0.38607218</v>
      </c>
      <c r="N73" s="20" t="n">
        <v>0.38978323</v>
      </c>
      <c r="O73" s="18" t="n">
        <v>0</v>
      </c>
      <c r="P73" s="20" t="n">
        <v>0</v>
      </c>
      <c r="Q73" s="18" t="n">
        <v>6.30089889</v>
      </c>
      <c r="R73" s="20" t="n">
        <v>1.60996229</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(6439.0/B7*100)</f>
        <v/>
      </c>
      <c r="D7" s="19" t="n">
        <v>928</v>
      </c>
      <c r="E7" s="18" t="n">
        <v>68.70686833000001</v>
      </c>
      <c r="F7" s="20" t="n">
        <v>1.98722727</v>
      </c>
      <c r="G7" s="18" t="n">
        <v>28.74378812</v>
      </c>
      <c r="H7" s="20" t="n">
        <v>1.91533843</v>
      </c>
      <c r="I7" s="18" t="s">
        <v>431</v>
      </c>
      <c r="J7" s="20" t="s">
        <v>431</v>
      </c>
      <c r="K7" s="18" t="n">
        <v>0.41830365</v>
      </c>
      <c r="L7" s="20" t="n">
        <v>0.20507407</v>
      </c>
      <c r="M7" s="18" t="n">
        <v>0</v>
      </c>
      <c r="N7" s="20" t="n">
        <v>0</v>
      </c>
      <c r="O7" s="18" t="n">
        <v>0</v>
      </c>
      <c r="P7" s="20" t="n">
        <v>0</v>
      </c>
      <c r="Q7" s="18" t="n">
        <v>2.1310399</v>
      </c>
      <c r="R7" s="20" t="n">
        <v>0.56534211</v>
      </c>
    </row>
    <row r="8" spans="1:18">
      <c r="A8" s="15" t="s">
        <v>432</v>
      </c>
      <c r="B8" s="17" t="n">
        <v>3564</v>
      </c>
      <c r="C8" s="18">
        <f>(3144.0/B8*100)</f>
        <v/>
      </c>
      <c r="D8" s="19" t="n">
        <v>420</v>
      </c>
      <c r="E8" s="18" t="n">
        <v>56.95975611</v>
      </c>
      <c r="F8" s="20" t="n">
        <v>2.32998377</v>
      </c>
      <c r="G8" s="18" t="n">
        <v>38.49741185</v>
      </c>
      <c r="H8" s="20" t="n">
        <v>2.31410862</v>
      </c>
      <c r="I8" s="18" t="s">
        <v>431</v>
      </c>
      <c r="J8" s="20" t="s">
        <v>431</v>
      </c>
      <c r="K8" s="18" t="n">
        <v>0</v>
      </c>
      <c r="L8" s="20" t="n">
        <v>0</v>
      </c>
      <c r="M8" s="18" t="n">
        <v>0</v>
      </c>
      <c r="N8" s="20" t="n">
        <v>0</v>
      </c>
      <c r="O8" s="18" t="n">
        <v>0</v>
      </c>
      <c r="P8" s="20" t="n">
        <v>0</v>
      </c>
      <c r="Q8" s="18" t="n">
        <v>4.54283205</v>
      </c>
      <c r="R8" s="20" t="n">
        <v>0.92046482</v>
      </c>
    </row>
    <row r="9" spans="1:18">
      <c r="A9" s="15" t="s">
        <v>433</v>
      </c>
      <c r="B9" s="17" t="n">
        <v>4899</v>
      </c>
      <c r="C9" s="18">
        <f>(4298.0/B9*100)</f>
        <v/>
      </c>
      <c r="D9" s="19" t="n">
        <v>601</v>
      </c>
      <c r="E9" s="18" t="n">
        <v>57.64284827</v>
      </c>
      <c r="F9" s="20" t="n">
        <v>2.31091742</v>
      </c>
      <c r="G9" s="18" t="n">
        <v>39.00745714</v>
      </c>
      <c r="H9" s="20" t="n">
        <v>2.43822343</v>
      </c>
      <c r="I9" s="18" t="s">
        <v>431</v>
      </c>
      <c r="J9" s="20" t="s">
        <v>431</v>
      </c>
      <c r="K9" s="18" t="n">
        <v>0</v>
      </c>
      <c r="L9" s="20" t="n">
        <v>0</v>
      </c>
      <c r="M9" s="18" t="n">
        <v>0</v>
      </c>
      <c r="N9" s="20" t="n">
        <v>0</v>
      </c>
      <c r="O9" s="18" t="n">
        <v>0</v>
      </c>
      <c r="P9" s="20" t="n">
        <v>0</v>
      </c>
      <c r="Q9" s="18" t="n">
        <v>3.34969459</v>
      </c>
      <c r="R9" s="20" t="n">
        <v>0.84783194</v>
      </c>
    </row>
    <row r="10" spans="1:18">
      <c r="A10" s="15" t="s">
        <v>434</v>
      </c>
      <c r="B10" s="17" t="n">
        <v>10036</v>
      </c>
      <c r="C10" s="18">
        <f>(8831.0/B10*100)</f>
        <v/>
      </c>
      <c r="D10" s="19" t="n">
        <v>1205</v>
      </c>
      <c r="E10" s="18" t="n">
        <v>67.43633812</v>
      </c>
      <c r="F10" s="20" t="n">
        <v>1.63758321</v>
      </c>
      <c r="G10" s="18" t="n">
        <v>29.73105287</v>
      </c>
      <c r="H10" s="20" t="n">
        <v>1.78226348</v>
      </c>
      <c r="I10" s="18" t="s">
        <v>431</v>
      </c>
      <c r="J10" s="20" t="s">
        <v>431</v>
      </c>
      <c r="K10" s="18" t="n">
        <v>0.62379602</v>
      </c>
      <c r="L10" s="20" t="n">
        <v>0.33885798</v>
      </c>
      <c r="M10" s="18" t="n">
        <v>0</v>
      </c>
      <c r="N10" s="20" t="n">
        <v>0</v>
      </c>
      <c r="O10" s="18" t="n">
        <v>0</v>
      </c>
      <c r="P10" s="20" t="n">
        <v>0</v>
      </c>
      <c r="Q10" s="18" t="n">
        <v>2.208813</v>
      </c>
      <c r="R10" s="20" t="n">
        <v>0.56387155</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(3040.0/B12*100)</f>
        <v/>
      </c>
      <c r="D12" s="19" t="n">
        <v>432</v>
      </c>
      <c r="E12" s="18" t="n">
        <v>42.50368942</v>
      </c>
      <c r="F12" s="20" t="n">
        <v>2.62313371</v>
      </c>
      <c r="G12" s="18" t="n">
        <v>56.46354555</v>
      </c>
      <c r="H12" s="20" t="n">
        <v>2.58912002</v>
      </c>
      <c r="I12" s="18" t="s">
        <v>431</v>
      </c>
      <c r="J12" s="20" t="s">
        <v>431</v>
      </c>
      <c r="K12" s="18" t="n">
        <v>0</v>
      </c>
      <c r="L12" s="20" t="n">
        <v>0</v>
      </c>
      <c r="M12" s="18" t="n">
        <v>0</v>
      </c>
      <c r="N12" s="20" t="n">
        <v>0</v>
      </c>
      <c r="O12" s="18" t="n">
        <v>0</v>
      </c>
      <c r="P12" s="20" t="n">
        <v>0</v>
      </c>
      <c r="Q12" s="18" t="n">
        <v>1.03276503</v>
      </c>
      <c r="R12" s="20" t="n">
        <v>0.55549629</v>
      </c>
    </row>
    <row r="13" spans="1:18">
      <c r="A13" s="15" t="s">
        <v>437</v>
      </c>
      <c r="B13" s="17" t="n">
        <v>3559</v>
      </c>
      <c r="C13" s="18">
        <f>(3143.0/B13*100)</f>
        <v/>
      </c>
      <c r="D13" s="19" t="n">
        <v>416</v>
      </c>
      <c r="E13" s="18" t="n">
        <v>63.20842953</v>
      </c>
      <c r="F13" s="20" t="n">
        <v>2.55475531</v>
      </c>
      <c r="G13" s="18" t="n">
        <v>35.02807813</v>
      </c>
      <c r="H13" s="20" t="n">
        <v>2.55956425</v>
      </c>
      <c r="I13" s="18" t="s">
        <v>431</v>
      </c>
      <c r="J13" s="20" t="s">
        <v>431</v>
      </c>
      <c r="K13" s="18" t="n">
        <v>0.14417021</v>
      </c>
      <c r="L13" s="20" t="n">
        <v>0.14801545</v>
      </c>
      <c r="M13" s="18" t="n">
        <v>0</v>
      </c>
      <c r="N13" s="20" t="n">
        <v>0</v>
      </c>
      <c r="O13" s="18" t="n">
        <v>0</v>
      </c>
      <c r="P13" s="20" t="n">
        <v>0</v>
      </c>
      <c r="Q13" s="18" t="n">
        <v>1.61932213</v>
      </c>
      <c r="R13" s="20" t="n">
        <v>0.66380383</v>
      </c>
    </row>
    <row r="14" spans="1:18">
      <c r="A14" s="15" t="s">
        <v>438</v>
      </c>
      <c r="B14" s="17" t="n">
        <v>2799</v>
      </c>
      <c r="C14" s="18">
        <f>(2453.0/B14*100)</f>
        <v/>
      </c>
      <c r="D14" s="19" t="n">
        <v>346</v>
      </c>
      <c r="E14" s="18" t="n">
        <v>58.39048412</v>
      </c>
      <c r="F14" s="20" t="n">
        <v>3.07661382</v>
      </c>
      <c r="G14" s="18" t="n">
        <v>41.37962456</v>
      </c>
      <c r="H14" s="20" t="n">
        <v>3.11381647</v>
      </c>
      <c r="I14" s="18" t="s">
        <v>431</v>
      </c>
      <c r="J14" s="20" t="s">
        <v>431</v>
      </c>
      <c r="K14" s="18" t="n">
        <v>0</v>
      </c>
      <c r="L14" s="20" t="n">
        <v>0</v>
      </c>
      <c r="M14" s="18" t="n">
        <v>0</v>
      </c>
      <c r="N14" s="20" t="n">
        <v>0</v>
      </c>
      <c r="O14" s="18" t="n">
        <v>0</v>
      </c>
      <c r="P14" s="20" t="n">
        <v>0</v>
      </c>
      <c r="Q14" s="18" t="n">
        <v>0.22989132</v>
      </c>
      <c r="R14" s="20" t="n">
        <v>0.22551052</v>
      </c>
    </row>
    <row r="15" spans="1:18">
      <c r="A15" s="15" t="s">
        <v>439</v>
      </c>
      <c r="B15" s="17" t="n">
        <v>3019</v>
      </c>
      <c r="C15" s="18">
        <f>(2644.0/B15*100)</f>
        <v/>
      </c>
      <c r="D15" s="19" t="n">
        <v>375</v>
      </c>
      <c r="E15" s="18" t="n">
        <v>66.02031495999999</v>
      </c>
      <c r="F15" s="20" t="n">
        <v>2.73875832</v>
      </c>
      <c r="G15" s="18" t="n">
        <v>31.92991889</v>
      </c>
      <c r="H15" s="20" t="n">
        <v>2.46956928</v>
      </c>
      <c r="I15" s="18" t="s">
        <v>431</v>
      </c>
      <c r="J15" s="20" t="s">
        <v>431</v>
      </c>
      <c r="K15" s="18" t="n">
        <v>0.76295117</v>
      </c>
      <c r="L15" s="20" t="n">
        <v>0.44546663</v>
      </c>
      <c r="M15" s="18" t="n">
        <v>0</v>
      </c>
      <c r="N15" s="20" t="n">
        <v>0</v>
      </c>
      <c r="O15" s="18" t="n">
        <v>0</v>
      </c>
      <c r="P15" s="20" t="n">
        <v>0</v>
      </c>
      <c r="Q15" s="18" t="n">
        <v>1.28681498</v>
      </c>
      <c r="R15" s="20" t="n">
        <v>0.76245045</v>
      </c>
    </row>
    <row r="16" spans="1:18">
      <c r="A16" s="15" t="s">
        <v>440</v>
      </c>
      <c r="B16" s="17" t="n">
        <v>2997</v>
      </c>
      <c r="C16" s="18">
        <f>(2617.0/B16*100)</f>
        <v/>
      </c>
      <c r="D16" s="19" t="n">
        <v>380</v>
      </c>
      <c r="E16" s="18" t="n">
        <v>53.13779545</v>
      </c>
      <c r="F16" s="20" t="n">
        <v>2.49462225</v>
      </c>
      <c r="G16" s="18" t="n">
        <v>38.70021072</v>
      </c>
      <c r="H16" s="20" t="n">
        <v>2.22205957</v>
      </c>
      <c r="I16" s="18" t="s">
        <v>431</v>
      </c>
      <c r="J16" s="20" t="s">
        <v>431</v>
      </c>
      <c r="K16" s="18" t="n">
        <v>0.90918484</v>
      </c>
      <c r="L16" s="20" t="n">
        <v>0.52468302</v>
      </c>
      <c r="M16" s="18" t="n">
        <v>0</v>
      </c>
      <c r="N16" s="20" t="n">
        <v>0</v>
      </c>
      <c r="O16" s="18" t="n">
        <v>0</v>
      </c>
      <c r="P16" s="20" t="n">
        <v>0</v>
      </c>
      <c r="Q16" s="18" t="n">
        <v>7.25280899</v>
      </c>
      <c r="R16" s="20" t="n">
        <v>1.32669182</v>
      </c>
    </row>
    <row r="17" spans="1:18">
      <c r="A17" s="15" t="s">
        <v>441</v>
      </c>
      <c r="B17" s="17" t="n">
        <v>3307</v>
      </c>
      <c r="C17" s="18">
        <f>(2910.0/B17*100)</f>
        <v/>
      </c>
      <c r="D17" s="19" t="n">
        <v>397</v>
      </c>
      <c r="E17" s="18" t="n">
        <v>53.16472644</v>
      </c>
      <c r="F17" s="20" t="n">
        <v>2.59397001</v>
      </c>
      <c r="G17" s="18" t="n">
        <v>43.51408096</v>
      </c>
      <c r="H17" s="20" t="n">
        <v>2.62537677</v>
      </c>
      <c r="I17" s="18" t="s">
        <v>431</v>
      </c>
      <c r="J17" s="20" t="s">
        <v>431</v>
      </c>
      <c r="K17" s="18" t="n">
        <v>0.56412137</v>
      </c>
      <c r="L17" s="20" t="n">
        <v>0.38936845</v>
      </c>
      <c r="M17" s="18" t="n">
        <v>0</v>
      </c>
      <c r="N17" s="20" t="n">
        <v>0</v>
      </c>
      <c r="O17" s="18" t="n">
        <v>0</v>
      </c>
      <c r="P17" s="20" t="n">
        <v>0</v>
      </c>
      <c r="Q17" s="18" t="n">
        <v>2.75707123</v>
      </c>
      <c r="R17" s="20" t="n">
        <v>0.65184117</v>
      </c>
    </row>
    <row r="18" spans="1:18">
      <c r="A18" s="15" t="s">
        <v>442</v>
      </c>
      <c r="B18" s="17" t="n">
        <v>2826</v>
      </c>
      <c r="C18" s="18">
        <f>(2474.0/B18*100)</f>
        <v/>
      </c>
      <c r="D18" s="19" t="n">
        <v>352</v>
      </c>
      <c r="E18" s="18" t="n">
        <v>57.888569</v>
      </c>
      <c r="F18" s="20" t="n">
        <v>2.7767619</v>
      </c>
      <c r="G18" s="18" t="n">
        <v>37.54647928</v>
      </c>
      <c r="H18" s="20" t="n">
        <v>2.63822923</v>
      </c>
      <c r="I18" s="18" t="s">
        <v>431</v>
      </c>
      <c r="J18" s="20" t="s">
        <v>431</v>
      </c>
      <c r="K18" s="18" t="n">
        <v>0</v>
      </c>
      <c r="L18" s="20" t="n">
        <v>0</v>
      </c>
      <c r="M18" s="18" t="n">
        <v>0</v>
      </c>
      <c r="N18" s="20" t="n">
        <v>0</v>
      </c>
      <c r="O18" s="18" t="n">
        <v>0</v>
      </c>
      <c r="P18" s="20" t="n">
        <v>0</v>
      </c>
      <c r="Q18" s="18" t="n">
        <v>4.56495171</v>
      </c>
      <c r="R18" s="20" t="n">
        <v>1.30142248</v>
      </c>
    </row>
    <row r="19" spans="1:18">
      <c r="A19" s="15" t="s">
        <v>443</v>
      </c>
      <c r="B19" s="17" t="n">
        <v>2808</v>
      </c>
      <c r="C19" s="18">
        <f>(2464.0/B19*100)</f>
        <v/>
      </c>
      <c r="D19" s="19" t="n">
        <v>344</v>
      </c>
      <c r="E19" s="18" t="n">
        <v>50.39107689</v>
      </c>
      <c r="F19" s="20" t="n">
        <v>2.47563997</v>
      </c>
      <c r="G19" s="18" t="n">
        <v>48.22081011</v>
      </c>
      <c r="H19" s="20" t="n">
        <v>2.49900995</v>
      </c>
      <c r="I19" s="18" t="s">
        <v>431</v>
      </c>
      <c r="J19" s="20" t="s">
        <v>431</v>
      </c>
      <c r="K19" s="18" t="n">
        <v>0</v>
      </c>
      <c r="L19" s="20" t="n">
        <v>0</v>
      </c>
      <c r="M19" s="18" t="n">
        <v>0</v>
      </c>
      <c r="N19" s="20" t="n">
        <v>0</v>
      </c>
      <c r="O19" s="18" t="n">
        <v>0</v>
      </c>
      <c r="P19" s="20" t="n">
        <v>0</v>
      </c>
      <c r="Q19" s="18" t="n">
        <v>1.38811299</v>
      </c>
      <c r="R19" s="20" t="n">
        <v>0.83679056</v>
      </c>
    </row>
    <row r="20" spans="1:18">
      <c r="A20" s="15" t="s">
        <v>444</v>
      </c>
      <c r="B20" s="17" t="n">
        <v>1630</v>
      </c>
      <c r="C20" s="18">
        <f>(1442.0/B20*100)</f>
        <v/>
      </c>
      <c r="D20" s="19" t="n">
        <v>188</v>
      </c>
      <c r="E20" s="18" t="n">
        <v>63.94961427</v>
      </c>
      <c r="F20" s="20" t="n">
        <v>3.0460459</v>
      </c>
      <c r="G20" s="18" t="n">
        <v>32.45095387</v>
      </c>
      <c r="H20" s="20" t="n">
        <v>3.01905372</v>
      </c>
      <c r="I20" s="18" t="s">
        <v>431</v>
      </c>
      <c r="J20" s="20" t="s">
        <v>431</v>
      </c>
      <c r="K20" s="18" t="n">
        <v>0</v>
      </c>
      <c r="L20" s="20" t="n">
        <v>0</v>
      </c>
      <c r="M20" s="18" t="n">
        <v>0</v>
      </c>
      <c r="N20" s="20" t="n">
        <v>0</v>
      </c>
      <c r="O20" s="18" t="n">
        <v>0</v>
      </c>
      <c r="P20" s="20" t="n">
        <v>0</v>
      </c>
      <c r="Q20" s="18" t="n">
        <v>3.59943186</v>
      </c>
      <c r="R20" s="20" t="n">
        <v>1.31948876</v>
      </c>
    </row>
    <row r="21" spans="1:18">
      <c r="A21" s="15" t="s">
        <v>445</v>
      </c>
      <c r="B21" s="17" t="n">
        <v>2908</v>
      </c>
      <c r="C21" s="18">
        <f>(2420.0/B21*100)</f>
        <v/>
      </c>
      <c r="D21" s="19" t="n">
        <v>488</v>
      </c>
      <c r="E21" s="18" t="n">
        <v>65.02566235</v>
      </c>
      <c r="F21" s="20" t="n">
        <v>2.0966541</v>
      </c>
      <c r="G21" s="18" t="n">
        <v>34.08370669</v>
      </c>
      <c r="H21" s="20" t="n">
        <v>1.96212737</v>
      </c>
      <c r="I21" s="18" t="s">
        <v>431</v>
      </c>
      <c r="J21" s="20" t="s">
        <v>431</v>
      </c>
      <c r="K21" s="18" t="n">
        <v>0</v>
      </c>
      <c r="L21" s="20" t="n">
        <v>0</v>
      </c>
      <c r="M21" s="18" t="n">
        <v>0</v>
      </c>
      <c r="N21" s="20" t="n">
        <v>0</v>
      </c>
      <c r="O21" s="18" t="n">
        <v>0</v>
      </c>
      <c r="P21" s="20" t="n">
        <v>0</v>
      </c>
      <c r="Q21" s="18" t="n">
        <v>0.89063097</v>
      </c>
      <c r="R21" s="20" t="n">
        <v>0.45055939</v>
      </c>
    </row>
    <row r="22" spans="1:18">
      <c r="A22" s="15" t="s">
        <v>446</v>
      </c>
      <c r="B22" s="17" t="n">
        <v>2931</v>
      </c>
      <c r="C22" s="18">
        <f>(2577.0/B22*100)</f>
        <v/>
      </c>
      <c r="D22" s="19" t="n">
        <v>354</v>
      </c>
      <c r="E22" s="18" t="n">
        <v>62.34829858</v>
      </c>
      <c r="F22" s="20" t="n">
        <v>3.45137279</v>
      </c>
      <c r="G22" s="18" t="n">
        <v>31.71128338</v>
      </c>
      <c r="H22" s="20" t="n">
        <v>3.65559882</v>
      </c>
      <c r="I22" s="18" t="s">
        <v>431</v>
      </c>
      <c r="J22" s="20" t="s">
        <v>431</v>
      </c>
      <c r="K22" s="18" t="n">
        <v>1.84879167</v>
      </c>
      <c r="L22" s="20" t="n">
        <v>0.76708223</v>
      </c>
      <c r="M22" s="18" t="n">
        <v>0</v>
      </c>
      <c r="N22" s="20" t="n">
        <v>0</v>
      </c>
      <c r="O22" s="18" t="n">
        <v>0</v>
      </c>
      <c r="P22" s="20" t="n">
        <v>0</v>
      </c>
      <c r="Q22" s="18" t="n">
        <v>4.09162636</v>
      </c>
      <c r="R22" s="20" t="n">
        <v>1.1317158</v>
      </c>
    </row>
    <row r="23" spans="1:18">
      <c r="A23" s="15" t="s">
        <v>447</v>
      </c>
      <c r="B23" s="17" t="n">
        <v>5791</v>
      </c>
      <c r="C23" s="18">
        <f>(5110.0/B23*100)</f>
        <v/>
      </c>
      <c r="D23" s="19" t="n">
        <v>681</v>
      </c>
      <c r="E23" s="18" t="n">
        <v>59.79016979</v>
      </c>
      <c r="F23" s="20" t="n">
        <v>3.00449333</v>
      </c>
      <c r="G23" s="18" t="n">
        <v>37.34090913</v>
      </c>
      <c r="H23" s="20" t="n">
        <v>2.8046217</v>
      </c>
      <c r="I23" s="18" t="s">
        <v>431</v>
      </c>
      <c r="J23" s="20" t="s">
        <v>431</v>
      </c>
      <c r="K23" s="18" t="n">
        <v>0.94805289</v>
      </c>
      <c r="L23" s="20" t="n">
        <v>0.48641111</v>
      </c>
      <c r="M23" s="18" t="n">
        <v>0</v>
      </c>
      <c r="N23" s="20" t="n">
        <v>0</v>
      </c>
      <c r="O23" s="18" t="n">
        <v>0</v>
      </c>
      <c r="P23" s="20" t="n">
        <v>0</v>
      </c>
      <c r="Q23" s="18" t="n">
        <v>1.92086819</v>
      </c>
      <c r="R23" s="20" t="n">
        <v>0.66949781</v>
      </c>
    </row>
    <row r="24" spans="1:18">
      <c r="A24" s="15" t="s">
        <v>448</v>
      </c>
      <c r="B24" s="17" t="n">
        <v>3338</v>
      </c>
      <c r="C24" s="18">
        <f>(2924.0/B24*100)</f>
        <v/>
      </c>
      <c r="D24" s="19" t="n">
        <v>414</v>
      </c>
      <c r="E24" s="18" t="n">
        <v>55.53008043</v>
      </c>
      <c r="F24" s="20" t="n">
        <v>2.45550591</v>
      </c>
      <c r="G24" s="18" t="n">
        <v>42.1020297</v>
      </c>
      <c r="H24" s="20" t="n">
        <v>2.44994144</v>
      </c>
      <c r="I24" s="18" t="s">
        <v>431</v>
      </c>
      <c r="J24" s="20" t="s">
        <v>431</v>
      </c>
      <c r="K24" s="18" t="n">
        <v>0.20105419</v>
      </c>
      <c r="L24" s="20" t="n">
        <v>0.20084157</v>
      </c>
      <c r="M24" s="18" t="n">
        <v>0</v>
      </c>
      <c r="N24" s="20" t="n">
        <v>0</v>
      </c>
      <c r="O24" s="18" t="n">
        <v>0</v>
      </c>
      <c r="P24" s="20" t="n">
        <v>0</v>
      </c>
      <c r="Q24" s="18" t="n">
        <v>2.16683568</v>
      </c>
      <c r="R24" s="20" t="n">
        <v>0.69277391</v>
      </c>
    </row>
    <row r="25" spans="1:18">
      <c r="A25" s="15" t="s">
        <v>449</v>
      </c>
      <c r="B25" s="17" t="n">
        <v>2912</v>
      </c>
      <c r="C25" s="18">
        <f>(2547.0/B25*100)</f>
        <v/>
      </c>
      <c r="D25" s="19" t="n">
        <v>365</v>
      </c>
      <c r="E25" s="18" t="n">
        <v>69.62265875</v>
      </c>
      <c r="F25" s="20" t="n">
        <v>2.25468551</v>
      </c>
      <c r="G25" s="18" t="n">
        <v>29.82760729</v>
      </c>
      <c r="H25" s="20" t="n">
        <v>2.26674695</v>
      </c>
      <c r="I25" s="18" t="s">
        <v>431</v>
      </c>
      <c r="J25" s="20" t="s">
        <v>431</v>
      </c>
      <c r="K25" s="18" t="n">
        <v>0</v>
      </c>
      <c r="L25" s="20" t="n">
        <v>0</v>
      </c>
      <c r="M25" s="18" t="n">
        <v>0</v>
      </c>
      <c r="N25" s="20" t="n">
        <v>0</v>
      </c>
      <c r="O25" s="18" t="n">
        <v>0</v>
      </c>
      <c r="P25" s="20" t="n">
        <v>0</v>
      </c>
      <c r="Q25" s="18" t="n">
        <v>0.54973397</v>
      </c>
      <c r="R25" s="20" t="n">
        <v>0.38809974</v>
      </c>
    </row>
    <row r="26" spans="1:18">
      <c r="A26" s="15" t="s">
        <v>450</v>
      </c>
      <c r="B26" s="17" t="n">
        <v>2450</v>
      </c>
      <c r="C26" s="18">
        <f>(2152.0/B26*100)</f>
        <v/>
      </c>
      <c r="D26" s="19" t="n">
        <v>298</v>
      </c>
      <c r="E26" s="18" t="n">
        <v>58.04912096</v>
      </c>
      <c r="F26" s="20" t="n">
        <v>3.21101632</v>
      </c>
      <c r="G26" s="18" t="n">
        <v>41.3621931</v>
      </c>
      <c r="H26" s="20" t="n">
        <v>3.19891367</v>
      </c>
      <c r="I26" s="18" t="s">
        <v>431</v>
      </c>
      <c r="J26" s="20" t="s">
        <v>431</v>
      </c>
      <c r="K26" s="18" t="n">
        <v>0</v>
      </c>
      <c r="L26" s="20" t="n">
        <v>0</v>
      </c>
      <c r="M26" s="18" t="n">
        <v>0</v>
      </c>
      <c r="N26" s="20" t="n">
        <v>0</v>
      </c>
      <c r="O26" s="18" t="n">
        <v>0</v>
      </c>
      <c r="P26" s="20" t="n">
        <v>0</v>
      </c>
      <c r="Q26" s="18" t="n">
        <v>0.58868594</v>
      </c>
      <c r="R26" s="20" t="n">
        <v>0.40647828</v>
      </c>
    </row>
    <row r="27" spans="1:18">
      <c r="A27" s="15" t="s">
        <v>451</v>
      </c>
      <c r="B27" s="17" t="n">
        <v>2616</v>
      </c>
      <c r="C27" s="18">
        <f>(2290.0/B27*100)</f>
        <v/>
      </c>
      <c r="D27" s="19" t="n">
        <v>326</v>
      </c>
      <c r="E27" s="18" t="n">
        <v>57.38865326</v>
      </c>
      <c r="F27" s="20" t="n">
        <v>2.50824632</v>
      </c>
      <c r="G27" s="18" t="n">
        <v>38.2372958</v>
      </c>
      <c r="H27" s="20" t="n">
        <v>2.73599084</v>
      </c>
      <c r="I27" s="18" t="s">
        <v>431</v>
      </c>
      <c r="J27" s="20" t="s">
        <v>431</v>
      </c>
      <c r="K27" s="18" t="n">
        <v>0.30550495</v>
      </c>
      <c r="L27" s="20" t="n">
        <v>0.30794766</v>
      </c>
      <c r="M27" s="18" t="n">
        <v>0</v>
      </c>
      <c r="N27" s="20" t="n">
        <v>0</v>
      </c>
      <c r="O27" s="18" t="n">
        <v>0</v>
      </c>
      <c r="P27" s="20" t="n">
        <v>0</v>
      </c>
      <c r="Q27" s="18" t="n">
        <v>4.068546</v>
      </c>
      <c r="R27" s="20" t="n">
        <v>1.00786619</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71.03247184999999</v>
      </c>
      <c r="F29" s="20" t="n">
        <v>2.48065268</v>
      </c>
      <c r="G29" s="18" t="n">
        <v>26.99689372</v>
      </c>
      <c r="H29" s="20" t="n">
        <v>2.53415178</v>
      </c>
      <c r="I29" s="18" t="s">
        <v>431</v>
      </c>
      <c r="J29" s="20" t="s">
        <v>431</v>
      </c>
      <c r="K29" s="18" t="n">
        <v>0.70136714</v>
      </c>
      <c r="L29" s="20" t="n">
        <v>0.50028068</v>
      </c>
      <c r="M29" s="18" t="n">
        <v>0</v>
      </c>
      <c r="N29" s="20" t="n">
        <v>0</v>
      </c>
      <c r="O29" s="18" t="n">
        <v>0</v>
      </c>
      <c r="P29" s="20" t="n">
        <v>0</v>
      </c>
      <c r="Q29" s="18" t="n">
        <v>1.26926728</v>
      </c>
      <c r="R29" s="20" t="n">
        <v>0.6200411</v>
      </c>
    </row>
    <row r="30" spans="1:18">
      <c r="A30" s="15" t="s">
        <v>454</v>
      </c>
      <c r="B30" s="17" t="n">
        <v>2263</v>
      </c>
      <c r="C30" s="18">
        <f>(1992.0/B30*100)</f>
        <v/>
      </c>
      <c r="D30" s="19" t="n">
        <v>271</v>
      </c>
      <c r="E30" s="18" t="n">
        <v>67.30483613</v>
      </c>
      <c r="F30" s="20" t="n">
        <v>2.63444635</v>
      </c>
      <c r="G30" s="18" t="n">
        <v>29.58997532</v>
      </c>
      <c r="H30" s="20" t="n">
        <v>2.63030138</v>
      </c>
      <c r="I30" s="18" t="s">
        <v>431</v>
      </c>
      <c r="J30" s="20" t="s">
        <v>431</v>
      </c>
      <c r="K30" s="18" t="n">
        <v>0</v>
      </c>
      <c r="L30" s="20" t="n">
        <v>0</v>
      </c>
      <c r="M30" s="18" t="n">
        <v>0</v>
      </c>
      <c r="N30" s="20" t="n">
        <v>0</v>
      </c>
      <c r="O30" s="18" t="n">
        <v>0</v>
      </c>
      <c r="P30" s="20" t="n">
        <v>0</v>
      </c>
      <c r="Q30" s="18" t="n">
        <v>3.10518855</v>
      </c>
      <c r="R30" s="20" t="n">
        <v>1.04233059</v>
      </c>
    </row>
    <row r="31" spans="1:18">
      <c r="A31" s="15" t="s">
        <v>455</v>
      </c>
      <c r="B31" s="17" t="n">
        <v>2750</v>
      </c>
      <c r="C31" s="18">
        <f>(2408.0/B31*100)</f>
        <v/>
      </c>
      <c r="D31" s="19" t="n">
        <v>342</v>
      </c>
      <c r="E31" s="18" t="n">
        <v>50.12727413</v>
      </c>
      <c r="F31" s="20" t="n">
        <v>2.90530226</v>
      </c>
      <c r="G31" s="18" t="n">
        <v>47.39960919</v>
      </c>
      <c r="H31" s="20" t="n">
        <v>2.83030945</v>
      </c>
      <c r="I31" s="18" t="s">
        <v>431</v>
      </c>
      <c r="J31" s="20" t="s">
        <v>431</v>
      </c>
      <c r="K31" s="18" t="n">
        <v>0.27936938</v>
      </c>
      <c r="L31" s="20" t="n">
        <v>0.26969888</v>
      </c>
      <c r="M31" s="18" t="n">
        <v>0</v>
      </c>
      <c r="N31" s="20" t="n">
        <v>0</v>
      </c>
      <c r="O31" s="18" t="n">
        <v>0</v>
      </c>
      <c r="P31" s="20" t="n">
        <v>0</v>
      </c>
      <c r="Q31" s="18" t="n">
        <v>2.19374729</v>
      </c>
      <c r="R31" s="20" t="n">
        <v>0.84301199</v>
      </c>
    </row>
    <row r="32" spans="1:18">
      <c r="A32" s="15" t="s">
        <v>456</v>
      </c>
      <c r="B32" s="17" t="n">
        <v>2269</v>
      </c>
      <c r="C32" s="18">
        <f>(1891.0/B32*100)</f>
        <v/>
      </c>
      <c r="D32" s="19" t="n">
        <v>378</v>
      </c>
      <c r="E32" s="18" t="n">
        <v>53.92673219</v>
      </c>
      <c r="F32" s="20" t="n">
        <v>2.66316883</v>
      </c>
      <c r="G32" s="18" t="n">
        <v>43.54657282</v>
      </c>
      <c r="H32" s="20" t="n">
        <v>2.71799662</v>
      </c>
      <c r="I32" s="18" t="s">
        <v>431</v>
      </c>
      <c r="J32" s="20" t="s">
        <v>431</v>
      </c>
      <c r="K32" s="18" t="n">
        <v>0.27324371</v>
      </c>
      <c r="L32" s="20" t="n">
        <v>0.23809587</v>
      </c>
      <c r="M32" s="18" t="n">
        <v>0</v>
      </c>
      <c r="N32" s="20" t="n">
        <v>0</v>
      </c>
      <c r="O32" s="18" t="n">
        <v>0</v>
      </c>
      <c r="P32" s="20" t="n">
        <v>0</v>
      </c>
      <c r="Q32" s="18" t="n">
        <v>2.25345128</v>
      </c>
      <c r="R32" s="20" t="n">
        <v>0.75318734</v>
      </c>
    </row>
    <row r="33" spans="1:18">
      <c r="A33" s="15" t="s">
        <v>457</v>
      </c>
      <c r="B33" s="17" t="n">
        <v>3674</v>
      </c>
      <c r="C33" s="18">
        <f>(3231.0/B33*100)</f>
        <v/>
      </c>
      <c r="D33" s="19" t="n">
        <v>443</v>
      </c>
      <c r="E33" s="18" t="n">
        <v>67.31827943</v>
      </c>
      <c r="F33" s="20" t="n">
        <v>2.94950023</v>
      </c>
      <c r="G33" s="18" t="n">
        <v>31.92518826</v>
      </c>
      <c r="H33" s="20" t="n">
        <v>2.99486027</v>
      </c>
      <c r="I33" s="18" t="s">
        <v>431</v>
      </c>
      <c r="J33" s="20" t="s">
        <v>431</v>
      </c>
      <c r="K33" s="18" t="n">
        <v>0</v>
      </c>
      <c r="L33" s="20" t="n">
        <v>0</v>
      </c>
      <c r="M33" s="18" t="n">
        <v>0</v>
      </c>
      <c r="N33" s="20" t="n">
        <v>0</v>
      </c>
      <c r="O33" s="18" t="n">
        <v>0</v>
      </c>
      <c r="P33" s="20" t="n">
        <v>0</v>
      </c>
      <c r="Q33" s="18" t="n">
        <v>0.75653231</v>
      </c>
      <c r="R33" s="20" t="n">
        <v>0.46146545</v>
      </c>
    </row>
    <row r="34" spans="1:18">
      <c r="A34" s="15" t="s">
        <v>458</v>
      </c>
      <c r="B34" s="17" t="n">
        <v>3315</v>
      </c>
      <c r="C34" s="18">
        <f>(2913.0/B34*100)</f>
        <v/>
      </c>
      <c r="D34" s="19" t="n">
        <v>402</v>
      </c>
      <c r="E34" s="18" t="n">
        <v>52.91352188</v>
      </c>
      <c r="F34" s="20" t="n">
        <v>2.78046966</v>
      </c>
      <c r="G34" s="18" t="n">
        <v>44.74998036</v>
      </c>
      <c r="H34" s="20" t="n">
        <v>2.66202889</v>
      </c>
      <c r="I34" s="18" t="s">
        <v>431</v>
      </c>
      <c r="J34" s="20" t="s">
        <v>431</v>
      </c>
      <c r="K34" s="18" t="n">
        <v>0.19234024</v>
      </c>
      <c r="L34" s="20" t="n">
        <v>0.19146941</v>
      </c>
      <c r="M34" s="18" t="n">
        <v>0</v>
      </c>
      <c r="N34" s="20" t="n">
        <v>0</v>
      </c>
      <c r="O34" s="18" t="n">
        <v>0</v>
      </c>
      <c r="P34" s="20" t="n">
        <v>0</v>
      </c>
      <c r="Q34" s="18" t="n">
        <v>2.14415752</v>
      </c>
      <c r="R34" s="20" t="n">
        <v>0.80193816</v>
      </c>
    </row>
    <row r="35" spans="1:18">
      <c r="A35" s="15" t="s">
        <v>459</v>
      </c>
      <c r="B35" s="17" t="n">
        <v>3505</v>
      </c>
      <c r="C35" s="18">
        <f>(3084.0/B35*100)</f>
        <v/>
      </c>
      <c r="D35" s="19" t="n">
        <v>421</v>
      </c>
      <c r="E35" s="18" t="n">
        <v>48.58757208</v>
      </c>
      <c r="F35" s="20" t="n">
        <v>2.86023206</v>
      </c>
      <c r="G35" s="18" t="n">
        <v>48.95082311</v>
      </c>
      <c r="H35" s="20" t="n">
        <v>2.84095534</v>
      </c>
      <c r="I35" s="18" t="s">
        <v>431</v>
      </c>
      <c r="J35" s="20" t="s">
        <v>431</v>
      </c>
      <c r="K35" s="18" t="n">
        <v>0.13667915</v>
      </c>
      <c r="L35" s="20" t="n">
        <v>0.13515363</v>
      </c>
      <c r="M35" s="18" t="n">
        <v>0</v>
      </c>
      <c r="N35" s="20" t="n">
        <v>0</v>
      </c>
      <c r="O35" s="18" t="n">
        <v>0</v>
      </c>
      <c r="P35" s="20" t="n">
        <v>0</v>
      </c>
      <c r="Q35" s="18" t="n">
        <v>2.32492566</v>
      </c>
      <c r="R35" s="20" t="n">
        <v>0.66873688</v>
      </c>
    </row>
    <row r="36" spans="1:18">
      <c r="A36" s="15" t="s">
        <v>460</v>
      </c>
      <c r="B36" s="17" t="n">
        <v>3332</v>
      </c>
      <c r="C36" s="18">
        <f>(2919.0/B36*100)</f>
        <v/>
      </c>
      <c r="D36" s="19" t="n">
        <v>413</v>
      </c>
      <c r="E36" s="18" t="n">
        <v>62.02655231</v>
      </c>
      <c r="F36" s="20" t="n">
        <v>2.40719031</v>
      </c>
      <c r="G36" s="18" t="n">
        <v>35.42747899</v>
      </c>
      <c r="H36" s="20" t="n">
        <v>2.26669982</v>
      </c>
      <c r="I36" s="18" t="s">
        <v>431</v>
      </c>
      <c r="J36" s="20" t="s">
        <v>431</v>
      </c>
      <c r="K36" s="18" t="n">
        <v>0</v>
      </c>
      <c r="L36" s="20" t="n">
        <v>0</v>
      </c>
      <c r="M36" s="18" t="n">
        <v>0</v>
      </c>
      <c r="N36" s="20" t="n">
        <v>0</v>
      </c>
      <c r="O36" s="18" t="n">
        <v>0</v>
      </c>
      <c r="P36" s="20" t="n">
        <v>0</v>
      </c>
      <c r="Q36" s="18" t="n">
        <v>2.5459687</v>
      </c>
      <c r="R36" s="20" t="n">
        <v>0.69384253</v>
      </c>
    </row>
    <row r="37" spans="1:18">
      <c r="A37" s="15" t="s">
        <v>461</v>
      </c>
      <c r="B37" s="17" t="n">
        <v>2727</v>
      </c>
      <c r="C37" s="18">
        <f>(2386.0/B37*100)</f>
        <v/>
      </c>
      <c r="D37" s="19" t="n">
        <v>341</v>
      </c>
      <c r="E37" s="18" t="n">
        <v>50.15232674</v>
      </c>
      <c r="F37" s="20" t="n">
        <v>2.93479345</v>
      </c>
      <c r="G37" s="18" t="n">
        <v>43.57163803</v>
      </c>
      <c r="H37" s="20" t="n">
        <v>2.92480417</v>
      </c>
      <c r="I37" s="18" t="s">
        <v>431</v>
      </c>
      <c r="J37" s="20" t="s">
        <v>431</v>
      </c>
      <c r="K37" s="18" t="n">
        <v>1.35759011</v>
      </c>
      <c r="L37" s="20" t="n">
        <v>0.59082557</v>
      </c>
      <c r="M37" s="18" t="n">
        <v>0</v>
      </c>
      <c r="N37" s="20" t="n">
        <v>0</v>
      </c>
      <c r="O37" s="18" t="n">
        <v>0</v>
      </c>
      <c r="P37" s="20" t="n">
        <v>0</v>
      </c>
      <c r="Q37" s="18" t="n">
        <v>4.91844511</v>
      </c>
      <c r="R37" s="20" t="n">
        <v>1.3089137</v>
      </c>
    </row>
    <row r="38" spans="1:18">
      <c r="A38" s="15" t="s">
        <v>462</v>
      </c>
      <c r="B38" s="17" t="n">
        <v>3053</v>
      </c>
      <c r="C38" s="18">
        <f>(2511.0/B38*100)</f>
        <v/>
      </c>
      <c r="D38" s="19" t="n">
        <v>542</v>
      </c>
      <c r="E38" s="18" t="n">
        <v>55.08782308</v>
      </c>
      <c r="F38" s="20" t="n">
        <v>2.52798853</v>
      </c>
      <c r="G38" s="18" t="n">
        <v>40.09195898</v>
      </c>
      <c r="H38" s="20" t="n">
        <v>2.51704566</v>
      </c>
      <c r="I38" s="18" t="s">
        <v>431</v>
      </c>
      <c r="J38" s="20" t="s">
        <v>431</v>
      </c>
      <c r="K38" s="18" t="n">
        <v>0.36705889</v>
      </c>
      <c r="L38" s="20" t="n">
        <v>0.23667064</v>
      </c>
      <c r="M38" s="18" t="n">
        <v>0</v>
      </c>
      <c r="N38" s="20" t="n">
        <v>0</v>
      </c>
      <c r="O38" s="18" t="n">
        <v>0</v>
      </c>
      <c r="P38" s="20" t="n">
        <v>0</v>
      </c>
      <c r="Q38" s="18" t="n">
        <v>4.45315906</v>
      </c>
      <c r="R38" s="20" t="n">
        <v>1.12204484</v>
      </c>
    </row>
    <row r="39" spans="1:18">
      <c r="A39" s="15" t="s">
        <v>463</v>
      </c>
      <c r="B39" s="17" t="n">
        <v>2957</v>
      </c>
      <c r="C39" s="18">
        <f>(2586.0/B39*100)</f>
        <v/>
      </c>
      <c r="D39" s="19" t="n">
        <v>371</v>
      </c>
      <c r="E39" s="18" t="n">
        <v>73.50727311999999</v>
      </c>
      <c r="F39" s="20" t="n">
        <v>2.97115036</v>
      </c>
      <c r="G39" s="18" t="n">
        <v>24.41198105</v>
      </c>
      <c r="H39" s="20" t="n">
        <v>2.92450988</v>
      </c>
      <c r="I39" s="18" t="s">
        <v>431</v>
      </c>
      <c r="J39" s="20" t="s">
        <v>431</v>
      </c>
      <c r="K39" s="18" t="n">
        <v>0</v>
      </c>
      <c r="L39" s="20" t="n">
        <v>0</v>
      </c>
      <c r="M39" s="18" t="n">
        <v>0</v>
      </c>
      <c r="N39" s="20" t="n">
        <v>0</v>
      </c>
      <c r="O39" s="18" t="n">
        <v>0</v>
      </c>
      <c r="P39" s="20" t="n">
        <v>0</v>
      </c>
      <c r="Q39" s="18" t="n">
        <v>2.08074583</v>
      </c>
      <c r="R39" s="20" t="n">
        <v>0.69553833</v>
      </c>
    </row>
    <row r="40" spans="1:18">
      <c r="A40" s="15" t="s">
        <v>464</v>
      </c>
      <c r="B40" s="17" t="n">
        <v>7235</v>
      </c>
      <c r="C40" s="18">
        <f>(6333.0/B40*100)</f>
        <v/>
      </c>
      <c r="D40" s="19" t="n">
        <v>902</v>
      </c>
      <c r="E40" s="18" t="n">
        <v>67.33549247000001</v>
      </c>
      <c r="F40" s="20" t="n">
        <v>2.25912219</v>
      </c>
      <c r="G40" s="18" t="n">
        <v>28.03143749</v>
      </c>
      <c r="H40" s="20" t="n">
        <v>2.07110792</v>
      </c>
      <c r="I40" s="18" t="s">
        <v>431</v>
      </c>
      <c r="J40" s="20" t="s">
        <v>431</v>
      </c>
      <c r="K40" s="18" t="n">
        <v>0.16686974</v>
      </c>
      <c r="L40" s="20" t="n">
        <v>0.06685882999999999</v>
      </c>
      <c r="M40" s="18" t="n">
        <v>0</v>
      </c>
      <c r="N40" s="20" t="n">
        <v>0</v>
      </c>
      <c r="O40" s="18" t="n">
        <v>0</v>
      </c>
      <c r="P40" s="20" t="n">
        <v>0</v>
      </c>
      <c r="Q40" s="18" t="n">
        <v>4.46620029</v>
      </c>
      <c r="R40" s="20" t="n">
        <v>1.28700834</v>
      </c>
    </row>
    <row r="41" spans="1:18">
      <c r="A41" s="15" t="s">
        <v>465</v>
      </c>
      <c r="B41" s="17" t="n">
        <v>2858</v>
      </c>
      <c r="C41" s="18">
        <f>(2503.0/B41*100)</f>
        <v/>
      </c>
      <c r="D41" s="19" t="n">
        <v>355</v>
      </c>
      <c r="E41" s="18" t="n">
        <v>69.68198431</v>
      </c>
      <c r="F41" s="20" t="n">
        <v>2.34738992</v>
      </c>
      <c r="G41" s="18" t="n">
        <v>29.21414653</v>
      </c>
      <c r="H41" s="20" t="n">
        <v>2.32960131</v>
      </c>
      <c r="I41" s="18" t="s">
        <v>431</v>
      </c>
      <c r="J41" s="20" t="s">
        <v>431</v>
      </c>
      <c r="K41" s="18" t="n">
        <v>0</v>
      </c>
      <c r="L41" s="20" t="n">
        <v>0</v>
      </c>
      <c r="M41" s="18" t="n">
        <v>0</v>
      </c>
      <c r="N41" s="20" t="n">
        <v>0</v>
      </c>
      <c r="O41" s="18" t="n">
        <v>0</v>
      </c>
      <c r="P41" s="20" t="n">
        <v>0</v>
      </c>
      <c r="Q41" s="18" t="n">
        <v>1.10386916</v>
      </c>
      <c r="R41" s="20" t="n">
        <v>0.59497681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(4511.0/B48*100)</f>
        <v/>
      </c>
      <c r="D48" s="19" t="n">
        <v>648</v>
      </c>
      <c r="E48" s="18" t="n">
        <v>59.84215055</v>
      </c>
      <c r="F48" s="20" t="n">
        <v>2.56986527</v>
      </c>
      <c r="G48" s="18" t="n">
        <v>38.06232216</v>
      </c>
      <c r="H48" s="20" t="n">
        <v>2.49501082</v>
      </c>
      <c r="I48" s="18" t="s">
        <v>431</v>
      </c>
      <c r="J48" s="20" t="s">
        <v>431</v>
      </c>
      <c r="K48" s="18" t="n">
        <v>0.27416983</v>
      </c>
      <c r="L48" s="20" t="n">
        <v>0.28428573</v>
      </c>
      <c r="M48" s="18" t="n">
        <v>0</v>
      </c>
      <c r="N48" s="20" t="n">
        <v>0</v>
      </c>
      <c r="O48" s="18" t="n">
        <v>0</v>
      </c>
      <c r="P48" s="20" t="n">
        <v>0</v>
      </c>
      <c r="Q48" s="18" t="n">
        <v>1.82135746</v>
      </c>
      <c r="R48" s="20" t="n">
        <v>0.56547925</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(2453.0/B52*100)</f>
        <v/>
      </c>
      <c r="D52" s="19" t="n">
        <v>343</v>
      </c>
      <c r="E52" s="18" t="n">
        <v>58.07995326</v>
      </c>
      <c r="F52" s="20" t="n">
        <v>2.75405188</v>
      </c>
      <c r="G52" s="18" t="n">
        <v>39.47310437</v>
      </c>
      <c r="H52" s="20" t="n">
        <v>2.65823462</v>
      </c>
      <c r="I52" s="18" t="s">
        <v>431</v>
      </c>
      <c r="J52" s="20" t="s">
        <v>431</v>
      </c>
      <c r="K52" s="18" t="n">
        <v>0</v>
      </c>
      <c r="L52" s="20" t="n">
        <v>0</v>
      </c>
      <c r="M52" s="18" t="n">
        <v>0</v>
      </c>
      <c r="N52" s="20" t="n">
        <v>0</v>
      </c>
      <c r="O52" s="18" t="n">
        <v>0</v>
      </c>
      <c r="P52" s="20" t="n">
        <v>0</v>
      </c>
      <c r="Q52" s="18" t="n">
        <v>2.44694236</v>
      </c>
      <c r="R52" s="20" t="n">
        <v>0.85307745</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52.67169064</v>
      </c>
      <c r="F56" s="20" t="n">
        <v>3.05028136</v>
      </c>
      <c r="G56" s="18" t="n">
        <v>46.16370359</v>
      </c>
      <c r="H56" s="20" t="n">
        <v>3.27114133</v>
      </c>
      <c r="I56" s="18" t="s">
        <v>431</v>
      </c>
      <c r="J56" s="20" t="s">
        <v>431</v>
      </c>
      <c r="K56" s="18" t="n">
        <v>0</v>
      </c>
      <c r="L56" s="20" t="n">
        <v>0</v>
      </c>
      <c r="M56" s="18" t="n">
        <v>0</v>
      </c>
      <c r="N56" s="20" t="n">
        <v>0</v>
      </c>
      <c r="O56" s="18" t="n">
        <v>0</v>
      </c>
      <c r="P56" s="20" t="n">
        <v>0</v>
      </c>
      <c r="Q56" s="18" t="n">
        <v>1.16460577</v>
      </c>
      <c r="R56" s="20" t="n">
        <v>0.60876029</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(2892.0/B61*100)</f>
        <v/>
      </c>
      <c r="D61" s="19" t="n">
        <v>432</v>
      </c>
      <c r="E61" s="18" t="n">
        <v>56.95474586</v>
      </c>
      <c r="F61" s="20" t="n">
        <v>2.31984872</v>
      </c>
      <c r="G61" s="18" t="n">
        <v>42.20184287</v>
      </c>
      <c r="H61" s="20" t="n">
        <v>2.24370908</v>
      </c>
      <c r="I61" s="18" t="s">
        <v>431</v>
      </c>
      <c r="J61" s="20" t="s">
        <v>431</v>
      </c>
      <c r="K61" s="18" t="n">
        <v>0.0500422</v>
      </c>
      <c r="L61" s="20" t="n">
        <v>0.05004089</v>
      </c>
      <c r="M61" s="18" t="n">
        <v>0</v>
      </c>
      <c r="N61" s="20" t="n">
        <v>0</v>
      </c>
      <c r="O61" s="18" t="n">
        <v>0</v>
      </c>
      <c r="P61" s="20" t="n">
        <v>0</v>
      </c>
      <c r="Q61" s="18" t="n">
        <v>0.79336907</v>
      </c>
      <c r="R61" s="20" t="n">
        <v>0.45849811</v>
      </c>
    </row>
    <row r="62" spans="1:18">
      <c r="A62" s="15" t="s">
        <v>486</v>
      </c>
      <c r="B62" s="17" t="n">
        <v>2246</v>
      </c>
      <c r="C62" s="18">
        <f>(1966.0/B62*100)</f>
        <v/>
      </c>
      <c r="D62" s="19" t="n">
        <v>280</v>
      </c>
      <c r="E62" s="18" t="n">
        <v>64.60999456</v>
      </c>
      <c r="F62" s="20" t="n">
        <v>2.32039362</v>
      </c>
      <c r="G62" s="18" t="n">
        <v>34.31342859</v>
      </c>
      <c r="H62" s="20" t="n">
        <v>2.34475099</v>
      </c>
      <c r="I62" s="18" t="s">
        <v>431</v>
      </c>
      <c r="J62" s="20" t="s">
        <v>431</v>
      </c>
      <c r="K62" s="18" t="n">
        <v>0.36701419</v>
      </c>
      <c r="L62" s="20" t="n">
        <v>0.36550719</v>
      </c>
      <c r="M62" s="18" t="n">
        <v>0</v>
      </c>
      <c r="N62" s="20" t="n">
        <v>0</v>
      </c>
      <c r="O62" s="18" t="n">
        <v>0</v>
      </c>
      <c r="P62" s="20" t="n">
        <v>0</v>
      </c>
      <c r="Q62" s="18" t="n">
        <v>0.70956266</v>
      </c>
      <c r="R62" s="20" t="n">
        <v>0.50326026</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(2554.0/B66*100)</f>
        <v/>
      </c>
      <c r="D66" s="19" t="n">
        <v>340</v>
      </c>
      <c r="E66" s="18" t="n">
        <v>67.87234988</v>
      </c>
      <c r="F66" s="20" t="n">
        <v>2.30047555</v>
      </c>
      <c r="G66" s="18" t="n">
        <v>24.50529062</v>
      </c>
      <c r="H66" s="20" t="n">
        <v>2.18375304</v>
      </c>
      <c r="I66" s="18" t="s">
        <v>431</v>
      </c>
      <c r="J66" s="20" t="s">
        <v>431</v>
      </c>
      <c r="K66" s="18" t="n">
        <v>1.13510248</v>
      </c>
      <c r="L66" s="20" t="n">
        <v>0.57719357</v>
      </c>
      <c r="M66" s="18" t="n">
        <v>0</v>
      </c>
      <c r="N66" s="20" t="n">
        <v>0</v>
      </c>
      <c r="O66" s="18" t="n">
        <v>0</v>
      </c>
      <c r="P66" s="20" t="n">
        <v>0</v>
      </c>
      <c r="Q66" s="18" t="n">
        <v>6.48725701</v>
      </c>
      <c r="R66" s="20" t="n">
        <v>1.17578503</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(2581.0/B70*100)</f>
        <v/>
      </c>
      <c r="D70" s="19" t="n">
        <v>348</v>
      </c>
      <c r="E70" s="18" t="n">
        <v>54.19062424</v>
      </c>
      <c r="F70" s="20" t="n">
        <v>3.41901781</v>
      </c>
      <c r="G70" s="18" t="n">
        <v>44.07931025</v>
      </c>
      <c r="H70" s="20" t="n">
        <v>3.43149941</v>
      </c>
      <c r="I70" s="18" t="s">
        <v>431</v>
      </c>
      <c r="J70" s="20" t="s">
        <v>431</v>
      </c>
      <c r="K70" s="18" t="n">
        <v>0.50149708</v>
      </c>
      <c r="L70" s="20" t="n">
        <v>0.42240288</v>
      </c>
      <c r="M70" s="18" t="n">
        <v>0</v>
      </c>
      <c r="N70" s="20" t="n">
        <v>0</v>
      </c>
      <c r="O70" s="18" t="n">
        <v>0</v>
      </c>
      <c r="P70" s="20" t="n">
        <v>0</v>
      </c>
      <c r="Q70" s="18" t="n">
        <v>1.22856843</v>
      </c>
      <c r="R70" s="20" t="n">
        <v>0.6339695</v>
      </c>
    </row>
    <row r="71" spans="1:18">
      <c r="A71" s="15" t="s">
        <v>495</v>
      </c>
      <c r="B71" s="17" t="n">
        <v>3142</v>
      </c>
      <c r="C71" s="18">
        <f>(2763.0/B71*100)</f>
        <v/>
      </c>
      <c r="D71" s="19" t="n">
        <v>379</v>
      </c>
      <c r="E71" s="18" t="n">
        <v>51.93782568</v>
      </c>
      <c r="F71" s="20" t="n">
        <v>3.00575716</v>
      </c>
      <c r="G71" s="18" t="n">
        <v>46.21431257</v>
      </c>
      <c r="H71" s="20" t="n">
        <v>2.94806806</v>
      </c>
      <c r="I71" s="18" t="s">
        <v>431</v>
      </c>
      <c r="J71" s="20" t="s">
        <v>431</v>
      </c>
      <c r="K71" s="18" t="n">
        <v>0.98212823</v>
      </c>
      <c r="L71" s="20" t="n">
        <v>0.47655404</v>
      </c>
      <c r="M71" s="18" t="n">
        <v>0</v>
      </c>
      <c r="N71" s="20" t="n">
        <v>0</v>
      </c>
      <c r="O71" s="18" t="n">
        <v>0</v>
      </c>
      <c r="P71" s="20" t="n">
        <v>0</v>
      </c>
      <c r="Q71" s="18" t="n">
        <v>0.86573352</v>
      </c>
      <c r="R71" s="20" t="n">
        <v>0.49403756</v>
      </c>
    </row>
    <row r="72" spans="1:18">
      <c r="A72" s="15" t="s">
        <v>496</v>
      </c>
      <c r="B72" s="17" t="n">
        <v>3889</v>
      </c>
      <c r="C72" s="18">
        <f>(3415.0/B72*100)</f>
        <v/>
      </c>
      <c r="D72" s="19" t="n">
        <v>474</v>
      </c>
      <c r="E72" s="18" t="n">
        <v>62.80829059</v>
      </c>
      <c r="F72" s="20" t="n">
        <v>2.28376612</v>
      </c>
      <c r="G72" s="18" t="n">
        <v>35.5243425</v>
      </c>
      <c r="H72" s="20" t="n">
        <v>2.15757275</v>
      </c>
      <c r="I72" s="18" t="s">
        <v>431</v>
      </c>
      <c r="J72" s="20" t="s">
        <v>431</v>
      </c>
      <c r="K72" s="18" t="n">
        <v>0.165327</v>
      </c>
      <c r="L72" s="20" t="n">
        <v>0.16586649</v>
      </c>
      <c r="M72" s="18" t="n">
        <v>0</v>
      </c>
      <c r="N72" s="20" t="n">
        <v>0</v>
      </c>
      <c r="O72" s="18" t="n">
        <v>0</v>
      </c>
      <c r="P72" s="20" t="n">
        <v>0</v>
      </c>
      <c r="Q72" s="18" t="n">
        <v>1.50203991</v>
      </c>
      <c r="R72" s="20" t="n">
        <v>0.6270476699999999</v>
      </c>
    </row>
    <row r="73" spans="1:18">
      <c r="A73" s="15" t="s">
        <v>497</v>
      </c>
      <c r="B73" s="17" t="n">
        <v>3597</v>
      </c>
      <c r="C73" s="18">
        <f>(3151.0/B73*100)</f>
        <v/>
      </c>
      <c r="D73" s="19" t="n">
        <v>446</v>
      </c>
      <c r="E73" s="18" t="n">
        <v>82.26570533</v>
      </c>
      <c r="F73" s="20" t="n">
        <v>2.1199392</v>
      </c>
      <c r="G73" s="18" t="n">
        <v>17.40247745</v>
      </c>
      <c r="H73" s="20" t="n">
        <v>2.18951468</v>
      </c>
      <c r="I73" s="18" t="s">
        <v>431</v>
      </c>
      <c r="J73" s="20" t="s">
        <v>431</v>
      </c>
      <c r="K73" s="18" t="n">
        <v>0</v>
      </c>
      <c r="L73" s="20" t="n">
        <v>0</v>
      </c>
      <c r="M73" s="18" t="n">
        <v>0</v>
      </c>
      <c r="N73" s="20" t="n">
        <v>0</v>
      </c>
      <c r="O73" s="18" t="n">
        <v>0</v>
      </c>
      <c r="P73" s="20" t="n">
        <v>0</v>
      </c>
      <c r="Q73" s="18" t="n">
        <v>0.33181722</v>
      </c>
      <c r="R73" s="20" t="n">
        <v>0.32506308</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(6442.0/B7*100)</f>
        <v/>
      </c>
      <c r="D7" s="19" t="n">
        <v>925</v>
      </c>
      <c r="E7" s="18" t="n">
        <v>50.08308357</v>
      </c>
      <c r="F7" s="20" t="n">
        <v>1.94579647</v>
      </c>
      <c r="G7" s="18" t="n">
        <v>48.88608829</v>
      </c>
      <c r="H7" s="20" t="n">
        <v>1.93797706</v>
      </c>
      <c r="I7" s="18" t="s">
        <v>431</v>
      </c>
      <c r="J7" s="20" t="s">
        <v>431</v>
      </c>
      <c r="K7" s="18" t="n">
        <v>0.41855832</v>
      </c>
      <c r="L7" s="20" t="n">
        <v>0.20520048</v>
      </c>
      <c r="M7" s="18" t="n">
        <v>0</v>
      </c>
      <c r="N7" s="20" t="n">
        <v>0</v>
      </c>
      <c r="O7" s="18" t="n">
        <v>0</v>
      </c>
      <c r="P7" s="20" t="n">
        <v>0</v>
      </c>
      <c r="Q7" s="18" t="n">
        <v>0.61226982</v>
      </c>
      <c r="R7" s="20" t="n">
        <v>0.35881586</v>
      </c>
    </row>
    <row r="8" spans="1:18">
      <c r="A8" s="15" t="s">
        <v>432</v>
      </c>
      <c r="B8" s="17" t="n">
        <v>3564</v>
      </c>
      <c r="C8" s="18">
        <f>(3145.0/B8*100)</f>
        <v/>
      </c>
      <c r="D8" s="19" t="n">
        <v>419</v>
      </c>
      <c r="E8" s="18" t="n">
        <v>32.80566642</v>
      </c>
      <c r="F8" s="20" t="n">
        <v>2.19522412</v>
      </c>
      <c r="G8" s="18" t="n">
        <v>65.44799888</v>
      </c>
      <c r="H8" s="20" t="n">
        <v>2.13873131</v>
      </c>
      <c r="I8" s="18" t="s">
        <v>431</v>
      </c>
      <c r="J8" s="20" t="s">
        <v>431</v>
      </c>
      <c r="K8" s="18" t="n">
        <v>0</v>
      </c>
      <c r="L8" s="20" t="n">
        <v>0</v>
      </c>
      <c r="M8" s="18" t="n">
        <v>0</v>
      </c>
      <c r="N8" s="20" t="n">
        <v>0</v>
      </c>
      <c r="O8" s="18" t="n">
        <v>0</v>
      </c>
      <c r="P8" s="20" t="n">
        <v>0</v>
      </c>
      <c r="Q8" s="18" t="n">
        <v>1.7463347</v>
      </c>
      <c r="R8" s="20" t="n">
        <v>0.71032588</v>
      </c>
    </row>
    <row r="9" spans="1:18">
      <c r="A9" s="15" t="s">
        <v>433</v>
      </c>
      <c r="B9" s="17" t="n">
        <v>4899</v>
      </c>
      <c r="C9" s="18">
        <f>(4298.0/B9*100)</f>
        <v/>
      </c>
      <c r="D9" s="19" t="n">
        <v>601</v>
      </c>
      <c r="E9" s="18" t="n">
        <v>33.5628886</v>
      </c>
      <c r="F9" s="20" t="n">
        <v>1.96098173</v>
      </c>
      <c r="G9" s="18" t="n">
        <v>66.1807173</v>
      </c>
      <c r="H9" s="20" t="n">
        <v>1.98753283</v>
      </c>
      <c r="I9" s="18" t="s">
        <v>431</v>
      </c>
      <c r="J9" s="20" t="s">
        <v>431</v>
      </c>
      <c r="K9" s="18" t="n">
        <v>0</v>
      </c>
      <c r="L9" s="20" t="n">
        <v>0</v>
      </c>
      <c r="M9" s="18" t="n">
        <v>0</v>
      </c>
      <c r="N9" s="20" t="n">
        <v>0</v>
      </c>
      <c r="O9" s="18" t="n">
        <v>0</v>
      </c>
      <c r="P9" s="20" t="n">
        <v>0</v>
      </c>
      <c r="Q9" s="18" t="n">
        <v>0.2563941</v>
      </c>
      <c r="R9" s="20" t="n">
        <v>0.18054228</v>
      </c>
    </row>
    <row r="10" spans="1:18">
      <c r="A10" s="15" t="s">
        <v>434</v>
      </c>
      <c r="B10" s="17" t="n">
        <v>10036</v>
      </c>
      <c r="C10" s="18">
        <f>(8832.0/B10*100)</f>
        <v/>
      </c>
      <c r="D10" s="19" t="n">
        <v>1204</v>
      </c>
      <c r="E10" s="18" t="n">
        <v>45.02236251</v>
      </c>
      <c r="F10" s="20" t="n">
        <v>2.20471833</v>
      </c>
      <c r="G10" s="18" t="n">
        <v>53.61630838</v>
      </c>
      <c r="H10" s="20" t="n">
        <v>2.24647672</v>
      </c>
      <c r="I10" s="18" t="s">
        <v>431</v>
      </c>
      <c r="J10" s="20" t="s">
        <v>431</v>
      </c>
      <c r="K10" s="18" t="n">
        <v>0.72907536</v>
      </c>
      <c r="L10" s="20" t="n">
        <v>0.34916656</v>
      </c>
      <c r="M10" s="18" t="n">
        <v>0</v>
      </c>
      <c r="N10" s="20" t="n">
        <v>0</v>
      </c>
      <c r="O10" s="18" t="n">
        <v>0</v>
      </c>
      <c r="P10" s="20" t="n">
        <v>0</v>
      </c>
      <c r="Q10" s="18" t="n">
        <v>0.6322537499999999</v>
      </c>
      <c r="R10" s="20" t="n">
        <v>0.31469928</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(3042.0/B12*100)</f>
        <v/>
      </c>
      <c r="D12" s="19" t="n">
        <v>430</v>
      </c>
      <c r="E12" s="18" t="n">
        <v>33.25090203</v>
      </c>
      <c r="F12" s="20" t="n">
        <v>2.68749436</v>
      </c>
      <c r="G12" s="18" t="n">
        <v>66.74909796999999</v>
      </c>
      <c r="H12" s="20" t="n">
        <v>2.68749436</v>
      </c>
      <c r="I12" s="18" t="s">
        <v>431</v>
      </c>
      <c r="J12" s="20" t="s">
        <v>431</v>
      </c>
      <c r="K12" s="18" t="n">
        <v>0</v>
      </c>
      <c r="L12" s="20" t="n">
        <v>0</v>
      </c>
      <c r="M12" s="18" t="n">
        <v>0</v>
      </c>
      <c r="N12" s="20" t="n">
        <v>0</v>
      </c>
      <c r="O12" s="18" t="n">
        <v>0</v>
      </c>
      <c r="P12" s="20" t="n">
        <v>0</v>
      </c>
      <c r="Q12" s="18" t="n">
        <v>0</v>
      </c>
      <c r="R12" s="20" t="n">
        <v>0</v>
      </c>
    </row>
    <row r="13" spans="1:18">
      <c r="A13" s="15" t="s">
        <v>437</v>
      </c>
      <c r="B13" s="17" t="n">
        <v>3559</v>
      </c>
      <c r="C13" s="18">
        <f>(3143.0/B13*100)</f>
        <v/>
      </c>
      <c r="D13" s="19" t="n">
        <v>416</v>
      </c>
      <c r="E13" s="18" t="n">
        <v>32.6451029</v>
      </c>
      <c r="F13" s="20" t="n">
        <v>2.86330934</v>
      </c>
      <c r="G13" s="18" t="n">
        <v>66.95942831000001</v>
      </c>
      <c r="H13" s="20" t="n">
        <v>2.82594262</v>
      </c>
      <c r="I13" s="18" t="s">
        <v>431</v>
      </c>
      <c r="J13" s="20" t="s">
        <v>431</v>
      </c>
      <c r="K13" s="18" t="n">
        <v>0.2420034</v>
      </c>
      <c r="L13" s="20" t="n">
        <v>0.18197493</v>
      </c>
      <c r="M13" s="18" t="n">
        <v>0</v>
      </c>
      <c r="N13" s="20" t="n">
        <v>0</v>
      </c>
      <c r="O13" s="18" t="n">
        <v>0</v>
      </c>
      <c r="P13" s="20" t="n">
        <v>0</v>
      </c>
      <c r="Q13" s="18" t="n">
        <v>0.15346539</v>
      </c>
      <c r="R13" s="20" t="n">
        <v>0.15976798</v>
      </c>
    </row>
    <row r="14" spans="1:18">
      <c r="A14" s="15" t="s">
        <v>438</v>
      </c>
      <c r="B14" s="17" t="n">
        <v>2799</v>
      </c>
      <c r="C14" s="18">
        <f>(2454.0/B14*100)</f>
        <v/>
      </c>
      <c r="D14" s="19" t="n">
        <v>345</v>
      </c>
      <c r="E14" s="18" t="n">
        <v>37.72933011</v>
      </c>
      <c r="F14" s="20" t="n">
        <v>3.17979031</v>
      </c>
      <c r="G14" s="18" t="n">
        <v>62.04561222</v>
      </c>
      <c r="H14" s="20" t="n">
        <v>3.15235818</v>
      </c>
      <c r="I14" s="18" t="s">
        <v>431</v>
      </c>
      <c r="J14" s="20" t="s">
        <v>431</v>
      </c>
      <c r="K14" s="18" t="n">
        <v>0</v>
      </c>
      <c r="L14" s="20" t="n">
        <v>0</v>
      </c>
      <c r="M14" s="18" t="n">
        <v>0</v>
      </c>
      <c r="N14" s="20" t="n">
        <v>0</v>
      </c>
      <c r="O14" s="18" t="n">
        <v>0</v>
      </c>
      <c r="P14" s="20" t="n">
        <v>0</v>
      </c>
      <c r="Q14" s="18" t="n">
        <v>0.22505766</v>
      </c>
      <c r="R14" s="20" t="n">
        <v>0.22483731</v>
      </c>
    </row>
    <row r="15" spans="1:18">
      <c r="A15" s="15" t="s">
        <v>439</v>
      </c>
      <c r="B15" s="17" t="n">
        <v>3019</v>
      </c>
      <c r="C15" s="18">
        <f>(2644.0/B15*100)</f>
        <v/>
      </c>
      <c r="D15" s="19" t="n">
        <v>375</v>
      </c>
      <c r="E15" s="18" t="n">
        <v>24.70342793</v>
      </c>
      <c r="F15" s="20" t="n">
        <v>2.39228806</v>
      </c>
      <c r="G15" s="18" t="n">
        <v>74.5336209</v>
      </c>
      <c r="H15" s="20" t="n">
        <v>2.39824146</v>
      </c>
      <c r="I15" s="18" t="s">
        <v>431</v>
      </c>
      <c r="J15" s="20" t="s">
        <v>431</v>
      </c>
      <c r="K15" s="18" t="n">
        <v>0.76295117</v>
      </c>
      <c r="L15" s="20" t="n">
        <v>0.44546663</v>
      </c>
      <c r="M15" s="18" t="n">
        <v>0</v>
      </c>
      <c r="N15" s="20" t="n">
        <v>0</v>
      </c>
      <c r="O15" s="18" t="n">
        <v>0</v>
      </c>
      <c r="P15" s="20" t="n">
        <v>0</v>
      </c>
      <c r="Q15" s="18" t="n">
        <v>0</v>
      </c>
      <c r="R15" s="20" t="n">
        <v>0</v>
      </c>
    </row>
    <row r="16" spans="1:18">
      <c r="A16" s="15" t="s">
        <v>440</v>
      </c>
      <c r="B16" s="17" t="n">
        <v>2997</v>
      </c>
      <c r="C16" s="18">
        <f>(2618.0/B16*100)</f>
        <v/>
      </c>
      <c r="D16" s="19" t="n">
        <v>379</v>
      </c>
      <c r="E16" s="18" t="n">
        <v>38.32710114</v>
      </c>
      <c r="F16" s="20" t="n">
        <v>2.41303042</v>
      </c>
      <c r="G16" s="18" t="n">
        <v>59.99072334</v>
      </c>
      <c r="H16" s="20" t="n">
        <v>2.48159281</v>
      </c>
      <c r="I16" s="18" t="s">
        <v>431</v>
      </c>
      <c r="J16" s="20" t="s">
        <v>431</v>
      </c>
      <c r="K16" s="18" t="n">
        <v>0.9113651</v>
      </c>
      <c r="L16" s="20" t="n">
        <v>0.5259438</v>
      </c>
      <c r="M16" s="18" t="n">
        <v>0</v>
      </c>
      <c r="N16" s="20" t="n">
        <v>0</v>
      </c>
      <c r="O16" s="18" t="n">
        <v>0</v>
      </c>
      <c r="P16" s="20" t="n">
        <v>0</v>
      </c>
      <c r="Q16" s="18" t="n">
        <v>0.77081042</v>
      </c>
      <c r="R16" s="20" t="n">
        <v>0.41024419</v>
      </c>
    </row>
    <row r="17" spans="1:18">
      <c r="A17" s="15" t="s">
        <v>441</v>
      </c>
      <c r="B17" s="17" t="n">
        <v>3307</v>
      </c>
      <c r="C17" s="18">
        <f>(2912.0/B17*100)</f>
        <v/>
      </c>
      <c r="D17" s="19" t="n">
        <v>395</v>
      </c>
      <c r="E17" s="18" t="n">
        <v>23.05203094</v>
      </c>
      <c r="F17" s="20" t="n">
        <v>2.32675331</v>
      </c>
      <c r="G17" s="18" t="n">
        <v>75.48044353</v>
      </c>
      <c r="H17" s="20" t="n">
        <v>2.43293564</v>
      </c>
      <c r="I17" s="18" t="s">
        <v>431</v>
      </c>
      <c r="J17" s="20" t="s">
        <v>431</v>
      </c>
      <c r="K17" s="18" t="n">
        <v>0.78961526</v>
      </c>
      <c r="L17" s="20" t="n">
        <v>0.44843167</v>
      </c>
      <c r="M17" s="18" t="n">
        <v>0</v>
      </c>
      <c r="N17" s="20" t="n">
        <v>0</v>
      </c>
      <c r="O17" s="18" t="n">
        <v>0</v>
      </c>
      <c r="P17" s="20" t="n">
        <v>0</v>
      </c>
      <c r="Q17" s="18" t="n">
        <v>0.67791027</v>
      </c>
      <c r="R17" s="20" t="n">
        <v>0.37767437</v>
      </c>
    </row>
    <row r="18" spans="1:18">
      <c r="A18" s="15" t="s">
        <v>442</v>
      </c>
      <c r="B18" s="17" t="n">
        <v>2826</v>
      </c>
      <c r="C18" s="18">
        <f>(2475.0/B18*100)</f>
        <v/>
      </c>
      <c r="D18" s="19" t="n">
        <v>351</v>
      </c>
      <c r="E18" s="18" t="n">
        <v>57.83456088</v>
      </c>
      <c r="F18" s="20" t="n">
        <v>2.95831597</v>
      </c>
      <c r="G18" s="18" t="n">
        <v>40.85427019</v>
      </c>
      <c r="H18" s="20" t="n">
        <v>3.00303225</v>
      </c>
      <c r="I18" s="18" t="s">
        <v>431</v>
      </c>
      <c r="J18" s="20" t="s">
        <v>431</v>
      </c>
      <c r="K18" s="18" t="n">
        <v>0</v>
      </c>
      <c r="L18" s="20" t="n">
        <v>0</v>
      </c>
      <c r="M18" s="18" t="n">
        <v>0</v>
      </c>
      <c r="N18" s="20" t="n">
        <v>0</v>
      </c>
      <c r="O18" s="18" t="n">
        <v>0</v>
      </c>
      <c r="P18" s="20" t="n">
        <v>0</v>
      </c>
      <c r="Q18" s="18" t="n">
        <v>1.31116893</v>
      </c>
      <c r="R18" s="20" t="n">
        <v>0.57902026</v>
      </c>
    </row>
    <row r="19" spans="1:18">
      <c r="A19" s="15" t="s">
        <v>443</v>
      </c>
      <c r="B19" s="17" t="n">
        <v>2808</v>
      </c>
      <c r="C19" s="18">
        <f>(2465.0/B19*100)</f>
        <v/>
      </c>
      <c r="D19" s="19" t="n">
        <v>343</v>
      </c>
      <c r="E19" s="18" t="n">
        <v>35.17204831</v>
      </c>
      <c r="F19" s="20" t="n">
        <v>2.54247269</v>
      </c>
      <c r="G19" s="18" t="n">
        <v>63.62976379</v>
      </c>
      <c r="H19" s="20" t="n">
        <v>2.61188724</v>
      </c>
      <c r="I19" s="18" t="s">
        <v>431</v>
      </c>
      <c r="J19" s="20" t="s">
        <v>431</v>
      </c>
      <c r="K19" s="18" t="n">
        <v>0</v>
      </c>
      <c r="L19" s="20" t="n">
        <v>0</v>
      </c>
      <c r="M19" s="18" t="n">
        <v>0</v>
      </c>
      <c r="N19" s="20" t="n">
        <v>0</v>
      </c>
      <c r="O19" s="18" t="n">
        <v>0</v>
      </c>
      <c r="P19" s="20" t="n">
        <v>0</v>
      </c>
      <c r="Q19" s="18" t="n">
        <v>1.19818789</v>
      </c>
      <c r="R19" s="20" t="n">
        <v>0.75529588</v>
      </c>
    </row>
    <row r="20" spans="1:18">
      <c r="A20" s="15" t="s">
        <v>444</v>
      </c>
      <c r="B20" s="17" t="n">
        <v>1630</v>
      </c>
      <c r="C20" s="18">
        <f>(1444.0/B20*100)</f>
        <v/>
      </c>
      <c r="D20" s="19" t="n">
        <v>186</v>
      </c>
      <c r="E20" s="18" t="n">
        <v>45.4121263</v>
      </c>
      <c r="F20" s="20" t="n">
        <v>3.76098013</v>
      </c>
      <c r="G20" s="18" t="n">
        <v>53.531246</v>
      </c>
      <c r="H20" s="20" t="n">
        <v>3.81380574</v>
      </c>
      <c r="I20" s="18" t="s">
        <v>431</v>
      </c>
      <c r="J20" s="20" t="s">
        <v>431</v>
      </c>
      <c r="K20" s="18" t="n">
        <v>0</v>
      </c>
      <c r="L20" s="20" t="n">
        <v>0</v>
      </c>
      <c r="M20" s="18" t="n">
        <v>0</v>
      </c>
      <c r="N20" s="20" t="n">
        <v>0</v>
      </c>
      <c r="O20" s="18" t="n">
        <v>0</v>
      </c>
      <c r="P20" s="20" t="n">
        <v>0</v>
      </c>
      <c r="Q20" s="18" t="n">
        <v>1.0566277</v>
      </c>
      <c r="R20" s="20" t="n">
        <v>0.73938116</v>
      </c>
    </row>
    <row r="21" spans="1:18">
      <c r="A21" s="15" t="s">
        <v>445</v>
      </c>
      <c r="B21" s="17" t="n">
        <v>2908</v>
      </c>
      <c r="C21" s="18">
        <f>(2420.0/B21*100)</f>
        <v/>
      </c>
      <c r="D21" s="19" t="n">
        <v>488</v>
      </c>
      <c r="E21" s="18" t="n">
        <v>39.79331278</v>
      </c>
      <c r="F21" s="20" t="n">
        <v>2.2963147</v>
      </c>
      <c r="G21" s="18" t="n">
        <v>59.84502661</v>
      </c>
      <c r="H21" s="20" t="n">
        <v>2.2915003</v>
      </c>
      <c r="I21" s="18" t="s">
        <v>431</v>
      </c>
      <c r="J21" s="20" t="s">
        <v>431</v>
      </c>
      <c r="K21" s="18" t="n">
        <v>0</v>
      </c>
      <c r="L21" s="20" t="n">
        <v>0</v>
      </c>
      <c r="M21" s="18" t="n">
        <v>0</v>
      </c>
      <c r="N21" s="20" t="n">
        <v>0</v>
      </c>
      <c r="O21" s="18" t="n">
        <v>0</v>
      </c>
      <c r="P21" s="20" t="n">
        <v>0</v>
      </c>
      <c r="Q21" s="18" t="n">
        <v>0.36166061</v>
      </c>
      <c r="R21" s="20" t="n">
        <v>0.26645505</v>
      </c>
    </row>
    <row r="22" spans="1:18">
      <c r="A22" s="15" t="s">
        <v>446</v>
      </c>
      <c r="B22" s="17" t="n">
        <v>2931</v>
      </c>
      <c r="C22" s="18">
        <f>(2592.0/B22*100)</f>
        <v/>
      </c>
      <c r="D22" s="19" t="n">
        <v>339</v>
      </c>
      <c r="E22" s="18" t="n">
        <v>50.27139751</v>
      </c>
      <c r="F22" s="20" t="n">
        <v>2.55842631</v>
      </c>
      <c r="G22" s="18" t="n">
        <v>46.72163834</v>
      </c>
      <c r="H22" s="20" t="n">
        <v>2.71483827</v>
      </c>
      <c r="I22" s="18" t="s">
        <v>431</v>
      </c>
      <c r="J22" s="20" t="s">
        <v>431</v>
      </c>
      <c r="K22" s="18" t="n">
        <v>2.01967507</v>
      </c>
      <c r="L22" s="20" t="n">
        <v>0.82868256</v>
      </c>
      <c r="M22" s="18" t="n">
        <v>0</v>
      </c>
      <c r="N22" s="20" t="n">
        <v>0</v>
      </c>
      <c r="O22" s="18" t="n">
        <v>0</v>
      </c>
      <c r="P22" s="20" t="n">
        <v>0</v>
      </c>
      <c r="Q22" s="18" t="n">
        <v>0.98728908</v>
      </c>
      <c r="R22" s="20" t="n">
        <v>0.5006124</v>
      </c>
    </row>
    <row r="23" spans="1:18">
      <c r="A23" s="15" t="s">
        <v>447</v>
      </c>
      <c r="B23" s="17" t="n">
        <v>5791</v>
      </c>
      <c r="C23" s="18">
        <f>(5111.0/B23*100)</f>
        <v/>
      </c>
      <c r="D23" s="19" t="n">
        <v>680</v>
      </c>
      <c r="E23" s="18" t="n">
        <v>39.8776964</v>
      </c>
      <c r="F23" s="20" t="n">
        <v>2.08671875</v>
      </c>
      <c r="G23" s="18" t="n">
        <v>59.04958221</v>
      </c>
      <c r="H23" s="20" t="n">
        <v>2.01848249</v>
      </c>
      <c r="I23" s="18" t="s">
        <v>431</v>
      </c>
      <c r="J23" s="20" t="s">
        <v>431</v>
      </c>
      <c r="K23" s="18" t="n">
        <v>0.94899035</v>
      </c>
      <c r="L23" s="20" t="n">
        <v>0.48680297</v>
      </c>
      <c r="M23" s="18" t="n">
        <v>0</v>
      </c>
      <c r="N23" s="20" t="n">
        <v>0</v>
      </c>
      <c r="O23" s="18" t="n">
        <v>0</v>
      </c>
      <c r="P23" s="20" t="n">
        <v>0</v>
      </c>
      <c r="Q23" s="18" t="n">
        <v>0.12373104</v>
      </c>
      <c r="R23" s="20" t="n">
        <v>0.08253167</v>
      </c>
    </row>
    <row r="24" spans="1:18">
      <c r="A24" s="15" t="s">
        <v>448</v>
      </c>
      <c r="B24" s="17" t="n">
        <v>3338</v>
      </c>
      <c r="C24" s="18">
        <f>(2925.0/B24*100)</f>
        <v/>
      </c>
      <c r="D24" s="19" t="n">
        <v>413</v>
      </c>
      <c r="E24" s="18" t="n">
        <v>47.46038364</v>
      </c>
      <c r="F24" s="20" t="n">
        <v>2.75888726</v>
      </c>
      <c r="G24" s="18" t="n">
        <v>51.59976509</v>
      </c>
      <c r="H24" s="20" t="n">
        <v>2.74733387</v>
      </c>
      <c r="I24" s="18" t="s">
        <v>431</v>
      </c>
      <c r="J24" s="20" t="s">
        <v>431</v>
      </c>
      <c r="K24" s="18" t="n">
        <v>0.20149755</v>
      </c>
      <c r="L24" s="20" t="n">
        <v>0.20128995</v>
      </c>
      <c r="M24" s="18" t="n">
        <v>0</v>
      </c>
      <c r="N24" s="20" t="n">
        <v>0</v>
      </c>
      <c r="O24" s="18" t="n">
        <v>0</v>
      </c>
      <c r="P24" s="20" t="n">
        <v>0</v>
      </c>
      <c r="Q24" s="18" t="n">
        <v>0.73835372</v>
      </c>
      <c r="R24" s="20" t="n">
        <v>0.42099333</v>
      </c>
    </row>
    <row r="25" spans="1:18">
      <c r="A25" s="15" t="s">
        <v>449</v>
      </c>
      <c r="B25" s="17" t="n">
        <v>2912</v>
      </c>
      <c r="C25" s="18">
        <f>(2547.0/B25*100)</f>
        <v/>
      </c>
      <c r="D25" s="19" t="n">
        <v>365</v>
      </c>
      <c r="E25" s="18" t="n">
        <v>27.5774125</v>
      </c>
      <c r="F25" s="20" t="n">
        <v>2.58635648</v>
      </c>
      <c r="G25" s="18" t="n">
        <v>72.42258750000001</v>
      </c>
      <c r="H25" s="20" t="n">
        <v>2.58635648</v>
      </c>
      <c r="I25" s="18" t="s">
        <v>431</v>
      </c>
      <c r="J25" s="20" t="s">
        <v>431</v>
      </c>
      <c r="K25" s="18" t="n">
        <v>0</v>
      </c>
      <c r="L25" s="20" t="n">
        <v>0</v>
      </c>
      <c r="M25" s="18" t="n">
        <v>0</v>
      </c>
      <c r="N25" s="20" t="n">
        <v>0</v>
      </c>
      <c r="O25" s="18" t="n">
        <v>0</v>
      </c>
      <c r="P25" s="20" t="n">
        <v>0</v>
      </c>
      <c r="Q25" s="18" t="n">
        <v>0</v>
      </c>
      <c r="R25" s="20" t="n">
        <v>0</v>
      </c>
    </row>
    <row r="26" spans="1:18">
      <c r="A26" s="15" t="s">
        <v>450</v>
      </c>
      <c r="B26" s="17" t="n">
        <v>2450</v>
      </c>
      <c r="C26" s="18">
        <f>(2153.0/B26*100)</f>
        <v/>
      </c>
      <c r="D26" s="19" t="n">
        <v>297</v>
      </c>
      <c r="E26" s="18" t="n">
        <v>60.42523786</v>
      </c>
      <c r="F26" s="20" t="n">
        <v>2.75555964</v>
      </c>
      <c r="G26" s="18" t="n">
        <v>39.57476214</v>
      </c>
      <c r="H26" s="20" t="n">
        <v>2.75555964</v>
      </c>
      <c r="I26" s="18" t="s">
        <v>431</v>
      </c>
      <c r="J26" s="20" t="s">
        <v>431</v>
      </c>
      <c r="K26" s="18" t="n">
        <v>0</v>
      </c>
      <c r="L26" s="20" t="n">
        <v>0</v>
      </c>
      <c r="M26" s="18" t="n">
        <v>0</v>
      </c>
      <c r="N26" s="20" t="n">
        <v>0</v>
      </c>
      <c r="O26" s="18" t="n">
        <v>0</v>
      </c>
      <c r="P26" s="20" t="n">
        <v>0</v>
      </c>
      <c r="Q26" s="18" t="n">
        <v>0</v>
      </c>
      <c r="R26" s="20" t="n">
        <v>0</v>
      </c>
    </row>
    <row r="27" spans="1:18">
      <c r="A27" s="15" t="s">
        <v>451</v>
      </c>
      <c r="B27" s="17" t="n">
        <v>2616</v>
      </c>
      <c r="C27" s="18">
        <f>(2290.0/B27*100)</f>
        <v/>
      </c>
      <c r="D27" s="19" t="n">
        <v>326</v>
      </c>
      <c r="E27" s="18" t="n">
        <v>38.58115501</v>
      </c>
      <c r="F27" s="20" t="n">
        <v>2.95328729</v>
      </c>
      <c r="G27" s="18" t="n">
        <v>61.11334004</v>
      </c>
      <c r="H27" s="20" t="n">
        <v>2.92918245</v>
      </c>
      <c r="I27" s="18" t="s">
        <v>431</v>
      </c>
      <c r="J27" s="20" t="s">
        <v>431</v>
      </c>
      <c r="K27" s="18" t="n">
        <v>0.30550495</v>
      </c>
      <c r="L27" s="20" t="n">
        <v>0.30794766</v>
      </c>
      <c r="M27" s="18" t="n">
        <v>0</v>
      </c>
      <c r="N27" s="20" t="n">
        <v>0</v>
      </c>
      <c r="O27" s="18" t="n">
        <v>0</v>
      </c>
      <c r="P27" s="20" t="n">
        <v>0</v>
      </c>
      <c r="Q27" s="18" t="n">
        <v>0</v>
      </c>
      <c r="R27" s="20" t="n">
        <v>0</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28.50755806</v>
      </c>
      <c r="F29" s="20" t="n">
        <v>2.67056823</v>
      </c>
      <c r="G29" s="18" t="n">
        <v>70.43488159</v>
      </c>
      <c r="H29" s="20" t="n">
        <v>2.50416099</v>
      </c>
      <c r="I29" s="18" t="s">
        <v>431</v>
      </c>
      <c r="J29" s="20" t="s">
        <v>431</v>
      </c>
      <c r="K29" s="18" t="n">
        <v>0.70136714</v>
      </c>
      <c r="L29" s="20" t="n">
        <v>0.50028068</v>
      </c>
      <c r="M29" s="18" t="n">
        <v>0</v>
      </c>
      <c r="N29" s="20" t="n">
        <v>0</v>
      </c>
      <c r="O29" s="18" t="n">
        <v>0</v>
      </c>
      <c r="P29" s="20" t="n">
        <v>0</v>
      </c>
      <c r="Q29" s="18" t="n">
        <v>0.3561932</v>
      </c>
      <c r="R29" s="20" t="n">
        <v>0.33667388</v>
      </c>
    </row>
    <row r="30" spans="1:18">
      <c r="A30" s="15" t="s">
        <v>454</v>
      </c>
      <c r="B30" s="17" t="n">
        <v>2263</v>
      </c>
      <c r="C30" s="18">
        <f>(1993.0/B30*100)</f>
        <v/>
      </c>
      <c r="D30" s="19" t="n">
        <v>270</v>
      </c>
      <c r="E30" s="18" t="n">
        <v>49.06283886</v>
      </c>
      <c r="F30" s="20" t="n">
        <v>3.30199002</v>
      </c>
      <c r="G30" s="18" t="n">
        <v>50.15447765</v>
      </c>
      <c r="H30" s="20" t="n">
        <v>3.28217308</v>
      </c>
      <c r="I30" s="18" t="s">
        <v>431</v>
      </c>
      <c r="J30" s="20" t="s">
        <v>431</v>
      </c>
      <c r="K30" s="18" t="n">
        <v>0</v>
      </c>
      <c r="L30" s="20" t="n">
        <v>0</v>
      </c>
      <c r="M30" s="18" t="n">
        <v>0</v>
      </c>
      <c r="N30" s="20" t="n">
        <v>0</v>
      </c>
      <c r="O30" s="18" t="n">
        <v>0</v>
      </c>
      <c r="P30" s="20" t="n">
        <v>0</v>
      </c>
      <c r="Q30" s="18" t="n">
        <v>0.78268349</v>
      </c>
      <c r="R30" s="20" t="n">
        <v>0.53631315</v>
      </c>
    </row>
    <row r="31" spans="1:18">
      <c r="A31" s="15" t="s">
        <v>455</v>
      </c>
      <c r="B31" s="17" t="n">
        <v>2750</v>
      </c>
      <c r="C31" s="18">
        <f>(2409.0/B31*100)</f>
        <v/>
      </c>
      <c r="D31" s="19" t="n">
        <v>341</v>
      </c>
      <c r="E31" s="18" t="n">
        <v>43.21435135</v>
      </c>
      <c r="F31" s="20" t="n">
        <v>2.62534768</v>
      </c>
      <c r="G31" s="18" t="n">
        <v>56.09457225</v>
      </c>
      <c r="H31" s="20" t="n">
        <v>2.66402825</v>
      </c>
      <c r="I31" s="18" t="s">
        <v>431</v>
      </c>
      <c r="J31" s="20" t="s">
        <v>431</v>
      </c>
      <c r="K31" s="18" t="n">
        <v>0.28023909</v>
      </c>
      <c r="L31" s="20" t="n">
        <v>0.2705571</v>
      </c>
      <c r="M31" s="18" t="n">
        <v>0</v>
      </c>
      <c r="N31" s="20" t="n">
        <v>0</v>
      </c>
      <c r="O31" s="18" t="n">
        <v>0</v>
      </c>
      <c r="P31" s="20" t="n">
        <v>0</v>
      </c>
      <c r="Q31" s="18" t="n">
        <v>0.41083731</v>
      </c>
      <c r="R31" s="20" t="n">
        <v>0.32367789</v>
      </c>
    </row>
    <row r="32" spans="1:18">
      <c r="A32" s="15" t="s">
        <v>456</v>
      </c>
      <c r="B32" s="17" t="n">
        <v>2269</v>
      </c>
      <c r="C32" s="18">
        <f>(1892.0/B32*100)</f>
        <v/>
      </c>
      <c r="D32" s="19" t="n">
        <v>377</v>
      </c>
      <c r="E32" s="18" t="n">
        <v>54.86223653</v>
      </c>
      <c r="F32" s="20" t="n">
        <v>2.54161311</v>
      </c>
      <c r="G32" s="18" t="n">
        <v>44.5919144</v>
      </c>
      <c r="H32" s="20" t="n">
        <v>2.53137414</v>
      </c>
      <c r="I32" s="18" t="s">
        <v>431</v>
      </c>
      <c r="J32" s="20" t="s">
        <v>431</v>
      </c>
      <c r="K32" s="18" t="n">
        <v>0.27402703</v>
      </c>
      <c r="L32" s="20" t="n">
        <v>0.23875875</v>
      </c>
      <c r="M32" s="18" t="n">
        <v>0</v>
      </c>
      <c r="N32" s="20" t="n">
        <v>0</v>
      </c>
      <c r="O32" s="18" t="n">
        <v>0</v>
      </c>
      <c r="P32" s="20" t="n">
        <v>0</v>
      </c>
      <c r="Q32" s="18" t="n">
        <v>0.27182204</v>
      </c>
      <c r="R32" s="20" t="n">
        <v>0.24590745</v>
      </c>
    </row>
    <row r="33" spans="1:18">
      <c r="A33" s="15" t="s">
        <v>457</v>
      </c>
      <c r="B33" s="17" t="n">
        <v>3674</v>
      </c>
      <c r="C33" s="18">
        <f>(3232.0/B33*100)</f>
        <v/>
      </c>
      <c r="D33" s="19" t="n">
        <v>442</v>
      </c>
      <c r="E33" s="18" t="n">
        <v>31.50985483</v>
      </c>
      <c r="F33" s="20" t="n">
        <v>2.50983936</v>
      </c>
      <c r="G33" s="18" t="n">
        <v>68.16426658</v>
      </c>
      <c r="H33" s="20" t="n">
        <v>2.51838359</v>
      </c>
      <c r="I33" s="18" t="s">
        <v>431</v>
      </c>
      <c r="J33" s="20" t="s">
        <v>431</v>
      </c>
      <c r="K33" s="18" t="n">
        <v>0</v>
      </c>
      <c r="L33" s="20" t="n">
        <v>0</v>
      </c>
      <c r="M33" s="18" t="n">
        <v>0</v>
      </c>
      <c r="N33" s="20" t="n">
        <v>0</v>
      </c>
      <c r="O33" s="18" t="n">
        <v>0</v>
      </c>
      <c r="P33" s="20" t="n">
        <v>0</v>
      </c>
      <c r="Q33" s="18" t="n">
        <v>0.32587859</v>
      </c>
      <c r="R33" s="20" t="n">
        <v>0.28553864</v>
      </c>
    </row>
    <row r="34" spans="1:18">
      <c r="A34" s="15" t="s">
        <v>458</v>
      </c>
      <c r="B34" s="17" t="n">
        <v>3315</v>
      </c>
      <c r="C34" s="18">
        <f>(2916.0/B34*100)</f>
        <v/>
      </c>
      <c r="D34" s="19" t="n">
        <v>399</v>
      </c>
      <c r="E34" s="18" t="n">
        <v>44.90394972</v>
      </c>
      <c r="F34" s="20" t="n">
        <v>2.76838925</v>
      </c>
      <c r="G34" s="18" t="n">
        <v>54.46281282</v>
      </c>
      <c r="H34" s="20" t="n">
        <v>2.71769471</v>
      </c>
      <c r="I34" s="18" t="s">
        <v>431</v>
      </c>
      <c r="J34" s="20" t="s">
        <v>431</v>
      </c>
      <c r="K34" s="18" t="n">
        <v>0.19359238</v>
      </c>
      <c r="L34" s="20" t="n">
        <v>0.19271315</v>
      </c>
      <c r="M34" s="18" t="n">
        <v>0</v>
      </c>
      <c r="N34" s="20" t="n">
        <v>0</v>
      </c>
      <c r="O34" s="18" t="n">
        <v>0</v>
      </c>
      <c r="P34" s="20" t="n">
        <v>0</v>
      </c>
      <c r="Q34" s="18" t="n">
        <v>0.43964509</v>
      </c>
      <c r="R34" s="20" t="n">
        <v>0.30787472</v>
      </c>
    </row>
    <row r="35" spans="1:18">
      <c r="A35" s="15" t="s">
        <v>459</v>
      </c>
      <c r="B35" s="17" t="n">
        <v>3505</v>
      </c>
      <c r="C35" s="18">
        <f>(3085.0/B35*100)</f>
        <v/>
      </c>
      <c r="D35" s="19" t="n">
        <v>420</v>
      </c>
      <c r="E35" s="18" t="n">
        <v>24.74749948</v>
      </c>
      <c r="F35" s="20" t="n">
        <v>2.33520932</v>
      </c>
      <c r="G35" s="18" t="n">
        <v>75.11568209000001</v>
      </c>
      <c r="H35" s="20" t="n">
        <v>2.32169295</v>
      </c>
      <c r="I35" s="18" t="s">
        <v>431</v>
      </c>
      <c r="J35" s="20" t="s">
        <v>431</v>
      </c>
      <c r="K35" s="18" t="n">
        <v>0.13681844</v>
      </c>
      <c r="L35" s="20" t="n">
        <v>0.13528713</v>
      </c>
      <c r="M35" s="18" t="n">
        <v>0</v>
      </c>
      <c r="N35" s="20" t="n">
        <v>0</v>
      </c>
      <c r="O35" s="18" t="n">
        <v>0</v>
      </c>
      <c r="P35" s="20" t="n">
        <v>0</v>
      </c>
      <c r="Q35" s="18" t="n">
        <v>0</v>
      </c>
      <c r="R35" s="20" t="n">
        <v>0</v>
      </c>
    </row>
    <row r="36" spans="1:18">
      <c r="A36" s="15" t="s">
        <v>460</v>
      </c>
      <c r="B36" s="17" t="n">
        <v>3332</v>
      </c>
      <c r="C36" s="18">
        <f>(2919.0/B36*100)</f>
        <v/>
      </c>
      <c r="D36" s="19" t="n">
        <v>413</v>
      </c>
      <c r="E36" s="18" t="n">
        <v>34.18260835</v>
      </c>
      <c r="F36" s="20" t="n">
        <v>2.65072999</v>
      </c>
      <c r="G36" s="18" t="n">
        <v>65.81739165</v>
      </c>
      <c r="H36" s="20" t="n">
        <v>2.65072999</v>
      </c>
      <c r="I36" s="18" t="s">
        <v>431</v>
      </c>
      <c r="J36" s="20" t="s">
        <v>431</v>
      </c>
      <c r="K36" s="18" t="n">
        <v>0</v>
      </c>
      <c r="L36" s="20" t="n">
        <v>0</v>
      </c>
      <c r="M36" s="18" t="n">
        <v>0</v>
      </c>
      <c r="N36" s="20" t="n">
        <v>0</v>
      </c>
      <c r="O36" s="18" t="n">
        <v>0</v>
      </c>
      <c r="P36" s="20" t="n">
        <v>0</v>
      </c>
      <c r="Q36" s="18" t="n">
        <v>0</v>
      </c>
      <c r="R36" s="20" t="n">
        <v>0</v>
      </c>
    </row>
    <row r="37" spans="1:18">
      <c r="A37" s="15" t="s">
        <v>461</v>
      </c>
      <c r="B37" s="17" t="n">
        <v>2727</v>
      </c>
      <c r="C37" s="18">
        <f>(2395.0/B37*100)</f>
        <v/>
      </c>
      <c r="D37" s="19" t="n">
        <v>332</v>
      </c>
      <c r="E37" s="18" t="n">
        <v>44.74004057</v>
      </c>
      <c r="F37" s="20" t="n">
        <v>2.88066078</v>
      </c>
      <c r="G37" s="18" t="n">
        <v>53.20208697</v>
      </c>
      <c r="H37" s="20" t="n">
        <v>2.98978135</v>
      </c>
      <c r="I37" s="18" t="s">
        <v>431</v>
      </c>
      <c r="J37" s="20" t="s">
        <v>431</v>
      </c>
      <c r="K37" s="18" t="n">
        <v>1.39020246</v>
      </c>
      <c r="L37" s="20" t="n">
        <v>0.60454348</v>
      </c>
      <c r="M37" s="18" t="n">
        <v>0</v>
      </c>
      <c r="N37" s="20" t="n">
        <v>0</v>
      </c>
      <c r="O37" s="18" t="n">
        <v>0</v>
      </c>
      <c r="P37" s="20" t="n">
        <v>0</v>
      </c>
      <c r="Q37" s="18" t="n">
        <v>0.66767</v>
      </c>
      <c r="R37" s="20" t="n">
        <v>0.46627734</v>
      </c>
    </row>
    <row r="38" spans="1:18">
      <c r="A38" s="15" t="s">
        <v>462</v>
      </c>
      <c r="B38" s="17" t="n">
        <v>3053</v>
      </c>
      <c r="C38" s="18">
        <f>(2511.0/B38*100)</f>
        <v/>
      </c>
      <c r="D38" s="19" t="n">
        <v>542</v>
      </c>
      <c r="E38" s="18" t="n">
        <v>35.37808282</v>
      </c>
      <c r="F38" s="20" t="n">
        <v>2.32239094</v>
      </c>
      <c r="G38" s="18" t="n">
        <v>62.36598714</v>
      </c>
      <c r="H38" s="20" t="n">
        <v>2.48846601</v>
      </c>
      <c r="I38" s="18" t="s">
        <v>431</v>
      </c>
      <c r="J38" s="20" t="s">
        <v>431</v>
      </c>
      <c r="K38" s="18" t="n">
        <v>0.36705889</v>
      </c>
      <c r="L38" s="20" t="n">
        <v>0.23667064</v>
      </c>
      <c r="M38" s="18" t="n">
        <v>0</v>
      </c>
      <c r="N38" s="20" t="n">
        <v>0</v>
      </c>
      <c r="O38" s="18" t="n">
        <v>0</v>
      </c>
      <c r="P38" s="20" t="n">
        <v>0</v>
      </c>
      <c r="Q38" s="18" t="n">
        <v>1.88887115</v>
      </c>
      <c r="R38" s="20" t="n">
        <v>0.74414377</v>
      </c>
    </row>
    <row r="39" spans="1:18">
      <c r="A39" s="15" t="s">
        <v>463</v>
      </c>
      <c r="B39" s="17" t="n">
        <v>2957</v>
      </c>
      <c r="C39" s="18">
        <f>(2586.0/B39*100)</f>
        <v/>
      </c>
      <c r="D39" s="19" t="n">
        <v>371</v>
      </c>
      <c r="E39" s="18" t="n">
        <v>58.39216592</v>
      </c>
      <c r="F39" s="20" t="n">
        <v>3.09451765</v>
      </c>
      <c r="G39" s="18" t="n">
        <v>41.08392692</v>
      </c>
      <c r="H39" s="20" t="n">
        <v>3.0818833</v>
      </c>
      <c r="I39" s="18" t="s">
        <v>431</v>
      </c>
      <c r="J39" s="20" t="s">
        <v>431</v>
      </c>
      <c r="K39" s="18" t="n">
        <v>0</v>
      </c>
      <c r="L39" s="20" t="n">
        <v>0</v>
      </c>
      <c r="M39" s="18" t="n">
        <v>0</v>
      </c>
      <c r="N39" s="20" t="n">
        <v>0</v>
      </c>
      <c r="O39" s="18" t="n">
        <v>0</v>
      </c>
      <c r="P39" s="20" t="n">
        <v>0</v>
      </c>
      <c r="Q39" s="18" t="n">
        <v>0.52390716</v>
      </c>
      <c r="R39" s="20" t="n">
        <v>0.41999648</v>
      </c>
    </row>
    <row r="40" spans="1:18">
      <c r="A40" s="15" t="s">
        <v>464</v>
      </c>
      <c r="B40" s="17" t="n">
        <v>7235</v>
      </c>
      <c r="C40" s="18">
        <f>(6336.0/B40*100)</f>
        <v/>
      </c>
      <c r="D40" s="19" t="n">
        <v>899</v>
      </c>
      <c r="E40" s="18" t="n">
        <v>45.56787552</v>
      </c>
      <c r="F40" s="20" t="n">
        <v>2.53001401</v>
      </c>
      <c r="G40" s="18" t="n">
        <v>52.74670978</v>
      </c>
      <c r="H40" s="20" t="n">
        <v>2.43391</v>
      </c>
      <c r="I40" s="18" t="s">
        <v>431</v>
      </c>
      <c r="J40" s="20" t="s">
        <v>431</v>
      </c>
      <c r="K40" s="18" t="n">
        <v>0.23158233</v>
      </c>
      <c r="L40" s="20" t="n">
        <v>0.08111519</v>
      </c>
      <c r="M40" s="18" t="n">
        <v>0</v>
      </c>
      <c r="N40" s="20" t="n">
        <v>0</v>
      </c>
      <c r="O40" s="18" t="n">
        <v>0</v>
      </c>
      <c r="P40" s="20" t="n">
        <v>0</v>
      </c>
      <c r="Q40" s="18" t="n">
        <v>1.45383237</v>
      </c>
      <c r="R40" s="20" t="n">
        <v>0.67736909</v>
      </c>
    </row>
    <row r="41" spans="1:18">
      <c r="A41" s="15" t="s">
        <v>465</v>
      </c>
      <c r="B41" s="17" t="n">
        <v>2858</v>
      </c>
      <c r="C41" s="18">
        <f>(2504.0/B41*100)</f>
        <v/>
      </c>
      <c r="D41" s="19" t="n">
        <v>354</v>
      </c>
      <c r="E41" s="18" t="n">
        <v>49.46555432</v>
      </c>
      <c r="F41" s="20" t="n">
        <v>2.80283544</v>
      </c>
      <c r="G41" s="18" t="n">
        <v>49.54252207</v>
      </c>
      <c r="H41" s="20" t="n">
        <v>2.77665345</v>
      </c>
      <c r="I41" s="18" t="s">
        <v>431</v>
      </c>
      <c r="J41" s="20" t="s">
        <v>431</v>
      </c>
      <c r="K41" s="18" t="n">
        <v>0.23006513</v>
      </c>
      <c r="L41" s="20" t="n">
        <v>0.23456132</v>
      </c>
      <c r="M41" s="18" t="n">
        <v>0</v>
      </c>
      <c r="N41" s="20" t="n">
        <v>0</v>
      </c>
      <c r="O41" s="18" t="n">
        <v>0</v>
      </c>
      <c r="P41" s="20" t="n">
        <v>0</v>
      </c>
      <c r="Q41" s="18" t="n">
        <v>0.76185848</v>
      </c>
      <c r="R41" s="20" t="n">
        <v>0.52206404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(4513.0/B48*100)</f>
        <v/>
      </c>
      <c r="D48" s="19" t="n">
        <v>646</v>
      </c>
      <c r="E48" s="18" t="n">
        <v>42.1022457</v>
      </c>
      <c r="F48" s="20" t="n">
        <v>2.52797385</v>
      </c>
      <c r="G48" s="18" t="n">
        <v>56.94379127</v>
      </c>
      <c r="H48" s="20" t="n">
        <v>2.49208363</v>
      </c>
      <c r="I48" s="18" t="s">
        <v>431</v>
      </c>
      <c r="J48" s="20" t="s">
        <v>431</v>
      </c>
      <c r="K48" s="18" t="n">
        <v>0.27510066</v>
      </c>
      <c r="L48" s="20" t="n">
        <v>0.28525412</v>
      </c>
      <c r="M48" s="18" t="n">
        <v>0</v>
      </c>
      <c r="N48" s="20" t="n">
        <v>0</v>
      </c>
      <c r="O48" s="18" t="n">
        <v>0</v>
      </c>
      <c r="P48" s="20" t="n">
        <v>0</v>
      </c>
      <c r="Q48" s="18" t="n">
        <v>0.67886237</v>
      </c>
      <c r="R48" s="20" t="n">
        <v>0.40966436</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(2454.0/B52*100)</f>
        <v/>
      </c>
      <c r="D52" s="19" t="n">
        <v>342</v>
      </c>
      <c r="E52" s="18" t="n">
        <v>33.16066005</v>
      </c>
      <c r="F52" s="20" t="n">
        <v>2.51454277</v>
      </c>
      <c r="G52" s="18" t="n">
        <v>66.28709529</v>
      </c>
      <c r="H52" s="20" t="n">
        <v>2.51494454</v>
      </c>
      <c r="I52" s="18" t="s">
        <v>431</v>
      </c>
      <c r="J52" s="20" t="s">
        <v>431</v>
      </c>
      <c r="K52" s="18" t="n">
        <v>0</v>
      </c>
      <c r="L52" s="20" t="n">
        <v>0</v>
      </c>
      <c r="M52" s="18" t="n">
        <v>0</v>
      </c>
      <c r="N52" s="20" t="n">
        <v>0</v>
      </c>
      <c r="O52" s="18" t="n">
        <v>0</v>
      </c>
      <c r="P52" s="20" t="n">
        <v>0</v>
      </c>
      <c r="Q52" s="18" t="n">
        <v>0.55224467</v>
      </c>
      <c r="R52" s="20" t="n">
        <v>0.39511957</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(2364.0/B56*100)</f>
        <v/>
      </c>
      <c r="D56" s="19" t="n">
        <v>320</v>
      </c>
      <c r="E56" s="18" t="n">
        <v>30.25493978</v>
      </c>
      <c r="F56" s="20" t="n">
        <v>2.72271254</v>
      </c>
      <c r="G56" s="18" t="n">
        <v>69.74506022</v>
      </c>
      <c r="H56" s="20" t="n">
        <v>2.72271254</v>
      </c>
      <c r="I56" s="18" t="s">
        <v>431</v>
      </c>
      <c r="J56" s="20" t="s">
        <v>431</v>
      </c>
      <c r="K56" s="18" t="n">
        <v>0</v>
      </c>
      <c r="L56" s="20" t="n">
        <v>0</v>
      </c>
      <c r="M56" s="18" t="n">
        <v>0</v>
      </c>
      <c r="N56" s="20" t="n">
        <v>0</v>
      </c>
      <c r="O56" s="18" t="n">
        <v>0</v>
      </c>
      <c r="P56" s="20" t="n">
        <v>0</v>
      </c>
      <c r="Q56" s="18" t="n">
        <v>0</v>
      </c>
      <c r="R56" s="20" t="n">
        <v>0</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(2893.0/B61*100)</f>
        <v/>
      </c>
      <c r="D61" s="19" t="n">
        <v>431</v>
      </c>
      <c r="E61" s="18" t="n">
        <v>41.0558419</v>
      </c>
      <c r="F61" s="20" t="n">
        <v>2.45646316</v>
      </c>
      <c r="G61" s="18" t="n">
        <v>58.89398883</v>
      </c>
      <c r="H61" s="20" t="n">
        <v>2.45049522</v>
      </c>
      <c r="I61" s="18" t="s">
        <v>431</v>
      </c>
      <c r="J61" s="20" t="s">
        <v>431</v>
      </c>
      <c r="K61" s="18" t="n">
        <v>0.05016926</v>
      </c>
      <c r="L61" s="20" t="n">
        <v>0.05016749</v>
      </c>
      <c r="M61" s="18" t="n">
        <v>0</v>
      </c>
      <c r="N61" s="20" t="n">
        <v>0</v>
      </c>
      <c r="O61" s="18" t="n">
        <v>0</v>
      </c>
      <c r="P61" s="20" t="n">
        <v>0</v>
      </c>
      <c r="Q61" s="18" t="n">
        <v>0</v>
      </c>
      <c r="R61" s="20" t="n">
        <v>0</v>
      </c>
    </row>
    <row r="62" spans="1:18">
      <c r="A62" s="15" t="s">
        <v>486</v>
      </c>
      <c r="B62" s="17" t="n">
        <v>2246</v>
      </c>
      <c r="C62" s="18">
        <f>(1968.0/B62*100)</f>
        <v/>
      </c>
      <c r="D62" s="19" t="n">
        <v>278</v>
      </c>
      <c r="E62" s="18" t="n">
        <v>38.11821509</v>
      </c>
      <c r="F62" s="20" t="n">
        <v>2.7396413</v>
      </c>
      <c r="G62" s="18" t="n">
        <v>61.15483119</v>
      </c>
      <c r="H62" s="20" t="n">
        <v>2.81644322</v>
      </c>
      <c r="I62" s="18" t="s">
        <v>431</v>
      </c>
      <c r="J62" s="20" t="s">
        <v>431</v>
      </c>
      <c r="K62" s="18" t="n">
        <v>0.369637</v>
      </c>
      <c r="L62" s="20" t="n">
        <v>0.36814948</v>
      </c>
      <c r="M62" s="18" t="n">
        <v>0</v>
      </c>
      <c r="N62" s="20" t="n">
        <v>0</v>
      </c>
      <c r="O62" s="18" t="n">
        <v>0</v>
      </c>
      <c r="P62" s="20" t="n">
        <v>0</v>
      </c>
      <c r="Q62" s="18" t="n">
        <v>0.35731672</v>
      </c>
      <c r="R62" s="20" t="n">
        <v>0.35974984</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(2557.0/B66*100)</f>
        <v/>
      </c>
      <c r="D66" s="19" t="n">
        <v>337</v>
      </c>
      <c r="E66" s="18" t="n">
        <v>57.61038695</v>
      </c>
      <c r="F66" s="20" t="n">
        <v>2.74790136</v>
      </c>
      <c r="G66" s="18" t="n">
        <v>38.44341652</v>
      </c>
      <c r="H66" s="20" t="n">
        <v>2.46168787</v>
      </c>
      <c r="I66" s="18" t="s">
        <v>431</v>
      </c>
      <c r="J66" s="20" t="s">
        <v>431</v>
      </c>
      <c r="K66" s="18" t="n">
        <v>1.40392005</v>
      </c>
      <c r="L66" s="20" t="n">
        <v>0.63743374</v>
      </c>
      <c r="M66" s="18" t="n">
        <v>0</v>
      </c>
      <c r="N66" s="20" t="n">
        <v>0</v>
      </c>
      <c r="O66" s="18" t="n">
        <v>0</v>
      </c>
      <c r="P66" s="20" t="n">
        <v>0</v>
      </c>
      <c r="Q66" s="18" t="n">
        <v>2.54227649</v>
      </c>
      <c r="R66" s="20" t="n">
        <v>0.92431684</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(2586.0/B70*100)</f>
        <v/>
      </c>
      <c r="D70" s="19" t="n">
        <v>343</v>
      </c>
      <c r="E70" s="18" t="n">
        <v>49.13755274</v>
      </c>
      <c r="F70" s="20" t="n">
        <v>2.68703738</v>
      </c>
      <c r="G70" s="18" t="n">
        <v>49.44769255</v>
      </c>
      <c r="H70" s="20" t="n">
        <v>2.77129085</v>
      </c>
      <c r="I70" s="18" t="s">
        <v>431</v>
      </c>
      <c r="J70" s="20" t="s">
        <v>431</v>
      </c>
      <c r="K70" s="18" t="n">
        <v>0.51285918</v>
      </c>
      <c r="L70" s="20" t="n">
        <v>0.43183143</v>
      </c>
      <c r="M70" s="18" t="n">
        <v>0</v>
      </c>
      <c r="N70" s="20" t="n">
        <v>0</v>
      </c>
      <c r="O70" s="18" t="n">
        <v>0</v>
      </c>
      <c r="P70" s="20" t="n">
        <v>0</v>
      </c>
      <c r="Q70" s="18" t="n">
        <v>0.90189553</v>
      </c>
      <c r="R70" s="20" t="n">
        <v>0.73144248</v>
      </c>
    </row>
    <row r="71" spans="1:18">
      <c r="A71" s="15" t="s">
        <v>495</v>
      </c>
      <c r="B71" s="17" t="n">
        <v>3142</v>
      </c>
      <c r="C71" s="18">
        <f>(2763.0/B71*100)</f>
        <v/>
      </c>
      <c r="D71" s="19" t="n">
        <v>379</v>
      </c>
      <c r="E71" s="18" t="n">
        <v>46.75898755</v>
      </c>
      <c r="F71" s="20" t="n">
        <v>2.67052051</v>
      </c>
      <c r="G71" s="18" t="n">
        <v>51.44905785</v>
      </c>
      <c r="H71" s="20" t="n">
        <v>2.72457931</v>
      </c>
      <c r="I71" s="18" t="s">
        <v>431</v>
      </c>
      <c r="J71" s="20" t="s">
        <v>431</v>
      </c>
      <c r="K71" s="18" t="n">
        <v>1.21648237</v>
      </c>
      <c r="L71" s="20" t="n">
        <v>0.5222358</v>
      </c>
      <c r="M71" s="18" t="n">
        <v>0</v>
      </c>
      <c r="N71" s="20" t="n">
        <v>0</v>
      </c>
      <c r="O71" s="18" t="n">
        <v>0</v>
      </c>
      <c r="P71" s="20" t="n">
        <v>0</v>
      </c>
      <c r="Q71" s="18" t="n">
        <v>0.57547222</v>
      </c>
      <c r="R71" s="20" t="n">
        <v>0.38957046</v>
      </c>
    </row>
    <row r="72" spans="1:18">
      <c r="A72" s="15" t="s">
        <v>496</v>
      </c>
      <c r="B72" s="17" t="n">
        <v>3889</v>
      </c>
      <c r="C72" s="18">
        <f>(3414.0/B72*100)</f>
        <v/>
      </c>
      <c r="D72" s="19" t="n">
        <v>475</v>
      </c>
      <c r="E72" s="18" t="n">
        <v>39.87130944</v>
      </c>
      <c r="F72" s="20" t="n">
        <v>2.414192</v>
      </c>
      <c r="G72" s="18" t="n">
        <v>59.23711595</v>
      </c>
      <c r="H72" s="20" t="n">
        <v>2.47119826</v>
      </c>
      <c r="I72" s="18" t="s">
        <v>431</v>
      </c>
      <c r="J72" s="20" t="s">
        <v>431</v>
      </c>
      <c r="K72" s="18" t="n">
        <v>0.16507679</v>
      </c>
      <c r="L72" s="20" t="n">
        <v>0.16561767</v>
      </c>
      <c r="M72" s="18" t="n">
        <v>0</v>
      </c>
      <c r="N72" s="20" t="n">
        <v>0</v>
      </c>
      <c r="O72" s="18" t="n">
        <v>0</v>
      </c>
      <c r="P72" s="20" t="n">
        <v>0</v>
      </c>
      <c r="Q72" s="18" t="n">
        <v>0.72649782</v>
      </c>
      <c r="R72" s="20" t="n">
        <v>0.39034522</v>
      </c>
    </row>
    <row r="73" spans="1:18">
      <c r="A73" s="15" t="s">
        <v>497</v>
      </c>
      <c r="B73" s="17" t="n">
        <v>3597</v>
      </c>
      <c r="C73" s="18">
        <f>(3153.0/B73*100)</f>
        <v/>
      </c>
      <c r="D73" s="19" t="n">
        <v>444</v>
      </c>
      <c r="E73" s="18" t="n">
        <v>69.45918885</v>
      </c>
      <c r="F73" s="20" t="n">
        <v>3.02738191</v>
      </c>
      <c r="G73" s="18" t="n">
        <v>29.65928052</v>
      </c>
      <c r="H73" s="20" t="n">
        <v>2.84681506</v>
      </c>
      <c r="I73" s="18" t="s">
        <v>431</v>
      </c>
      <c r="J73" s="20" t="s">
        <v>431</v>
      </c>
      <c r="K73" s="18" t="n">
        <v>0</v>
      </c>
      <c r="L73" s="20" t="n">
        <v>0</v>
      </c>
      <c r="M73" s="18" t="n">
        <v>0</v>
      </c>
      <c r="N73" s="20" t="n">
        <v>0</v>
      </c>
      <c r="O73" s="18" t="n">
        <v>0</v>
      </c>
      <c r="P73" s="20" t="n">
        <v>0</v>
      </c>
      <c r="Q73" s="18" t="n">
        <v>0.88153063</v>
      </c>
      <c r="R73" s="20" t="n">
        <v>0.53485449</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(6443.0/B7*100)</f>
        <v/>
      </c>
      <c r="D7" s="19" t="n">
        <v>924</v>
      </c>
      <c r="E7" s="18" t="n">
        <v>31.98623014</v>
      </c>
      <c r="F7" s="20" t="n">
        <v>1.54677493</v>
      </c>
      <c r="G7" s="18" t="n">
        <v>66.94404317</v>
      </c>
      <c r="H7" s="20" t="n">
        <v>1.54012803</v>
      </c>
      <c r="I7" s="18" t="s">
        <v>431</v>
      </c>
      <c r="J7" s="20" t="s">
        <v>431</v>
      </c>
      <c r="K7" s="18" t="n">
        <v>0.56604902</v>
      </c>
      <c r="L7" s="20" t="n">
        <v>0.2581621</v>
      </c>
      <c r="M7" s="18" t="n">
        <v>0</v>
      </c>
      <c r="N7" s="20" t="n">
        <v>0</v>
      </c>
      <c r="O7" s="18" t="n">
        <v>0</v>
      </c>
      <c r="P7" s="20" t="n">
        <v>0</v>
      </c>
      <c r="Q7" s="18" t="n">
        <v>0.50367767</v>
      </c>
      <c r="R7" s="20" t="n">
        <v>0.24357931</v>
      </c>
    </row>
    <row r="8" spans="1:18">
      <c r="A8" s="15" t="s">
        <v>432</v>
      </c>
      <c r="B8" s="17" t="n">
        <v>3564</v>
      </c>
      <c r="C8" s="18">
        <f>(3145.0/B8*100)</f>
        <v/>
      </c>
      <c r="D8" s="19" t="n">
        <v>419</v>
      </c>
      <c r="E8" s="18" t="n">
        <v>26.32820082</v>
      </c>
      <c r="F8" s="20" t="n">
        <v>2.68875644</v>
      </c>
      <c r="G8" s="18" t="n">
        <v>71.18398486</v>
      </c>
      <c r="H8" s="20" t="n">
        <v>2.52327012</v>
      </c>
      <c r="I8" s="18" t="s">
        <v>431</v>
      </c>
      <c r="J8" s="20" t="s">
        <v>431</v>
      </c>
      <c r="K8" s="18" t="n">
        <v>0</v>
      </c>
      <c r="L8" s="20" t="n">
        <v>0</v>
      </c>
      <c r="M8" s="18" t="n">
        <v>0</v>
      </c>
      <c r="N8" s="20" t="n">
        <v>0</v>
      </c>
      <c r="O8" s="18" t="n">
        <v>0</v>
      </c>
      <c r="P8" s="20" t="n">
        <v>0</v>
      </c>
      <c r="Q8" s="18" t="n">
        <v>2.48781432</v>
      </c>
      <c r="R8" s="20" t="n">
        <v>1.0468753</v>
      </c>
    </row>
    <row r="9" spans="1:18">
      <c r="A9" s="15" t="s">
        <v>433</v>
      </c>
      <c r="B9" s="17" t="n">
        <v>4899</v>
      </c>
      <c r="C9" s="18">
        <f>(4301.0/B9*100)</f>
        <v/>
      </c>
      <c r="D9" s="19" t="n">
        <v>598</v>
      </c>
      <c r="E9" s="18" t="n">
        <v>39.09270074</v>
      </c>
      <c r="F9" s="20" t="n">
        <v>2.22403749</v>
      </c>
      <c r="G9" s="18" t="n">
        <v>59.3369747</v>
      </c>
      <c r="H9" s="20" t="n">
        <v>2.26950899</v>
      </c>
      <c r="I9" s="18" t="s">
        <v>431</v>
      </c>
      <c r="J9" s="20" t="s">
        <v>431</v>
      </c>
      <c r="K9" s="18" t="n">
        <v>0</v>
      </c>
      <c r="L9" s="20" t="n">
        <v>0</v>
      </c>
      <c r="M9" s="18" t="n">
        <v>0</v>
      </c>
      <c r="N9" s="20" t="n">
        <v>0</v>
      </c>
      <c r="O9" s="18" t="n">
        <v>0</v>
      </c>
      <c r="P9" s="20" t="n">
        <v>0</v>
      </c>
      <c r="Q9" s="18" t="n">
        <v>1.57032455</v>
      </c>
      <c r="R9" s="20" t="n">
        <v>0.47216585</v>
      </c>
    </row>
    <row r="10" spans="1:18">
      <c r="A10" s="15" t="s">
        <v>434</v>
      </c>
      <c r="B10" s="17" t="n">
        <v>10036</v>
      </c>
      <c r="C10" s="18">
        <f>(8832.0/B10*100)</f>
        <v/>
      </c>
      <c r="D10" s="19" t="n">
        <v>1204</v>
      </c>
      <c r="E10" s="18" t="n">
        <v>33.62993935</v>
      </c>
      <c r="F10" s="20" t="n">
        <v>1.99233491</v>
      </c>
      <c r="G10" s="18" t="n">
        <v>65.07025640000001</v>
      </c>
      <c r="H10" s="20" t="n">
        <v>1.99849261</v>
      </c>
      <c r="I10" s="18" t="s">
        <v>431</v>
      </c>
      <c r="J10" s="20" t="s">
        <v>431</v>
      </c>
      <c r="K10" s="18" t="n">
        <v>0.92126164</v>
      </c>
      <c r="L10" s="20" t="n">
        <v>0.39926228</v>
      </c>
      <c r="M10" s="18" t="n">
        <v>0</v>
      </c>
      <c r="N10" s="20" t="n">
        <v>0</v>
      </c>
      <c r="O10" s="18" t="n">
        <v>0</v>
      </c>
      <c r="P10" s="20" t="n">
        <v>0</v>
      </c>
      <c r="Q10" s="18" t="n">
        <v>0.37854261</v>
      </c>
      <c r="R10" s="20" t="n">
        <v>0.16593135</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(3042.0/B12*100)</f>
        <v/>
      </c>
      <c r="D12" s="19" t="n">
        <v>430</v>
      </c>
      <c r="E12" s="18" t="n">
        <v>43.32199844</v>
      </c>
      <c r="F12" s="20" t="n">
        <v>2.55923363</v>
      </c>
      <c r="G12" s="18" t="n">
        <v>54.83886299</v>
      </c>
      <c r="H12" s="20" t="n">
        <v>2.59365804</v>
      </c>
      <c r="I12" s="18" t="s">
        <v>431</v>
      </c>
      <c r="J12" s="20" t="s">
        <v>431</v>
      </c>
      <c r="K12" s="18" t="n">
        <v>0</v>
      </c>
      <c r="L12" s="20" t="n">
        <v>0</v>
      </c>
      <c r="M12" s="18" t="n">
        <v>0</v>
      </c>
      <c r="N12" s="20" t="n">
        <v>0</v>
      </c>
      <c r="O12" s="18" t="n">
        <v>0</v>
      </c>
      <c r="P12" s="20" t="n">
        <v>0</v>
      </c>
      <c r="Q12" s="18" t="n">
        <v>1.83913857</v>
      </c>
      <c r="R12" s="20" t="n">
        <v>0.81849451</v>
      </c>
    </row>
    <row r="13" spans="1:18">
      <c r="A13" s="15" t="s">
        <v>437</v>
      </c>
      <c r="B13" s="17" t="n">
        <v>3559</v>
      </c>
      <c r="C13" s="18">
        <f>(3143.0/B13*100)</f>
        <v/>
      </c>
      <c r="D13" s="19" t="n">
        <v>416</v>
      </c>
      <c r="E13" s="18" t="n">
        <v>29.57483586</v>
      </c>
      <c r="F13" s="20" t="n">
        <v>2.39175892</v>
      </c>
      <c r="G13" s="18" t="n">
        <v>69.78911969000001</v>
      </c>
      <c r="H13" s="20" t="n">
        <v>2.38379591</v>
      </c>
      <c r="I13" s="18" t="s">
        <v>431</v>
      </c>
      <c r="J13" s="20" t="s">
        <v>431</v>
      </c>
      <c r="K13" s="18" t="n">
        <v>0.2420034</v>
      </c>
      <c r="L13" s="20" t="n">
        <v>0.18197493</v>
      </c>
      <c r="M13" s="18" t="n">
        <v>0</v>
      </c>
      <c r="N13" s="20" t="n">
        <v>0</v>
      </c>
      <c r="O13" s="18" t="n">
        <v>0</v>
      </c>
      <c r="P13" s="20" t="n">
        <v>0</v>
      </c>
      <c r="Q13" s="18" t="n">
        <v>0.39404105</v>
      </c>
      <c r="R13" s="20" t="n">
        <v>0.29970695</v>
      </c>
    </row>
    <row r="14" spans="1:18">
      <c r="A14" s="15" t="s">
        <v>438</v>
      </c>
      <c r="B14" s="17" t="n">
        <v>2799</v>
      </c>
      <c r="C14" s="18">
        <f>(2454.0/B14*100)</f>
        <v/>
      </c>
      <c r="D14" s="19" t="n">
        <v>345</v>
      </c>
      <c r="E14" s="18" t="n">
        <v>38.40529661</v>
      </c>
      <c r="F14" s="20" t="n">
        <v>3.07420206</v>
      </c>
      <c r="G14" s="18" t="n">
        <v>61.06758678</v>
      </c>
      <c r="H14" s="20" t="n">
        <v>3.07149772</v>
      </c>
      <c r="I14" s="18" t="s">
        <v>431</v>
      </c>
      <c r="J14" s="20" t="s">
        <v>431</v>
      </c>
      <c r="K14" s="18" t="n">
        <v>0</v>
      </c>
      <c r="L14" s="20" t="n">
        <v>0</v>
      </c>
      <c r="M14" s="18" t="n">
        <v>0</v>
      </c>
      <c r="N14" s="20" t="n">
        <v>0</v>
      </c>
      <c r="O14" s="18" t="n">
        <v>0</v>
      </c>
      <c r="P14" s="20" t="n">
        <v>0</v>
      </c>
      <c r="Q14" s="18" t="n">
        <v>0.52711661</v>
      </c>
      <c r="R14" s="20" t="n">
        <v>0.38248959</v>
      </c>
    </row>
    <row r="15" spans="1:18">
      <c r="A15" s="15" t="s">
        <v>439</v>
      </c>
      <c r="B15" s="17" t="n">
        <v>3019</v>
      </c>
      <c r="C15" s="18">
        <f>(2647.0/B15*100)</f>
        <v/>
      </c>
      <c r="D15" s="19" t="n">
        <v>372</v>
      </c>
      <c r="E15" s="18" t="n">
        <v>21.20921184</v>
      </c>
      <c r="F15" s="20" t="n">
        <v>1.95599414</v>
      </c>
      <c r="G15" s="18" t="n">
        <v>76.96304574</v>
      </c>
      <c r="H15" s="20" t="n">
        <v>2.26902071</v>
      </c>
      <c r="I15" s="18" t="s">
        <v>431</v>
      </c>
      <c r="J15" s="20" t="s">
        <v>431</v>
      </c>
      <c r="K15" s="18" t="n">
        <v>0.76878336</v>
      </c>
      <c r="L15" s="20" t="n">
        <v>0.44892818</v>
      </c>
      <c r="M15" s="18" t="n">
        <v>0</v>
      </c>
      <c r="N15" s="20" t="n">
        <v>0</v>
      </c>
      <c r="O15" s="18" t="n">
        <v>0</v>
      </c>
      <c r="P15" s="20" t="n">
        <v>0</v>
      </c>
      <c r="Q15" s="18" t="n">
        <v>1.05895906</v>
      </c>
      <c r="R15" s="20" t="n">
        <v>0.8082393</v>
      </c>
    </row>
    <row r="16" spans="1:18">
      <c r="A16" s="15" t="s">
        <v>440</v>
      </c>
      <c r="B16" s="17" t="n">
        <v>2997</v>
      </c>
      <c r="C16" s="18">
        <f>(2618.0/B16*100)</f>
        <v/>
      </c>
      <c r="D16" s="19" t="n">
        <v>379</v>
      </c>
      <c r="E16" s="18" t="n">
        <v>36.11532903</v>
      </c>
      <c r="F16" s="20" t="n">
        <v>2.31383278</v>
      </c>
      <c r="G16" s="18" t="n">
        <v>59.22056862</v>
      </c>
      <c r="H16" s="20" t="n">
        <v>2.51558632</v>
      </c>
      <c r="I16" s="18" t="s">
        <v>431</v>
      </c>
      <c r="J16" s="20" t="s">
        <v>431</v>
      </c>
      <c r="K16" s="18" t="n">
        <v>1.44271953</v>
      </c>
      <c r="L16" s="20" t="n">
        <v>0.64574433</v>
      </c>
      <c r="M16" s="18" t="n">
        <v>0</v>
      </c>
      <c r="N16" s="20" t="n">
        <v>0</v>
      </c>
      <c r="O16" s="18" t="n">
        <v>0</v>
      </c>
      <c r="P16" s="20" t="n">
        <v>0</v>
      </c>
      <c r="Q16" s="18" t="n">
        <v>3.22138282</v>
      </c>
      <c r="R16" s="20" t="n">
        <v>0.93843553</v>
      </c>
    </row>
    <row r="17" spans="1:18">
      <c r="A17" s="15" t="s">
        <v>441</v>
      </c>
      <c r="B17" s="17" t="n">
        <v>3307</v>
      </c>
      <c r="C17" s="18">
        <f>(2912.0/B17*100)</f>
        <v/>
      </c>
      <c r="D17" s="19" t="n">
        <v>395</v>
      </c>
      <c r="E17" s="18" t="n">
        <v>29.19865488</v>
      </c>
      <c r="F17" s="20" t="n">
        <v>2.2871726</v>
      </c>
      <c r="G17" s="18" t="n">
        <v>68.8095811</v>
      </c>
      <c r="H17" s="20" t="n">
        <v>2.36154668</v>
      </c>
      <c r="I17" s="18" t="s">
        <v>431</v>
      </c>
      <c r="J17" s="20" t="s">
        <v>431</v>
      </c>
      <c r="K17" s="18" t="n">
        <v>0.78961526</v>
      </c>
      <c r="L17" s="20" t="n">
        <v>0.44843167</v>
      </c>
      <c r="M17" s="18" t="n">
        <v>0</v>
      </c>
      <c r="N17" s="20" t="n">
        <v>0</v>
      </c>
      <c r="O17" s="18" t="n">
        <v>0</v>
      </c>
      <c r="P17" s="20" t="n">
        <v>0</v>
      </c>
      <c r="Q17" s="18" t="n">
        <v>1.20214876</v>
      </c>
      <c r="R17" s="20" t="n">
        <v>0.5162589400000001</v>
      </c>
    </row>
    <row r="18" spans="1:18">
      <c r="A18" s="15" t="s">
        <v>442</v>
      </c>
      <c r="B18" s="17" t="n">
        <v>2826</v>
      </c>
      <c r="C18" s="18">
        <f>(2475.0/B18*100)</f>
        <v/>
      </c>
      <c r="D18" s="19" t="n">
        <v>351</v>
      </c>
      <c r="E18" s="18" t="n">
        <v>36.63358624</v>
      </c>
      <c r="F18" s="20" t="n">
        <v>2.74736024</v>
      </c>
      <c r="G18" s="18" t="n">
        <v>61.56649662</v>
      </c>
      <c r="H18" s="20" t="n">
        <v>2.7645463</v>
      </c>
      <c r="I18" s="18" t="s">
        <v>431</v>
      </c>
      <c r="J18" s="20" t="s">
        <v>431</v>
      </c>
      <c r="K18" s="18" t="n">
        <v>0</v>
      </c>
      <c r="L18" s="20" t="n">
        <v>0</v>
      </c>
      <c r="M18" s="18" t="n">
        <v>0</v>
      </c>
      <c r="N18" s="20" t="n">
        <v>0</v>
      </c>
      <c r="O18" s="18" t="n">
        <v>0</v>
      </c>
      <c r="P18" s="20" t="n">
        <v>0</v>
      </c>
      <c r="Q18" s="18" t="n">
        <v>1.79991714</v>
      </c>
      <c r="R18" s="20" t="n">
        <v>0.8025431200000001</v>
      </c>
    </row>
    <row r="19" spans="1:18">
      <c r="A19" s="15" t="s">
        <v>443</v>
      </c>
      <c r="B19" s="17" t="n">
        <v>2808</v>
      </c>
      <c r="C19" s="18">
        <f>(2466.0/B19*100)</f>
        <v/>
      </c>
      <c r="D19" s="19" t="n">
        <v>342</v>
      </c>
      <c r="E19" s="18" t="n">
        <v>44.69963441</v>
      </c>
      <c r="F19" s="20" t="n">
        <v>2.72708204</v>
      </c>
      <c r="G19" s="18" t="n">
        <v>54.63747278</v>
      </c>
      <c r="H19" s="20" t="n">
        <v>2.72598965</v>
      </c>
      <c r="I19" s="18" t="s">
        <v>431</v>
      </c>
      <c r="J19" s="20" t="s">
        <v>431</v>
      </c>
      <c r="K19" s="18" t="n">
        <v>0</v>
      </c>
      <c r="L19" s="20" t="n">
        <v>0</v>
      </c>
      <c r="M19" s="18" t="n">
        <v>0</v>
      </c>
      <c r="N19" s="20" t="n">
        <v>0</v>
      </c>
      <c r="O19" s="18" t="n">
        <v>0</v>
      </c>
      <c r="P19" s="20" t="n">
        <v>0</v>
      </c>
      <c r="Q19" s="18" t="n">
        <v>0.66289281</v>
      </c>
      <c r="R19" s="20" t="n">
        <v>0.46508895</v>
      </c>
    </row>
    <row r="20" spans="1:18">
      <c r="A20" s="15" t="s">
        <v>444</v>
      </c>
      <c r="B20" s="17" t="n">
        <v>1630</v>
      </c>
      <c r="C20" s="18">
        <f>(1444.0/B20*100)</f>
        <v/>
      </c>
      <c r="D20" s="19" t="n">
        <v>186</v>
      </c>
      <c r="E20" s="18" t="n">
        <v>29.05223189</v>
      </c>
      <c r="F20" s="20" t="n">
        <v>3.17320904</v>
      </c>
      <c r="G20" s="18" t="n">
        <v>69.89078653</v>
      </c>
      <c r="H20" s="20" t="n">
        <v>3.1733447</v>
      </c>
      <c r="I20" s="18" t="s">
        <v>431</v>
      </c>
      <c r="J20" s="20" t="s">
        <v>431</v>
      </c>
      <c r="K20" s="18" t="n">
        <v>0</v>
      </c>
      <c r="L20" s="20" t="n">
        <v>0</v>
      </c>
      <c r="M20" s="18" t="n">
        <v>0</v>
      </c>
      <c r="N20" s="20" t="n">
        <v>0</v>
      </c>
      <c r="O20" s="18" t="n">
        <v>0</v>
      </c>
      <c r="P20" s="20" t="n">
        <v>0</v>
      </c>
      <c r="Q20" s="18" t="n">
        <v>1.05698158</v>
      </c>
      <c r="R20" s="20" t="n">
        <v>0.7398643</v>
      </c>
    </row>
    <row r="21" spans="1:18">
      <c r="A21" s="15" t="s">
        <v>445</v>
      </c>
      <c r="B21" s="17" t="n">
        <v>2908</v>
      </c>
      <c r="C21" s="18">
        <f>(2421.0/B21*100)</f>
        <v/>
      </c>
      <c r="D21" s="19" t="n">
        <v>487</v>
      </c>
      <c r="E21" s="18" t="n">
        <v>35.98442824</v>
      </c>
      <c r="F21" s="20" t="n">
        <v>2.12926266</v>
      </c>
      <c r="G21" s="18" t="n">
        <v>63.29820838</v>
      </c>
      <c r="H21" s="20" t="n">
        <v>2.01568515</v>
      </c>
      <c r="I21" s="18" t="s">
        <v>431</v>
      </c>
      <c r="J21" s="20" t="s">
        <v>431</v>
      </c>
      <c r="K21" s="18" t="n">
        <v>0.11781126</v>
      </c>
      <c r="L21" s="20" t="n">
        <v>0.08356507000000001</v>
      </c>
      <c r="M21" s="18" t="n">
        <v>0</v>
      </c>
      <c r="N21" s="20" t="n">
        <v>0</v>
      </c>
      <c r="O21" s="18" t="n">
        <v>0</v>
      </c>
      <c r="P21" s="20" t="n">
        <v>0</v>
      </c>
      <c r="Q21" s="18" t="n">
        <v>0.59955212</v>
      </c>
      <c r="R21" s="20" t="n">
        <v>0.41419267</v>
      </c>
    </row>
    <row r="22" spans="1:18">
      <c r="A22" s="15" t="s">
        <v>446</v>
      </c>
      <c r="B22" s="17" t="n">
        <v>2931</v>
      </c>
      <c r="C22" s="18">
        <f>(2592.0/B22*100)</f>
        <v/>
      </c>
      <c r="D22" s="19" t="n">
        <v>339</v>
      </c>
      <c r="E22" s="18" t="n">
        <v>41.84716226</v>
      </c>
      <c r="F22" s="20" t="n">
        <v>2.53393826</v>
      </c>
      <c r="G22" s="18" t="n">
        <v>53.86167149</v>
      </c>
      <c r="H22" s="20" t="n">
        <v>2.51118634</v>
      </c>
      <c r="I22" s="18" t="s">
        <v>431</v>
      </c>
      <c r="J22" s="20" t="s">
        <v>431</v>
      </c>
      <c r="K22" s="18" t="n">
        <v>2.01967507</v>
      </c>
      <c r="L22" s="20" t="n">
        <v>0.82868256</v>
      </c>
      <c r="M22" s="18" t="n">
        <v>0</v>
      </c>
      <c r="N22" s="20" t="n">
        <v>0</v>
      </c>
      <c r="O22" s="18" t="n">
        <v>0</v>
      </c>
      <c r="P22" s="20" t="n">
        <v>0</v>
      </c>
      <c r="Q22" s="18" t="n">
        <v>2.27149117</v>
      </c>
      <c r="R22" s="20" t="n">
        <v>0.90331405</v>
      </c>
    </row>
    <row r="23" spans="1:18">
      <c r="A23" s="15" t="s">
        <v>447</v>
      </c>
      <c r="B23" s="17" t="n">
        <v>5791</v>
      </c>
      <c r="C23" s="18">
        <f>(5112.0/B23*100)</f>
        <v/>
      </c>
      <c r="D23" s="19" t="n">
        <v>679</v>
      </c>
      <c r="E23" s="18" t="n">
        <v>32.0985565</v>
      </c>
      <c r="F23" s="20" t="n">
        <v>2.22924475</v>
      </c>
      <c r="G23" s="18" t="n">
        <v>66.74432358999999</v>
      </c>
      <c r="H23" s="20" t="n">
        <v>2.1786782</v>
      </c>
      <c r="I23" s="18" t="s">
        <v>431</v>
      </c>
      <c r="J23" s="20" t="s">
        <v>431</v>
      </c>
      <c r="K23" s="18" t="n">
        <v>0.9490497</v>
      </c>
      <c r="L23" s="20" t="n">
        <v>0.48683204</v>
      </c>
      <c r="M23" s="18" t="n">
        <v>0</v>
      </c>
      <c r="N23" s="20" t="n">
        <v>0</v>
      </c>
      <c r="O23" s="18" t="n">
        <v>0</v>
      </c>
      <c r="P23" s="20" t="n">
        <v>0</v>
      </c>
      <c r="Q23" s="18" t="n">
        <v>0.20807022</v>
      </c>
      <c r="R23" s="20" t="n">
        <v>0.11419232</v>
      </c>
    </row>
    <row r="24" spans="1:18">
      <c r="A24" s="15" t="s">
        <v>448</v>
      </c>
      <c r="B24" s="17" t="n">
        <v>3338</v>
      </c>
      <c r="C24" s="18">
        <f>(2926.0/B24*100)</f>
        <v/>
      </c>
      <c r="D24" s="19" t="n">
        <v>412</v>
      </c>
      <c r="E24" s="18" t="n">
        <v>22.07327333</v>
      </c>
      <c r="F24" s="20" t="n">
        <v>2.28227013</v>
      </c>
      <c r="G24" s="18" t="n">
        <v>76.78552826000001</v>
      </c>
      <c r="H24" s="20" t="n">
        <v>2.27808214</v>
      </c>
      <c r="I24" s="18" t="s">
        <v>431</v>
      </c>
      <c r="J24" s="20" t="s">
        <v>431</v>
      </c>
      <c r="K24" s="18" t="n">
        <v>0.20197425</v>
      </c>
      <c r="L24" s="20" t="n">
        <v>0.20176516</v>
      </c>
      <c r="M24" s="18" t="n">
        <v>0</v>
      </c>
      <c r="N24" s="20" t="n">
        <v>0</v>
      </c>
      <c r="O24" s="18" t="n">
        <v>0</v>
      </c>
      <c r="P24" s="20" t="n">
        <v>0</v>
      </c>
      <c r="Q24" s="18" t="n">
        <v>0.93922416</v>
      </c>
      <c r="R24" s="20" t="n">
        <v>0.46243198</v>
      </c>
    </row>
    <row r="25" spans="1:18">
      <c r="A25" s="15" t="s">
        <v>449</v>
      </c>
      <c r="B25" s="17" t="n">
        <v>2912</v>
      </c>
      <c r="C25" s="18">
        <f>(2547.0/B25*100)</f>
        <v/>
      </c>
      <c r="D25" s="19" t="n">
        <v>365</v>
      </c>
      <c r="E25" s="18" t="n">
        <v>11.46830392</v>
      </c>
      <c r="F25" s="20" t="n">
        <v>1.83639566</v>
      </c>
      <c r="G25" s="18" t="n">
        <v>87.69880224000001</v>
      </c>
      <c r="H25" s="20" t="n">
        <v>1.66995467</v>
      </c>
      <c r="I25" s="18" t="s">
        <v>431</v>
      </c>
      <c r="J25" s="20" t="s">
        <v>431</v>
      </c>
      <c r="K25" s="18" t="n">
        <v>0.30111807</v>
      </c>
      <c r="L25" s="20" t="n">
        <v>0.29894836</v>
      </c>
      <c r="M25" s="18" t="n">
        <v>0</v>
      </c>
      <c r="N25" s="20" t="n">
        <v>0</v>
      </c>
      <c r="O25" s="18" t="n">
        <v>0</v>
      </c>
      <c r="P25" s="20" t="n">
        <v>0</v>
      </c>
      <c r="Q25" s="18" t="n">
        <v>0.53177577</v>
      </c>
      <c r="R25" s="20" t="n">
        <v>0.37642456</v>
      </c>
    </row>
    <row r="26" spans="1:18">
      <c r="A26" s="15" t="s">
        <v>450</v>
      </c>
      <c r="B26" s="17" t="n">
        <v>2450</v>
      </c>
      <c r="C26" s="18">
        <f>(2154.0/B26*100)</f>
        <v/>
      </c>
      <c r="D26" s="19" t="n">
        <v>296</v>
      </c>
      <c r="E26" s="18" t="n">
        <v>43.12574129</v>
      </c>
      <c r="F26" s="20" t="n">
        <v>2.69653684</v>
      </c>
      <c r="G26" s="18" t="n">
        <v>56.87425871</v>
      </c>
      <c r="H26" s="20" t="n">
        <v>2.69653684</v>
      </c>
      <c r="I26" s="18" t="s">
        <v>431</v>
      </c>
      <c r="J26" s="20" t="s">
        <v>431</v>
      </c>
      <c r="K26" s="18" t="n">
        <v>0</v>
      </c>
      <c r="L26" s="20" t="n">
        <v>0</v>
      </c>
      <c r="M26" s="18" t="n">
        <v>0</v>
      </c>
      <c r="N26" s="20" t="n">
        <v>0</v>
      </c>
      <c r="O26" s="18" t="n">
        <v>0</v>
      </c>
      <c r="P26" s="20" t="n">
        <v>0</v>
      </c>
      <c r="Q26" s="18" t="n">
        <v>0</v>
      </c>
      <c r="R26" s="20" t="n">
        <v>0</v>
      </c>
    </row>
    <row r="27" spans="1:18">
      <c r="A27" s="15" t="s">
        <v>451</v>
      </c>
      <c r="B27" s="17" t="n">
        <v>2616</v>
      </c>
      <c r="C27" s="18">
        <f>(2291.0/B27*100)</f>
        <v/>
      </c>
      <c r="D27" s="19" t="n">
        <v>325</v>
      </c>
      <c r="E27" s="18" t="n">
        <v>32.67493079</v>
      </c>
      <c r="F27" s="20" t="n">
        <v>2.79432609</v>
      </c>
      <c r="G27" s="18" t="n">
        <v>66.40138958999999</v>
      </c>
      <c r="H27" s="20" t="n">
        <v>2.75927719</v>
      </c>
      <c r="I27" s="18" t="s">
        <v>431</v>
      </c>
      <c r="J27" s="20" t="s">
        <v>431</v>
      </c>
      <c r="K27" s="18" t="n">
        <v>0.30643619</v>
      </c>
      <c r="L27" s="20" t="n">
        <v>0.30890827</v>
      </c>
      <c r="M27" s="18" t="n">
        <v>0</v>
      </c>
      <c r="N27" s="20" t="n">
        <v>0</v>
      </c>
      <c r="O27" s="18" t="n">
        <v>0</v>
      </c>
      <c r="P27" s="20" t="n">
        <v>0</v>
      </c>
      <c r="Q27" s="18" t="n">
        <v>0.61724343</v>
      </c>
      <c r="R27" s="20" t="n">
        <v>0.44513275</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37.7206132</v>
      </c>
      <c r="F29" s="20" t="n">
        <v>3.01150631</v>
      </c>
      <c r="G29" s="18" t="n">
        <v>60.89771635</v>
      </c>
      <c r="H29" s="20" t="n">
        <v>2.82513644</v>
      </c>
      <c r="I29" s="18" t="s">
        <v>431</v>
      </c>
      <c r="J29" s="20" t="s">
        <v>431</v>
      </c>
      <c r="K29" s="18" t="n">
        <v>1.02547724</v>
      </c>
      <c r="L29" s="20" t="n">
        <v>0.59831875</v>
      </c>
      <c r="M29" s="18" t="n">
        <v>0</v>
      </c>
      <c r="N29" s="20" t="n">
        <v>0</v>
      </c>
      <c r="O29" s="18" t="n">
        <v>0</v>
      </c>
      <c r="P29" s="20" t="n">
        <v>0</v>
      </c>
      <c r="Q29" s="18" t="n">
        <v>0.3561932</v>
      </c>
      <c r="R29" s="20" t="n">
        <v>0.33667388</v>
      </c>
    </row>
    <row r="30" spans="1:18">
      <c r="A30" s="15" t="s">
        <v>454</v>
      </c>
      <c r="B30" s="17" t="n">
        <v>2263</v>
      </c>
      <c r="C30" s="18">
        <f>(1993.0/B30*100)</f>
        <v/>
      </c>
      <c r="D30" s="19" t="n">
        <v>270</v>
      </c>
      <c r="E30" s="18" t="n">
        <v>33.21919592</v>
      </c>
      <c r="F30" s="20" t="n">
        <v>2.55003561</v>
      </c>
      <c r="G30" s="18" t="n">
        <v>64.91808018</v>
      </c>
      <c r="H30" s="20" t="n">
        <v>2.79489207</v>
      </c>
      <c r="I30" s="18" t="s">
        <v>431</v>
      </c>
      <c r="J30" s="20" t="s">
        <v>431</v>
      </c>
      <c r="K30" s="18" t="n">
        <v>0</v>
      </c>
      <c r="L30" s="20" t="n">
        <v>0</v>
      </c>
      <c r="M30" s="18" t="n">
        <v>0</v>
      </c>
      <c r="N30" s="20" t="n">
        <v>0</v>
      </c>
      <c r="O30" s="18" t="n">
        <v>0</v>
      </c>
      <c r="P30" s="20" t="n">
        <v>0</v>
      </c>
      <c r="Q30" s="18" t="n">
        <v>1.8627239</v>
      </c>
      <c r="R30" s="20" t="n">
        <v>0.83472586</v>
      </c>
    </row>
    <row r="31" spans="1:18">
      <c r="A31" s="15" t="s">
        <v>455</v>
      </c>
      <c r="B31" s="17" t="n">
        <v>2750</v>
      </c>
      <c r="C31" s="18">
        <f>(2409.0/B31*100)</f>
        <v/>
      </c>
      <c r="D31" s="19" t="n">
        <v>341</v>
      </c>
      <c r="E31" s="18" t="n">
        <v>48.16132904</v>
      </c>
      <c r="F31" s="20" t="n">
        <v>3.36226645</v>
      </c>
      <c r="G31" s="18" t="n">
        <v>51.29664647</v>
      </c>
      <c r="H31" s="20" t="n">
        <v>3.40160536</v>
      </c>
      <c r="I31" s="18" t="s">
        <v>431</v>
      </c>
      <c r="J31" s="20" t="s">
        <v>431</v>
      </c>
      <c r="K31" s="18" t="n">
        <v>0.28023909</v>
      </c>
      <c r="L31" s="20" t="n">
        <v>0.2705571</v>
      </c>
      <c r="M31" s="18" t="n">
        <v>0</v>
      </c>
      <c r="N31" s="20" t="n">
        <v>0</v>
      </c>
      <c r="O31" s="18" t="n">
        <v>0</v>
      </c>
      <c r="P31" s="20" t="n">
        <v>0</v>
      </c>
      <c r="Q31" s="18" t="n">
        <v>0.2617854</v>
      </c>
      <c r="R31" s="20" t="n">
        <v>0.26195954</v>
      </c>
    </row>
    <row r="32" spans="1:18">
      <c r="A32" s="15" t="s">
        <v>456</v>
      </c>
      <c r="B32" s="17" t="n">
        <v>2269</v>
      </c>
      <c r="C32" s="18">
        <f>(1892.0/B32*100)</f>
        <v/>
      </c>
      <c r="D32" s="19" t="n">
        <v>377</v>
      </c>
      <c r="E32" s="18" t="n">
        <v>31.0626159</v>
      </c>
      <c r="F32" s="20" t="n">
        <v>2.68563082</v>
      </c>
      <c r="G32" s="18" t="n">
        <v>68.44047598</v>
      </c>
      <c r="H32" s="20" t="n">
        <v>2.68549293</v>
      </c>
      <c r="I32" s="18" t="s">
        <v>431</v>
      </c>
      <c r="J32" s="20" t="s">
        <v>431</v>
      </c>
      <c r="K32" s="18" t="n">
        <v>0.27402703</v>
      </c>
      <c r="L32" s="20" t="n">
        <v>0.23875875</v>
      </c>
      <c r="M32" s="18" t="n">
        <v>0</v>
      </c>
      <c r="N32" s="20" t="n">
        <v>0</v>
      </c>
      <c r="O32" s="18" t="n">
        <v>0</v>
      </c>
      <c r="P32" s="20" t="n">
        <v>0</v>
      </c>
      <c r="Q32" s="18" t="n">
        <v>0.22288109</v>
      </c>
      <c r="R32" s="20" t="n">
        <v>0.23151155</v>
      </c>
    </row>
    <row r="33" spans="1:18">
      <c r="A33" s="15" t="s">
        <v>457</v>
      </c>
      <c r="B33" s="17" t="n">
        <v>3674</v>
      </c>
      <c r="C33" s="18">
        <f>(3232.0/B33*100)</f>
        <v/>
      </c>
      <c r="D33" s="19" t="n">
        <v>442</v>
      </c>
      <c r="E33" s="18" t="n">
        <v>37.45706441</v>
      </c>
      <c r="F33" s="20" t="n">
        <v>2.88615117</v>
      </c>
      <c r="G33" s="18" t="n">
        <v>62.47431019</v>
      </c>
      <c r="H33" s="20" t="n">
        <v>2.88570931</v>
      </c>
      <c r="I33" s="18" t="s">
        <v>431</v>
      </c>
      <c r="J33" s="20" t="s">
        <v>431</v>
      </c>
      <c r="K33" s="18" t="n">
        <v>0</v>
      </c>
      <c r="L33" s="20" t="n">
        <v>0</v>
      </c>
      <c r="M33" s="18" t="n">
        <v>0</v>
      </c>
      <c r="N33" s="20" t="n">
        <v>0</v>
      </c>
      <c r="O33" s="18" t="n">
        <v>0</v>
      </c>
      <c r="P33" s="20" t="n">
        <v>0</v>
      </c>
      <c r="Q33" s="18" t="n">
        <v>0.06862538999999999</v>
      </c>
      <c r="R33" s="20" t="n">
        <v>0.0692045</v>
      </c>
    </row>
    <row r="34" spans="1:18">
      <c r="A34" s="15" t="s">
        <v>458</v>
      </c>
      <c r="B34" s="17" t="n">
        <v>3315</v>
      </c>
      <c r="C34" s="18">
        <f>(2914.0/B34*100)</f>
        <v/>
      </c>
      <c r="D34" s="19" t="n">
        <v>401</v>
      </c>
      <c r="E34" s="18" t="n">
        <v>55.46822371</v>
      </c>
      <c r="F34" s="20" t="n">
        <v>2.75521121</v>
      </c>
      <c r="G34" s="18" t="n">
        <v>43.89139636</v>
      </c>
      <c r="H34" s="20" t="n">
        <v>2.6837409</v>
      </c>
      <c r="I34" s="18" t="s">
        <v>431</v>
      </c>
      <c r="J34" s="20" t="s">
        <v>431</v>
      </c>
      <c r="K34" s="18" t="n">
        <v>0.39190816</v>
      </c>
      <c r="L34" s="20" t="n">
        <v>0.27447586</v>
      </c>
      <c r="M34" s="18" t="n">
        <v>0</v>
      </c>
      <c r="N34" s="20" t="n">
        <v>0</v>
      </c>
      <c r="O34" s="18" t="n">
        <v>0</v>
      </c>
      <c r="P34" s="20" t="n">
        <v>0</v>
      </c>
      <c r="Q34" s="18" t="n">
        <v>0.24847177</v>
      </c>
      <c r="R34" s="20" t="n">
        <v>0.24888071</v>
      </c>
    </row>
    <row r="35" spans="1:18">
      <c r="A35" s="15" t="s">
        <v>459</v>
      </c>
      <c r="B35" s="17" t="n">
        <v>3505</v>
      </c>
      <c r="C35" s="18">
        <f>(3084.0/B35*100)</f>
        <v/>
      </c>
      <c r="D35" s="19" t="n">
        <v>421</v>
      </c>
      <c r="E35" s="18" t="n">
        <v>35.85280194</v>
      </c>
      <c r="F35" s="20" t="n">
        <v>2.25125137</v>
      </c>
      <c r="G35" s="18" t="n">
        <v>63.25983435</v>
      </c>
      <c r="H35" s="20" t="n">
        <v>2.34658085</v>
      </c>
      <c r="I35" s="18" t="s">
        <v>431</v>
      </c>
      <c r="J35" s="20" t="s">
        <v>431</v>
      </c>
      <c r="K35" s="18" t="n">
        <v>0.13667915</v>
      </c>
      <c r="L35" s="20" t="n">
        <v>0.13515363</v>
      </c>
      <c r="M35" s="18" t="n">
        <v>0</v>
      </c>
      <c r="N35" s="20" t="n">
        <v>0</v>
      </c>
      <c r="O35" s="18" t="n">
        <v>0</v>
      </c>
      <c r="P35" s="20" t="n">
        <v>0</v>
      </c>
      <c r="Q35" s="18" t="n">
        <v>0.75068455</v>
      </c>
      <c r="R35" s="20" t="n">
        <v>0.43688918</v>
      </c>
    </row>
    <row r="36" spans="1:18">
      <c r="A36" s="15" t="s">
        <v>460</v>
      </c>
      <c r="B36" s="17" t="n">
        <v>3332</v>
      </c>
      <c r="C36" s="18">
        <f>(2919.0/B36*100)</f>
        <v/>
      </c>
      <c r="D36" s="19" t="n">
        <v>413</v>
      </c>
      <c r="E36" s="18" t="n">
        <v>37.89320597</v>
      </c>
      <c r="F36" s="20" t="n">
        <v>2.672477</v>
      </c>
      <c r="G36" s="18" t="n">
        <v>61.57295146</v>
      </c>
      <c r="H36" s="20" t="n">
        <v>2.68405039</v>
      </c>
      <c r="I36" s="18" t="s">
        <v>431</v>
      </c>
      <c r="J36" s="20" t="s">
        <v>431</v>
      </c>
      <c r="K36" s="18" t="n">
        <v>0</v>
      </c>
      <c r="L36" s="20" t="n">
        <v>0</v>
      </c>
      <c r="M36" s="18" t="n">
        <v>0</v>
      </c>
      <c r="N36" s="20" t="n">
        <v>0</v>
      </c>
      <c r="O36" s="18" t="n">
        <v>0</v>
      </c>
      <c r="P36" s="20" t="n">
        <v>0</v>
      </c>
      <c r="Q36" s="18" t="n">
        <v>0.53384257</v>
      </c>
      <c r="R36" s="20" t="n">
        <v>0.33842993</v>
      </c>
    </row>
    <row r="37" spans="1:18">
      <c r="A37" s="15" t="s">
        <v>461</v>
      </c>
      <c r="B37" s="17" t="n">
        <v>2727</v>
      </c>
      <c r="C37" s="18">
        <f>(2394.0/B37*100)</f>
        <v/>
      </c>
      <c r="D37" s="19" t="n">
        <v>333</v>
      </c>
      <c r="E37" s="18" t="n">
        <v>35.83956135</v>
      </c>
      <c r="F37" s="20" t="n">
        <v>2.8719112</v>
      </c>
      <c r="G37" s="18" t="n">
        <v>61.06912846</v>
      </c>
      <c r="H37" s="20" t="n">
        <v>2.93354719</v>
      </c>
      <c r="I37" s="18" t="s">
        <v>431</v>
      </c>
      <c r="J37" s="20" t="s">
        <v>431</v>
      </c>
      <c r="K37" s="18" t="n">
        <v>1.3862458</v>
      </c>
      <c r="L37" s="20" t="n">
        <v>0.60268713</v>
      </c>
      <c r="M37" s="18" t="n">
        <v>0</v>
      </c>
      <c r="N37" s="20" t="n">
        <v>0</v>
      </c>
      <c r="O37" s="18" t="n">
        <v>0</v>
      </c>
      <c r="P37" s="20" t="n">
        <v>0</v>
      </c>
      <c r="Q37" s="18" t="n">
        <v>1.70506438</v>
      </c>
      <c r="R37" s="20" t="n">
        <v>0.68389755</v>
      </c>
    </row>
    <row r="38" spans="1:18">
      <c r="A38" s="15" t="s">
        <v>462</v>
      </c>
      <c r="B38" s="17" t="n">
        <v>3053</v>
      </c>
      <c r="C38" s="18">
        <f>(2511.0/B38*100)</f>
        <v/>
      </c>
      <c r="D38" s="19" t="n">
        <v>542</v>
      </c>
      <c r="E38" s="18" t="n">
        <v>41.92086241</v>
      </c>
      <c r="F38" s="20" t="n">
        <v>2.56339599</v>
      </c>
      <c r="G38" s="18" t="n">
        <v>56.17906399</v>
      </c>
      <c r="H38" s="20" t="n">
        <v>2.50276096</v>
      </c>
      <c r="I38" s="18" t="s">
        <v>431</v>
      </c>
      <c r="J38" s="20" t="s">
        <v>431</v>
      </c>
      <c r="K38" s="18" t="n">
        <v>0.64451842</v>
      </c>
      <c r="L38" s="20" t="n">
        <v>0.36845599</v>
      </c>
      <c r="M38" s="18" t="n">
        <v>0</v>
      </c>
      <c r="N38" s="20" t="n">
        <v>0</v>
      </c>
      <c r="O38" s="18" t="n">
        <v>0</v>
      </c>
      <c r="P38" s="20" t="n">
        <v>0</v>
      </c>
      <c r="Q38" s="18" t="n">
        <v>1.25555518</v>
      </c>
      <c r="R38" s="20" t="n">
        <v>0.52721415</v>
      </c>
    </row>
    <row r="39" spans="1:18">
      <c r="A39" s="15" t="s">
        <v>463</v>
      </c>
      <c r="B39" s="17" t="n">
        <v>2957</v>
      </c>
      <c r="C39" s="18">
        <f>(2585.0/B39*100)</f>
        <v/>
      </c>
      <c r="D39" s="19" t="n">
        <v>372</v>
      </c>
      <c r="E39" s="18" t="n">
        <v>55.6946461</v>
      </c>
      <c r="F39" s="20" t="n">
        <v>2.65343987</v>
      </c>
      <c r="G39" s="18" t="n">
        <v>44.10515508</v>
      </c>
      <c r="H39" s="20" t="n">
        <v>2.70385606</v>
      </c>
      <c r="I39" s="18" t="s">
        <v>431</v>
      </c>
      <c r="J39" s="20" t="s">
        <v>431</v>
      </c>
      <c r="K39" s="18" t="n">
        <v>0</v>
      </c>
      <c r="L39" s="20" t="n">
        <v>0</v>
      </c>
      <c r="M39" s="18" t="n">
        <v>0</v>
      </c>
      <c r="N39" s="20" t="n">
        <v>0</v>
      </c>
      <c r="O39" s="18" t="n">
        <v>0</v>
      </c>
      <c r="P39" s="20" t="n">
        <v>0</v>
      </c>
      <c r="Q39" s="18" t="n">
        <v>0.20019882</v>
      </c>
      <c r="R39" s="20" t="n">
        <v>0.2839534</v>
      </c>
    </row>
    <row r="40" spans="1:18">
      <c r="A40" s="15" t="s">
        <v>464</v>
      </c>
      <c r="B40" s="17" t="n">
        <v>7235</v>
      </c>
      <c r="C40" s="18">
        <f>(6335.0/B40*100)</f>
        <v/>
      </c>
      <c r="D40" s="19" t="n">
        <v>900</v>
      </c>
      <c r="E40" s="18" t="n">
        <v>36.24100641</v>
      </c>
      <c r="F40" s="20" t="n">
        <v>2.35336505</v>
      </c>
      <c r="G40" s="18" t="n">
        <v>62.13960741</v>
      </c>
      <c r="H40" s="20" t="n">
        <v>2.24087735</v>
      </c>
      <c r="I40" s="18" t="s">
        <v>431</v>
      </c>
      <c r="J40" s="20" t="s">
        <v>431</v>
      </c>
      <c r="K40" s="18" t="n">
        <v>0.27133267</v>
      </c>
      <c r="L40" s="20" t="n">
        <v>0.09009194</v>
      </c>
      <c r="M40" s="18" t="n">
        <v>0</v>
      </c>
      <c r="N40" s="20" t="n">
        <v>0</v>
      </c>
      <c r="O40" s="18" t="n">
        <v>0</v>
      </c>
      <c r="P40" s="20" t="n">
        <v>0</v>
      </c>
      <c r="Q40" s="18" t="n">
        <v>1.34805351</v>
      </c>
      <c r="R40" s="20" t="n">
        <v>0.65182304</v>
      </c>
    </row>
    <row r="41" spans="1:18">
      <c r="A41" s="15" t="s">
        <v>465</v>
      </c>
      <c r="B41" s="17" t="n">
        <v>2858</v>
      </c>
      <c r="C41" s="18">
        <f>(2504.0/B41*100)</f>
        <v/>
      </c>
      <c r="D41" s="19" t="n">
        <v>354</v>
      </c>
      <c r="E41" s="18" t="n">
        <v>40.01556327</v>
      </c>
      <c r="F41" s="20" t="n">
        <v>2.47753893</v>
      </c>
      <c r="G41" s="18" t="n">
        <v>59.63943317</v>
      </c>
      <c r="H41" s="20" t="n">
        <v>2.46835035</v>
      </c>
      <c r="I41" s="18" t="s">
        <v>431</v>
      </c>
      <c r="J41" s="20" t="s">
        <v>431</v>
      </c>
      <c r="K41" s="18" t="n">
        <v>0.23006513</v>
      </c>
      <c r="L41" s="20" t="n">
        <v>0.23456132</v>
      </c>
      <c r="M41" s="18" t="n">
        <v>0</v>
      </c>
      <c r="N41" s="20" t="n">
        <v>0</v>
      </c>
      <c r="O41" s="18" t="n">
        <v>0</v>
      </c>
      <c r="P41" s="20" t="n">
        <v>0</v>
      </c>
      <c r="Q41" s="18" t="n">
        <v>0.11493843</v>
      </c>
      <c r="R41" s="20" t="n">
        <v>0.11988904</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(4513.0/B48*100)</f>
        <v/>
      </c>
      <c r="D48" s="19" t="n">
        <v>646</v>
      </c>
      <c r="E48" s="18" t="n">
        <v>29.17065009</v>
      </c>
      <c r="F48" s="20" t="n">
        <v>2.26327259</v>
      </c>
      <c r="G48" s="18" t="n">
        <v>70.07313680999999</v>
      </c>
      <c r="H48" s="20" t="n">
        <v>2.25594275</v>
      </c>
      <c r="I48" s="18" t="s">
        <v>431</v>
      </c>
      <c r="J48" s="20" t="s">
        <v>431</v>
      </c>
      <c r="K48" s="18" t="n">
        <v>0.27510066</v>
      </c>
      <c r="L48" s="20" t="n">
        <v>0.28525412</v>
      </c>
      <c r="M48" s="18" t="n">
        <v>0</v>
      </c>
      <c r="N48" s="20" t="n">
        <v>0</v>
      </c>
      <c r="O48" s="18" t="n">
        <v>0</v>
      </c>
      <c r="P48" s="20" t="n">
        <v>0</v>
      </c>
      <c r="Q48" s="18" t="n">
        <v>0.48111244</v>
      </c>
      <c r="R48" s="20" t="n">
        <v>0.30173885</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(2456.0/B52*100)</f>
        <v/>
      </c>
      <c r="D52" s="19" t="n">
        <v>340</v>
      </c>
      <c r="E52" s="18" t="n">
        <v>38.98820989</v>
      </c>
      <c r="F52" s="20" t="n">
        <v>2.91109139</v>
      </c>
      <c r="G52" s="18" t="n">
        <v>60.2146784</v>
      </c>
      <c r="H52" s="20" t="n">
        <v>2.95928757</v>
      </c>
      <c r="I52" s="18" t="s">
        <v>431</v>
      </c>
      <c r="J52" s="20" t="s">
        <v>431</v>
      </c>
      <c r="K52" s="18" t="n">
        <v>0</v>
      </c>
      <c r="L52" s="20" t="n">
        <v>0</v>
      </c>
      <c r="M52" s="18" t="n">
        <v>0</v>
      </c>
      <c r="N52" s="20" t="n">
        <v>0</v>
      </c>
      <c r="O52" s="18" t="n">
        <v>0</v>
      </c>
      <c r="P52" s="20" t="n">
        <v>0</v>
      </c>
      <c r="Q52" s="18" t="n">
        <v>0.79711171</v>
      </c>
      <c r="R52" s="20" t="n">
        <v>0.46333153</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21.40763223</v>
      </c>
      <c r="F56" s="20" t="n">
        <v>2.38767932</v>
      </c>
      <c r="G56" s="18" t="n">
        <v>78.10513245999999</v>
      </c>
      <c r="H56" s="20" t="n">
        <v>2.40495214</v>
      </c>
      <c r="I56" s="18" t="s">
        <v>431</v>
      </c>
      <c r="J56" s="20" t="s">
        <v>431</v>
      </c>
      <c r="K56" s="18" t="n">
        <v>0.1886532</v>
      </c>
      <c r="L56" s="20" t="n">
        <v>0.18834262</v>
      </c>
      <c r="M56" s="18" t="n">
        <v>0</v>
      </c>
      <c r="N56" s="20" t="n">
        <v>0</v>
      </c>
      <c r="O56" s="18" t="n">
        <v>0</v>
      </c>
      <c r="P56" s="20" t="n">
        <v>0</v>
      </c>
      <c r="Q56" s="18" t="n">
        <v>0.29858212</v>
      </c>
      <c r="R56" s="20" t="n">
        <v>0.29970228</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(2893.0/B61*100)</f>
        <v/>
      </c>
      <c r="D61" s="19" t="n">
        <v>431</v>
      </c>
      <c r="E61" s="18" t="n">
        <v>35.51166343</v>
      </c>
      <c r="F61" s="20" t="n">
        <v>2.62271838</v>
      </c>
      <c r="G61" s="18" t="n">
        <v>63.57811566</v>
      </c>
      <c r="H61" s="20" t="n">
        <v>2.54359495</v>
      </c>
      <c r="I61" s="18" t="s">
        <v>431</v>
      </c>
      <c r="J61" s="20" t="s">
        <v>431</v>
      </c>
      <c r="K61" s="18" t="n">
        <v>0.05016926</v>
      </c>
      <c r="L61" s="20" t="n">
        <v>0.05016749</v>
      </c>
      <c r="M61" s="18" t="n">
        <v>0</v>
      </c>
      <c r="N61" s="20" t="n">
        <v>0</v>
      </c>
      <c r="O61" s="18" t="n">
        <v>0</v>
      </c>
      <c r="P61" s="20" t="n">
        <v>0</v>
      </c>
      <c r="Q61" s="18" t="n">
        <v>0.8600516499999999</v>
      </c>
      <c r="R61" s="20" t="n">
        <v>0.44466358</v>
      </c>
    </row>
    <row r="62" spans="1:18">
      <c r="A62" s="15" t="s">
        <v>486</v>
      </c>
      <c r="B62" s="17" t="n">
        <v>2246</v>
      </c>
      <c r="C62" s="18">
        <f>(1968.0/B62*100)</f>
        <v/>
      </c>
      <c r="D62" s="19" t="n">
        <v>278</v>
      </c>
      <c r="E62" s="18" t="n">
        <v>38.10401175</v>
      </c>
      <c r="F62" s="20" t="n">
        <v>2.81228492</v>
      </c>
      <c r="G62" s="18" t="n">
        <v>61.16903453</v>
      </c>
      <c r="H62" s="20" t="n">
        <v>2.83324943</v>
      </c>
      <c r="I62" s="18" t="s">
        <v>431</v>
      </c>
      <c r="J62" s="20" t="s">
        <v>431</v>
      </c>
      <c r="K62" s="18" t="n">
        <v>0.369637</v>
      </c>
      <c r="L62" s="20" t="n">
        <v>0.36814948</v>
      </c>
      <c r="M62" s="18" t="n">
        <v>0</v>
      </c>
      <c r="N62" s="20" t="n">
        <v>0</v>
      </c>
      <c r="O62" s="18" t="n">
        <v>0</v>
      </c>
      <c r="P62" s="20" t="n">
        <v>0</v>
      </c>
      <c r="Q62" s="18" t="n">
        <v>0.35731672</v>
      </c>
      <c r="R62" s="20" t="n">
        <v>0.35974984</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(2558.0/B66*100)</f>
        <v/>
      </c>
      <c r="D66" s="19" t="n">
        <v>336</v>
      </c>
      <c r="E66" s="18" t="n">
        <v>47.94538388</v>
      </c>
      <c r="F66" s="20" t="n">
        <v>2.98960152</v>
      </c>
      <c r="G66" s="18" t="n">
        <v>46.42637489</v>
      </c>
      <c r="H66" s="20" t="n">
        <v>2.75825276</v>
      </c>
      <c r="I66" s="18" t="s">
        <v>431</v>
      </c>
      <c r="J66" s="20" t="s">
        <v>431</v>
      </c>
      <c r="K66" s="18" t="n">
        <v>1.40760453</v>
      </c>
      <c r="L66" s="20" t="n">
        <v>0.63907031</v>
      </c>
      <c r="M66" s="18" t="n">
        <v>0</v>
      </c>
      <c r="N66" s="20" t="n">
        <v>0</v>
      </c>
      <c r="O66" s="18" t="n">
        <v>0</v>
      </c>
      <c r="P66" s="20" t="n">
        <v>0</v>
      </c>
      <c r="Q66" s="18" t="n">
        <v>4.2206367</v>
      </c>
      <c r="R66" s="20" t="n">
        <v>1.0896027</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(2587.0/B70*100)</f>
        <v/>
      </c>
      <c r="D70" s="19" t="n">
        <v>342</v>
      </c>
      <c r="E70" s="18" t="n">
        <v>23.98704425</v>
      </c>
      <c r="F70" s="20" t="n">
        <v>2.99313016</v>
      </c>
      <c r="G70" s="18" t="n">
        <v>75.30304538</v>
      </c>
      <c r="H70" s="20" t="n">
        <v>3.16230001</v>
      </c>
      <c r="I70" s="18" t="s">
        <v>431</v>
      </c>
      <c r="J70" s="20" t="s">
        <v>431</v>
      </c>
      <c r="K70" s="18" t="n">
        <v>0.5139584</v>
      </c>
      <c r="L70" s="20" t="n">
        <v>0.43213001</v>
      </c>
      <c r="M70" s="18" t="n">
        <v>0</v>
      </c>
      <c r="N70" s="20" t="n">
        <v>0</v>
      </c>
      <c r="O70" s="18" t="n">
        <v>0</v>
      </c>
      <c r="P70" s="20" t="n">
        <v>0</v>
      </c>
      <c r="Q70" s="18" t="n">
        <v>0.19595197</v>
      </c>
      <c r="R70" s="20" t="n">
        <v>0.16645609</v>
      </c>
    </row>
    <row r="71" spans="1:18">
      <c r="A71" s="15" t="s">
        <v>495</v>
      </c>
      <c r="B71" s="17" t="n">
        <v>3142</v>
      </c>
      <c r="C71" s="18">
        <f>(2763.0/B71*100)</f>
        <v/>
      </c>
      <c r="D71" s="19" t="n">
        <v>379</v>
      </c>
      <c r="E71" s="18" t="n">
        <v>29.36488047</v>
      </c>
      <c r="F71" s="20" t="n">
        <v>2.49565655</v>
      </c>
      <c r="G71" s="18" t="n">
        <v>69.41863716</v>
      </c>
      <c r="H71" s="20" t="n">
        <v>2.57405147</v>
      </c>
      <c r="I71" s="18" t="s">
        <v>431</v>
      </c>
      <c r="J71" s="20" t="s">
        <v>431</v>
      </c>
      <c r="K71" s="18" t="n">
        <v>1.21648237</v>
      </c>
      <c r="L71" s="20" t="n">
        <v>0.5222358</v>
      </c>
      <c r="M71" s="18" t="n">
        <v>0</v>
      </c>
      <c r="N71" s="20" t="n">
        <v>0</v>
      </c>
      <c r="O71" s="18" t="n">
        <v>0</v>
      </c>
      <c r="P71" s="20" t="n">
        <v>0</v>
      </c>
      <c r="Q71" s="18" t="n">
        <v>0</v>
      </c>
      <c r="R71" s="20" t="n">
        <v>0</v>
      </c>
    </row>
    <row r="72" spans="1:18">
      <c r="A72" s="15" t="s">
        <v>496</v>
      </c>
      <c r="B72" s="17" t="n">
        <v>3889</v>
      </c>
      <c r="C72" s="18">
        <f>(3415.0/B72*100)</f>
        <v/>
      </c>
      <c r="D72" s="19" t="n">
        <v>474</v>
      </c>
      <c r="E72" s="18" t="n">
        <v>38.57249056</v>
      </c>
      <c r="F72" s="20" t="n">
        <v>2.34013777</v>
      </c>
      <c r="G72" s="18" t="n">
        <v>60.81148145</v>
      </c>
      <c r="H72" s="20" t="n">
        <v>2.33494419</v>
      </c>
      <c r="I72" s="18" t="s">
        <v>431</v>
      </c>
      <c r="J72" s="20" t="s">
        <v>431</v>
      </c>
      <c r="K72" s="18" t="n">
        <v>0.31186148</v>
      </c>
      <c r="L72" s="20" t="n">
        <v>0.2223452</v>
      </c>
      <c r="M72" s="18" t="n">
        <v>0</v>
      </c>
      <c r="N72" s="20" t="n">
        <v>0</v>
      </c>
      <c r="O72" s="18" t="n">
        <v>0</v>
      </c>
      <c r="P72" s="20" t="n">
        <v>0</v>
      </c>
      <c r="Q72" s="18" t="n">
        <v>0.30416651</v>
      </c>
      <c r="R72" s="20" t="n">
        <v>0.22213435</v>
      </c>
    </row>
    <row r="73" spans="1:18">
      <c r="A73" s="15" t="s">
        <v>497</v>
      </c>
      <c r="B73" s="17" t="n">
        <v>3597</v>
      </c>
      <c r="C73" s="18">
        <f>(3155.0/B73*100)</f>
        <v/>
      </c>
      <c r="D73" s="19" t="n">
        <v>442</v>
      </c>
      <c r="E73" s="18" t="n">
        <v>61.53004469</v>
      </c>
      <c r="F73" s="20" t="n">
        <v>3.23784967</v>
      </c>
      <c r="G73" s="18" t="n">
        <v>37.12730459</v>
      </c>
      <c r="H73" s="20" t="n">
        <v>3.15020633</v>
      </c>
      <c r="I73" s="18" t="s">
        <v>431</v>
      </c>
      <c r="J73" s="20" t="s">
        <v>431</v>
      </c>
      <c r="K73" s="18" t="n">
        <v>0.33843124</v>
      </c>
      <c r="L73" s="20" t="n">
        <v>0.35266185</v>
      </c>
      <c r="M73" s="18" t="n">
        <v>0</v>
      </c>
      <c r="N73" s="20" t="n">
        <v>0</v>
      </c>
      <c r="O73" s="18" t="n">
        <v>0</v>
      </c>
      <c r="P73" s="20" t="n">
        <v>0</v>
      </c>
      <c r="Q73" s="18" t="n">
        <v>1.00421948</v>
      </c>
      <c r="R73" s="20" t="n">
        <v>0.61206619</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(6448.0/B7*100)</f>
        <v/>
      </c>
      <c r="D7" s="19" t="n">
        <v>919</v>
      </c>
      <c r="E7" s="18" t="n">
        <v>53.99638058</v>
      </c>
      <c r="F7" s="20" t="n">
        <v>1.7262121</v>
      </c>
      <c r="G7" s="18" t="n">
        <v>45.29220928</v>
      </c>
      <c r="H7" s="20" t="n">
        <v>1.7087924</v>
      </c>
      <c r="I7" s="18" t="s">
        <v>431</v>
      </c>
      <c r="J7" s="20" t="s">
        <v>431</v>
      </c>
      <c r="K7" s="18" t="n">
        <v>0.58804188</v>
      </c>
      <c r="L7" s="20" t="n">
        <v>0.26000657</v>
      </c>
      <c r="M7" s="18" t="n">
        <v>0</v>
      </c>
      <c r="N7" s="20" t="n">
        <v>0</v>
      </c>
      <c r="O7" s="18" t="n">
        <v>0</v>
      </c>
      <c r="P7" s="20" t="n">
        <v>0</v>
      </c>
      <c r="Q7" s="18" t="n">
        <v>0.12336826</v>
      </c>
      <c r="R7" s="20" t="n">
        <v>0.10648978</v>
      </c>
    </row>
    <row r="8" spans="1:18">
      <c r="A8" s="15" t="s">
        <v>432</v>
      </c>
      <c r="B8" s="17" t="n">
        <v>3564</v>
      </c>
      <c r="C8" s="18">
        <f>(3147.0/B8*100)</f>
        <v/>
      </c>
      <c r="D8" s="19" t="n">
        <v>417</v>
      </c>
      <c r="E8" s="18" t="n">
        <v>46.76337464</v>
      </c>
      <c r="F8" s="20" t="n">
        <v>2.63993501</v>
      </c>
      <c r="G8" s="18" t="n">
        <v>51.97143749</v>
      </c>
      <c r="H8" s="20" t="n">
        <v>2.57697338</v>
      </c>
      <c r="I8" s="18" t="s">
        <v>431</v>
      </c>
      <c r="J8" s="20" t="s">
        <v>431</v>
      </c>
      <c r="K8" s="18" t="n">
        <v>0.43810235</v>
      </c>
      <c r="L8" s="20" t="n">
        <v>0.4036839</v>
      </c>
      <c r="M8" s="18" t="n">
        <v>0</v>
      </c>
      <c r="N8" s="20" t="n">
        <v>0</v>
      </c>
      <c r="O8" s="18" t="n">
        <v>0</v>
      </c>
      <c r="P8" s="20" t="n">
        <v>0</v>
      </c>
      <c r="Q8" s="18" t="n">
        <v>0.82708552</v>
      </c>
      <c r="R8" s="20" t="n">
        <v>0.52269998</v>
      </c>
    </row>
    <row r="9" spans="1:18">
      <c r="A9" s="15" t="s">
        <v>433</v>
      </c>
      <c r="B9" s="17" t="n">
        <v>4899</v>
      </c>
      <c r="C9" s="18">
        <f>(4306.0/B9*100)</f>
        <v/>
      </c>
      <c r="D9" s="19" t="n">
        <v>593</v>
      </c>
      <c r="E9" s="18" t="n">
        <v>42.09745888</v>
      </c>
      <c r="F9" s="20" t="n">
        <v>1.86286412</v>
      </c>
      <c r="G9" s="18" t="n">
        <v>56.63278368</v>
      </c>
      <c r="H9" s="20" t="n">
        <v>1.89965427</v>
      </c>
      <c r="I9" s="18" t="s">
        <v>431</v>
      </c>
      <c r="J9" s="20" t="s">
        <v>431</v>
      </c>
      <c r="K9" s="18" t="n">
        <v>0.57699521</v>
      </c>
      <c r="L9" s="20" t="n">
        <v>0.32781562</v>
      </c>
      <c r="M9" s="18" t="n">
        <v>0</v>
      </c>
      <c r="N9" s="20" t="n">
        <v>0</v>
      </c>
      <c r="O9" s="18" t="n">
        <v>0</v>
      </c>
      <c r="P9" s="20" t="n">
        <v>0</v>
      </c>
      <c r="Q9" s="18" t="n">
        <v>0.69276223</v>
      </c>
      <c r="R9" s="20" t="n">
        <v>0.34960089</v>
      </c>
    </row>
    <row r="10" spans="1:18">
      <c r="A10" s="15" t="s">
        <v>434</v>
      </c>
      <c r="B10" s="17" t="n">
        <v>10036</v>
      </c>
      <c r="C10" s="18">
        <f>(8835.0/B10*100)</f>
        <v/>
      </c>
      <c r="D10" s="19" t="n">
        <v>1201</v>
      </c>
      <c r="E10" s="18" t="n">
        <v>45.54194584</v>
      </c>
      <c r="F10" s="20" t="n">
        <v>2.24081189</v>
      </c>
      <c r="G10" s="18" t="n">
        <v>52.46368149</v>
      </c>
      <c r="H10" s="20" t="n">
        <v>2.15982141</v>
      </c>
      <c r="I10" s="18" t="s">
        <v>431</v>
      </c>
      <c r="J10" s="20" t="s">
        <v>431</v>
      </c>
      <c r="K10" s="18" t="n">
        <v>1.38054808</v>
      </c>
      <c r="L10" s="20" t="n">
        <v>0.48042592</v>
      </c>
      <c r="M10" s="18" t="n">
        <v>0</v>
      </c>
      <c r="N10" s="20" t="n">
        <v>0</v>
      </c>
      <c r="O10" s="18" t="n">
        <v>0</v>
      </c>
      <c r="P10" s="20" t="n">
        <v>0</v>
      </c>
      <c r="Q10" s="18" t="n">
        <v>0.61382459</v>
      </c>
      <c r="R10" s="20" t="n">
        <v>0.29411481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(3043.0/B12*100)</f>
        <v/>
      </c>
      <c r="D12" s="19" t="n">
        <v>429</v>
      </c>
      <c r="E12" s="18" t="n">
        <v>49.11421948</v>
      </c>
      <c r="F12" s="20" t="n">
        <v>2.92739639</v>
      </c>
      <c r="G12" s="18" t="n">
        <v>50.75391484</v>
      </c>
      <c r="H12" s="20" t="n">
        <v>2.93678081</v>
      </c>
      <c r="I12" s="18" t="s">
        <v>431</v>
      </c>
      <c r="J12" s="20" t="s">
        <v>431</v>
      </c>
      <c r="K12" s="18" t="n">
        <v>0</v>
      </c>
      <c r="L12" s="20" t="n">
        <v>0</v>
      </c>
      <c r="M12" s="18" t="n">
        <v>0</v>
      </c>
      <c r="N12" s="20" t="n">
        <v>0</v>
      </c>
      <c r="O12" s="18" t="n">
        <v>0</v>
      </c>
      <c r="P12" s="20" t="n">
        <v>0</v>
      </c>
      <c r="Q12" s="18" t="n">
        <v>0.13186568</v>
      </c>
      <c r="R12" s="20" t="n">
        <v>0.14012103</v>
      </c>
    </row>
    <row r="13" spans="1:18">
      <c r="A13" s="15" t="s">
        <v>437</v>
      </c>
      <c r="B13" s="17" t="n">
        <v>3559</v>
      </c>
      <c r="C13" s="18">
        <f>(3143.0/B13*100)</f>
        <v/>
      </c>
      <c r="D13" s="19" t="n">
        <v>416</v>
      </c>
      <c r="E13" s="18" t="n">
        <v>48.20466913</v>
      </c>
      <c r="F13" s="20" t="n">
        <v>2.9816846</v>
      </c>
      <c r="G13" s="18" t="n">
        <v>51.12921603</v>
      </c>
      <c r="H13" s="20" t="n">
        <v>3.03104461</v>
      </c>
      <c r="I13" s="18" t="s">
        <v>431</v>
      </c>
      <c r="J13" s="20" t="s">
        <v>431</v>
      </c>
      <c r="K13" s="18" t="n">
        <v>0.31417553</v>
      </c>
      <c r="L13" s="20" t="n">
        <v>0.19636356</v>
      </c>
      <c r="M13" s="18" t="n">
        <v>0</v>
      </c>
      <c r="N13" s="20" t="n">
        <v>0</v>
      </c>
      <c r="O13" s="18" t="n">
        <v>0</v>
      </c>
      <c r="P13" s="20" t="n">
        <v>0</v>
      </c>
      <c r="Q13" s="18" t="n">
        <v>0.35193932</v>
      </c>
      <c r="R13" s="20" t="n">
        <v>0.28921096</v>
      </c>
    </row>
    <row r="14" spans="1:18">
      <c r="A14" s="15" t="s">
        <v>438</v>
      </c>
      <c r="B14" s="17" t="n">
        <v>2799</v>
      </c>
      <c r="C14" s="18">
        <f>(2455.0/B14*100)</f>
        <v/>
      </c>
      <c r="D14" s="19" t="n">
        <v>344</v>
      </c>
      <c r="E14" s="18" t="n">
        <v>44.68235507</v>
      </c>
      <c r="F14" s="20" t="n">
        <v>3.09033304</v>
      </c>
      <c r="G14" s="18" t="n">
        <v>53.83165088</v>
      </c>
      <c r="H14" s="20" t="n">
        <v>3.10829584</v>
      </c>
      <c r="I14" s="18" t="s">
        <v>431</v>
      </c>
      <c r="J14" s="20" t="s">
        <v>431</v>
      </c>
      <c r="K14" s="18" t="n">
        <v>0.84013469</v>
      </c>
      <c r="L14" s="20" t="n">
        <v>0.48122411</v>
      </c>
      <c r="M14" s="18" t="n">
        <v>0</v>
      </c>
      <c r="N14" s="20" t="n">
        <v>0</v>
      </c>
      <c r="O14" s="18" t="n">
        <v>0</v>
      </c>
      <c r="P14" s="20" t="n">
        <v>0</v>
      </c>
      <c r="Q14" s="18" t="n">
        <v>0.64585936</v>
      </c>
      <c r="R14" s="20" t="n">
        <v>0.35971277</v>
      </c>
    </row>
    <row r="15" spans="1:18">
      <c r="A15" s="15" t="s">
        <v>439</v>
      </c>
      <c r="B15" s="17" t="n">
        <v>3019</v>
      </c>
      <c r="C15" s="18">
        <f>(2648.0/B15*100)</f>
        <v/>
      </c>
      <c r="D15" s="19" t="n">
        <v>371</v>
      </c>
      <c r="E15" s="18" t="n">
        <v>38.64964739</v>
      </c>
      <c r="F15" s="20" t="n">
        <v>2.68071106</v>
      </c>
      <c r="G15" s="18" t="n">
        <v>59.77814694</v>
      </c>
      <c r="H15" s="20" t="n">
        <v>2.69956405</v>
      </c>
      <c r="I15" s="18" t="s">
        <v>431</v>
      </c>
      <c r="J15" s="20" t="s">
        <v>431</v>
      </c>
      <c r="K15" s="18" t="n">
        <v>1.03410662</v>
      </c>
      <c r="L15" s="20" t="n">
        <v>0.52502913</v>
      </c>
      <c r="M15" s="18" t="n">
        <v>0</v>
      </c>
      <c r="N15" s="20" t="n">
        <v>0</v>
      </c>
      <c r="O15" s="18" t="n">
        <v>0</v>
      </c>
      <c r="P15" s="20" t="n">
        <v>0</v>
      </c>
      <c r="Q15" s="18" t="n">
        <v>0.53809905</v>
      </c>
      <c r="R15" s="20" t="n">
        <v>0.37992702</v>
      </c>
    </row>
    <row r="16" spans="1:18">
      <c r="A16" s="15" t="s">
        <v>440</v>
      </c>
      <c r="B16" s="17" t="n">
        <v>2997</v>
      </c>
      <c r="C16" s="18">
        <f>(2620.0/B16*100)</f>
        <v/>
      </c>
      <c r="D16" s="19" t="n">
        <v>377</v>
      </c>
      <c r="E16" s="18" t="n">
        <v>34.47478691</v>
      </c>
      <c r="F16" s="20" t="n">
        <v>2.40300605</v>
      </c>
      <c r="G16" s="18" t="n">
        <v>60.32381754</v>
      </c>
      <c r="H16" s="20" t="n">
        <v>2.56683075</v>
      </c>
      <c r="I16" s="18" t="s">
        <v>431</v>
      </c>
      <c r="J16" s="20" t="s">
        <v>431</v>
      </c>
      <c r="K16" s="18" t="n">
        <v>2.36452072</v>
      </c>
      <c r="L16" s="20" t="n">
        <v>0.8220502</v>
      </c>
      <c r="M16" s="18" t="n">
        <v>0</v>
      </c>
      <c r="N16" s="20" t="n">
        <v>0</v>
      </c>
      <c r="O16" s="18" t="n">
        <v>0</v>
      </c>
      <c r="P16" s="20" t="n">
        <v>0</v>
      </c>
      <c r="Q16" s="18" t="n">
        <v>2.83687482</v>
      </c>
      <c r="R16" s="20" t="n">
        <v>0.88661384</v>
      </c>
    </row>
    <row r="17" spans="1:18">
      <c r="A17" s="15" t="s">
        <v>441</v>
      </c>
      <c r="B17" s="17" t="n">
        <v>3307</v>
      </c>
      <c r="C17" s="18">
        <f>(2913.0/B17*100)</f>
        <v/>
      </c>
      <c r="D17" s="19" t="n">
        <v>394</v>
      </c>
      <c r="E17" s="18" t="n">
        <v>43.49500049</v>
      </c>
      <c r="F17" s="20" t="n">
        <v>2.80932762</v>
      </c>
      <c r="G17" s="18" t="n">
        <v>54.98243902</v>
      </c>
      <c r="H17" s="20" t="n">
        <v>2.93629313</v>
      </c>
      <c r="I17" s="18" t="s">
        <v>431</v>
      </c>
      <c r="J17" s="20" t="s">
        <v>431</v>
      </c>
      <c r="K17" s="18" t="n">
        <v>0.79164595</v>
      </c>
      <c r="L17" s="20" t="n">
        <v>0.44968239</v>
      </c>
      <c r="M17" s="18" t="n">
        <v>0</v>
      </c>
      <c r="N17" s="20" t="n">
        <v>0</v>
      </c>
      <c r="O17" s="18" t="n">
        <v>0</v>
      </c>
      <c r="P17" s="20" t="n">
        <v>0</v>
      </c>
      <c r="Q17" s="18" t="n">
        <v>0.73091454</v>
      </c>
      <c r="R17" s="20" t="n">
        <v>0.42135834</v>
      </c>
    </row>
    <row r="18" spans="1:18">
      <c r="A18" s="15" t="s">
        <v>442</v>
      </c>
      <c r="B18" s="17" t="n">
        <v>2826</v>
      </c>
      <c r="C18" s="18">
        <f>(2475.0/B18*100)</f>
        <v/>
      </c>
      <c r="D18" s="19" t="n">
        <v>351</v>
      </c>
      <c r="E18" s="18" t="n">
        <v>46.61876415</v>
      </c>
      <c r="F18" s="20" t="n">
        <v>3.22188928</v>
      </c>
      <c r="G18" s="18" t="n">
        <v>50.93306378</v>
      </c>
      <c r="H18" s="20" t="n">
        <v>3.12905985</v>
      </c>
      <c r="I18" s="18" t="s">
        <v>431</v>
      </c>
      <c r="J18" s="20" t="s">
        <v>431</v>
      </c>
      <c r="K18" s="18" t="n">
        <v>0.81128994</v>
      </c>
      <c r="L18" s="20" t="n">
        <v>0.6175637899999999</v>
      </c>
      <c r="M18" s="18" t="n">
        <v>0</v>
      </c>
      <c r="N18" s="20" t="n">
        <v>0</v>
      </c>
      <c r="O18" s="18" t="n">
        <v>0</v>
      </c>
      <c r="P18" s="20" t="n">
        <v>0</v>
      </c>
      <c r="Q18" s="18" t="n">
        <v>1.63688213</v>
      </c>
      <c r="R18" s="20" t="n">
        <v>0.87008547</v>
      </c>
    </row>
    <row r="19" spans="1:18">
      <c r="A19" s="15" t="s">
        <v>443</v>
      </c>
      <c r="B19" s="17" t="n">
        <v>2808</v>
      </c>
      <c r="C19" s="18">
        <f>(2467.0/B19*100)</f>
        <v/>
      </c>
      <c r="D19" s="19" t="n">
        <v>341</v>
      </c>
      <c r="E19" s="18" t="n">
        <v>54.2574382</v>
      </c>
      <c r="F19" s="20" t="n">
        <v>2.61922146</v>
      </c>
      <c r="G19" s="18" t="n">
        <v>45.19857983</v>
      </c>
      <c r="H19" s="20" t="n">
        <v>2.60801581</v>
      </c>
      <c r="I19" s="18" t="s">
        <v>431</v>
      </c>
      <c r="J19" s="20" t="s">
        <v>431</v>
      </c>
      <c r="K19" s="18" t="n">
        <v>0</v>
      </c>
      <c r="L19" s="20" t="n">
        <v>0</v>
      </c>
      <c r="M19" s="18" t="n">
        <v>0</v>
      </c>
      <c r="N19" s="20" t="n">
        <v>0</v>
      </c>
      <c r="O19" s="18" t="n">
        <v>0</v>
      </c>
      <c r="P19" s="20" t="n">
        <v>0</v>
      </c>
      <c r="Q19" s="18" t="n">
        <v>0.54398196</v>
      </c>
      <c r="R19" s="20" t="n">
        <v>0.41287435</v>
      </c>
    </row>
    <row r="20" spans="1:18">
      <c r="A20" s="15" t="s">
        <v>444</v>
      </c>
      <c r="B20" s="17" t="n">
        <v>1630</v>
      </c>
      <c r="C20" s="18">
        <f>(1444.0/B20*100)</f>
        <v/>
      </c>
      <c r="D20" s="19" t="n">
        <v>186</v>
      </c>
      <c r="E20" s="18" t="n">
        <v>63.38073903</v>
      </c>
      <c r="F20" s="20" t="n">
        <v>3.5596479</v>
      </c>
      <c r="G20" s="18" t="n">
        <v>34.58669</v>
      </c>
      <c r="H20" s="20" t="n">
        <v>3.43079905</v>
      </c>
      <c r="I20" s="18" t="s">
        <v>431</v>
      </c>
      <c r="J20" s="20" t="s">
        <v>431</v>
      </c>
      <c r="K20" s="18" t="n">
        <v>1.50062438</v>
      </c>
      <c r="L20" s="20" t="n">
        <v>0.87600665</v>
      </c>
      <c r="M20" s="18" t="n">
        <v>0</v>
      </c>
      <c r="N20" s="20" t="n">
        <v>0</v>
      </c>
      <c r="O20" s="18" t="n">
        <v>0</v>
      </c>
      <c r="P20" s="20" t="n">
        <v>0</v>
      </c>
      <c r="Q20" s="18" t="n">
        <v>0.53194659</v>
      </c>
      <c r="R20" s="20" t="n">
        <v>0.5263115</v>
      </c>
    </row>
    <row r="21" spans="1:18">
      <c r="A21" s="15" t="s">
        <v>445</v>
      </c>
      <c r="B21" s="17" t="n">
        <v>2908</v>
      </c>
      <c r="C21" s="18">
        <f>(2423.0/B21*100)</f>
        <v/>
      </c>
      <c r="D21" s="19" t="n">
        <v>485</v>
      </c>
      <c r="E21" s="18" t="n">
        <v>51.06671517</v>
      </c>
      <c r="F21" s="20" t="n">
        <v>2.22238026</v>
      </c>
      <c r="G21" s="18" t="n">
        <v>48.3402127</v>
      </c>
      <c r="H21" s="20" t="n">
        <v>2.21302625</v>
      </c>
      <c r="I21" s="18" t="s">
        <v>431</v>
      </c>
      <c r="J21" s="20" t="s">
        <v>431</v>
      </c>
      <c r="K21" s="18" t="n">
        <v>0.26856744</v>
      </c>
      <c r="L21" s="20" t="n">
        <v>0.17523844</v>
      </c>
      <c r="M21" s="18" t="n">
        <v>0</v>
      </c>
      <c r="N21" s="20" t="n">
        <v>0</v>
      </c>
      <c r="O21" s="18" t="n">
        <v>0</v>
      </c>
      <c r="P21" s="20" t="n">
        <v>0</v>
      </c>
      <c r="Q21" s="18" t="n">
        <v>0.3245047</v>
      </c>
      <c r="R21" s="20" t="n">
        <v>0.23923157</v>
      </c>
    </row>
    <row r="22" spans="1:18">
      <c r="A22" s="15" t="s">
        <v>446</v>
      </c>
      <c r="B22" s="17" t="n">
        <v>2931</v>
      </c>
      <c r="C22" s="18">
        <f>(2596.0/B22*100)</f>
        <v/>
      </c>
      <c r="D22" s="19" t="n">
        <v>335</v>
      </c>
      <c r="E22" s="18" t="n">
        <v>37.70637182</v>
      </c>
      <c r="F22" s="20" t="n">
        <v>2.66965231</v>
      </c>
      <c r="G22" s="18" t="n">
        <v>57.90869137</v>
      </c>
      <c r="H22" s="20" t="n">
        <v>2.98345451</v>
      </c>
      <c r="I22" s="18" t="s">
        <v>431</v>
      </c>
      <c r="J22" s="20" t="s">
        <v>431</v>
      </c>
      <c r="K22" s="18" t="n">
        <v>2.60764222</v>
      </c>
      <c r="L22" s="20" t="n">
        <v>0.95916724</v>
      </c>
      <c r="M22" s="18" t="n">
        <v>0</v>
      </c>
      <c r="N22" s="20" t="n">
        <v>0</v>
      </c>
      <c r="O22" s="18" t="n">
        <v>0</v>
      </c>
      <c r="P22" s="20" t="n">
        <v>0</v>
      </c>
      <c r="Q22" s="18" t="n">
        <v>1.77729459</v>
      </c>
      <c r="R22" s="20" t="n">
        <v>0.75027851</v>
      </c>
    </row>
    <row r="23" spans="1:18">
      <c r="A23" s="15" t="s">
        <v>447</v>
      </c>
      <c r="B23" s="17" t="n">
        <v>5791</v>
      </c>
      <c r="C23" s="18">
        <f>(5117.0/B23*100)</f>
        <v/>
      </c>
      <c r="D23" s="19" t="n">
        <v>674</v>
      </c>
      <c r="E23" s="18" t="n">
        <v>37.708148</v>
      </c>
      <c r="F23" s="20" t="n">
        <v>2.7097551</v>
      </c>
      <c r="G23" s="18" t="n">
        <v>60.50329703</v>
      </c>
      <c r="H23" s="20" t="n">
        <v>2.62726798</v>
      </c>
      <c r="I23" s="18" t="s">
        <v>431</v>
      </c>
      <c r="J23" s="20" t="s">
        <v>431</v>
      </c>
      <c r="K23" s="18" t="n">
        <v>1.24303301</v>
      </c>
      <c r="L23" s="20" t="n">
        <v>0.51912175</v>
      </c>
      <c r="M23" s="18" t="n">
        <v>0</v>
      </c>
      <c r="N23" s="20" t="n">
        <v>0</v>
      </c>
      <c r="O23" s="18" t="n">
        <v>0</v>
      </c>
      <c r="P23" s="20" t="n">
        <v>0</v>
      </c>
      <c r="Q23" s="18" t="n">
        <v>0.54552196</v>
      </c>
      <c r="R23" s="20" t="n">
        <v>0.3683686</v>
      </c>
    </row>
    <row r="24" spans="1:18">
      <c r="A24" s="15" t="s">
        <v>448</v>
      </c>
      <c r="B24" s="17" t="n">
        <v>3338</v>
      </c>
      <c r="C24" s="18">
        <f>(2929.0/B24*100)</f>
        <v/>
      </c>
      <c r="D24" s="19" t="n">
        <v>409</v>
      </c>
      <c r="E24" s="18" t="n">
        <v>24.58254735</v>
      </c>
      <c r="F24" s="20" t="n">
        <v>2.16921275</v>
      </c>
      <c r="G24" s="18" t="n">
        <v>74.47438243000001</v>
      </c>
      <c r="H24" s="20" t="n">
        <v>2.16527695</v>
      </c>
      <c r="I24" s="18" t="s">
        <v>431</v>
      </c>
      <c r="J24" s="20" t="s">
        <v>431</v>
      </c>
      <c r="K24" s="18" t="n">
        <v>0.44164458</v>
      </c>
      <c r="L24" s="20" t="n">
        <v>0.30785305</v>
      </c>
      <c r="M24" s="18" t="n">
        <v>0</v>
      </c>
      <c r="N24" s="20" t="n">
        <v>0</v>
      </c>
      <c r="O24" s="18" t="n">
        <v>0</v>
      </c>
      <c r="P24" s="20" t="n">
        <v>0</v>
      </c>
      <c r="Q24" s="18" t="n">
        <v>0.50142563</v>
      </c>
      <c r="R24" s="20" t="n">
        <v>0.36121027</v>
      </c>
    </row>
    <row r="25" spans="1:18">
      <c r="A25" s="15" t="s">
        <v>449</v>
      </c>
      <c r="B25" s="17" t="n">
        <v>2912</v>
      </c>
      <c r="C25" s="18">
        <f>(2547.0/B25*100)</f>
        <v/>
      </c>
      <c r="D25" s="19" t="n">
        <v>365</v>
      </c>
      <c r="E25" s="18" t="n">
        <v>24.54775021</v>
      </c>
      <c r="F25" s="20" t="n">
        <v>2.33869798</v>
      </c>
      <c r="G25" s="18" t="n">
        <v>74.87243988</v>
      </c>
      <c r="H25" s="20" t="n">
        <v>2.37407629</v>
      </c>
      <c r="I25" s="18" t="s">
        <v>431</v>
      </c>
      <c r="J25" s="20" t="s">
        <v>431</v>
      </c>
      <c r="K25" s="18" t="n">
        <v>0.30111807</v>
      </c>
      <c r="L25" s="20" t="n">
        <v>0.29894836</v>
      </c>
      <c r="M25" s="18" t="n">
        <v>0</v>
      </c>
      <c r="N25" s="20" t="n">
        <v>0</v>
      </c>
      <c r="O25" s="18" t="n">
        <v>0</v>
      </c>
      <c r="P25" s="20" t="n">
        <v>0</v>
      </c>
      <c r="Q25" s="18" t="n">
        <v>0.27869184</v>
      </c>
      <c r="R25" s="20" t="n">
        <v>0.2763491</v>
      </c>
    </row>
    <row r="26" spans="1:18">
      <c r="A26" s="15" t="s">
        <v>450</v>
      </c>
      <c r="B26" s="17" t="n">
        <v>2450</v>
      </c>
      <c r="C26" s="18">
        <f>(2156.0/B26*100)</f>
        <v/>
      </c>
      <c r="D26" s="19" t="n">
        <v>294</v>
      </c>
      <c r="E26" s="18" t="n">
        <v>60.89863669</v>
      </c>
      <c r="F26" s="20" t="n">
        <v>3.03039691</v>
      </c>
      <c r="G26" s="18" t="n">
        <v>38.80328274</v>
      </c>
      <c r="H26" s="20" t="n">
        <v>3.06452794</v>
      </c>
      <c r="I26" s="18" t="s">
        <v>431</v>
      </c>
      <c r="J26" s="20" t="s">
        <v>431</v>
      </c>
      <c r="K26" s="18" t="n">
        <v>0</v>
      </c>
      <c r="L26" s="20" t="n">
        <v>0</v>
      </c>
      <c r="M26" s="18" t="n">
        <v>0</v>
      </c>
      <c r="N26" s="20" t="n">
        <v>0</v>
      </c>
      <c r="O26" s="18" t="n">
        <v>0</v>
      </c>
      <c r="P26" s="20" t="n">
        <v>0</v>
      </c>
      <c r="Q26" s="18" t="n">
        <v>0.29808057</v>
      </c>
      <c r="R26" s="20" t="n">
        <v>0.31905794</v>
      </c>
    </row>
    <row r="27" spans="1:18">
      <c r="A27" s="15" t="s">
        <v>451</v>
      </c>
      <c r="B27" s="17" t="n">
        <v>2616</v>
      </c>
      <c r="C27" s="18">
        <f>(2292.0/B27*100)</f>
        <v/>
      </c>
      <c r="D27" s="19" t="n">
        <v>324</v>
      </c>
      <c r="E27" s="18" t="n">
        <v>45.41830516</v>
      </c>
      <c r="F27" s="20" t="n">
        <v>2.48071105</v>
      </c>
      <c r="G27" s="18" t="n">
        <v>53.89147101</v>
      </c>
      <c r="H27" s="20" t="n">
        <v>2.45494602</v>
      </c>
      <c r="I27" s="18" t="s">
        <v>431</v>
      </c>
      <c r="J27" s="20" t="s">
        <v>431</v>
      </c>
      <c r="K27" s="18" t="n">
        <v>0.30735788</v>
      </c>
      <c r="L27" s="20" t="n">
        <v>0.3098453</v>
      </c>
      <c r="M27" s="18" t="n">
        <v>0</v>
      </c>
      <c r="N27" s="20" t="n">
        <v>0</v>
      </c>
      <c r="O27" s="18" t="n">
        <v>0</v>
      </c>
      <c r="P27" s="20" t="n">
        <v>0</v>
      </c>
      <c r="Q27" s="18" t="n">
        <v>0.38286595</v>
      </c>
      <c r="R27" s="20" t="n">
        <v>0.388523</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58.9968251</v>
      </c>
      <c r="F29" s="20" t="n">
        <v>3.02110466</v>
      </c>
      <c r="G29" s="18" t="n">
        <v>39.65754866</v>
      </c>
      <c r="H29" s="20" t="n">
        <v>3.0122</v>
      </c>
      <c r="I29" s="18" t="s">
        <v>431</v>
      </c>
      <c r="J29" s="20" t="s">
        <v>431</v>
      </c>
      <c r="K29" s="18" t="n">
        <v>1.02547724</v>
      </c>
      <c r="L29" s="20" t="n">
        <v>0.59831875</v>
      </c>
      <c r="M29" s="18" t="n">
        <v>0</v>
      </c>
      <c r="N29" s="20" t="n">
        <v>0</v>
      </c>
      <c r="O29" s="18" t="n">
        <v>0</v>
      </c>
      <c r="P29" s="20" t="n">
        <v>0</v>
      </c>
      <c r="Q29" s="18" t="n">
        <v>0.320149</v>
      </c>
      <c r="R29" s="20" t="n">
        <v>0.34821439</v>
      </c>
    </row>
    <row r="30" spans="1:18">
      <c r="A30" s="15" t="s">
        <v>454</v>
      </c>
      <c r="B30" s="17" t="n">
        <v>2263</v>
      </c>
      <c r="C30" s="18">
        <f>(1996.0/B30*100)</f>
        <v/>
      </c>
      <c r="D30" s="19" t="n">
        <v>267</v>
      </c>
      <c r="E30" s="18" t="n">
        <v>46.78606233</v>
      </c>
      <c r="F30" s="20" t="n">
        <v>3.02970301</v>
      </c>
      <c r="G30" s="18" t="n">
        <v>51.66529279</v>
      </c>
      <c r="H30" s="20" t="n">
        <v>3.00093101</v>
      </c>
      <c r="I30" s="18" t="s">
        <v>431</v>
      </c>
      <c r="J30" s="20" t="s">
        <v>431</v>
      </c>
      <c r="K30" s="18" t="n">
        <v>0</v>
      </c>
      <c r="L30" s="20" t="n">
        <v>0</v>
      </c>
      <c r="M30" s="18" t="n">
        <v>0</v>
      </c>
      <c r="N30" s="20" t="n">
        <v>0</v>
      </c>
      <c r="O30" s="18" t="n">
        <v>0</v>
      </c>
      <c r="P30" s="20" t="n">
        <v>0</v>
      </c>
      <c r="Q30" s="18" t="n">
        <v>1.54864489</v>
      </c>
      <c r="R30" s="20" t="n">
        <v>0.72161834</v>
      </c>
    </row>
    <row r="31" spans="1:18">
      <c r="A31" s="15" t="s">
        <v>455</v>
      </c>
      <c r="B31" s="17" t="n">
        <v>2750</v>
      </c>
      <c r="C31" s="18">
        <f>(2410.0/B31*100)</f>
        <v/>
      </c>
      <c r="D31" s="19" t="n">
        <v>340</v>
      </c>
      <c r="E31" s="18" t="n">
        <v>48.93594967</v>
      </c>
      <c r="F31" s="20" t="n">
        <v>2.68628633</v>
      </c>
      <c r="G31" s="18" t="n">
        <v>49.66046399</v>
      </c>
      <c r="H31" s="20" t="n">
        <v>2.70333103</v>
      </c>
      <c r="I31" s="18" t="s">
        <v>431</v>
      </c>
      <c r="J31" s="20" t="s">
        <v>431</v>
      </c>
      <c r="K31" s="18" t="n">
        <v>0.5316271299999999</v>
      </c>
      <c r="L31" s="20" t="n">
        <v>0.37338716</v>
      </c>
      <c r="M31" s="18" t="n">
        <v>0</v>
      </c>
      <c r="N31" s="20" t="n">
        <v>0</v>
      </c>
      <c r="O31" s="18" t="n">
        <v>0</v>
      </c>
      <c r="P31" s="20" t="n">
        <v>0</v>
      </c>
      <c r="Q31" s="18" t="n">
        <v>0.87195921</v>
      </c>
      <c r="R31" s="20" t="n">
        <v>0.55765341</v>
      </c>
    </row>
    <row r="32" spans="1:18">
      <c r="A32" s="15" t="s">
        <v>456</v>
      </c>
      <c r="B32" s="17" t="n">
        <v>2269</v>
      </c>
      <c r="C32" s="18">
        <f>(1892.0/B32*100)</f>
        <v/>
      </c>
      <c r="D32" s="19" t="n">
        <v>377</v>
      </c>
      <c r="E32" s="18" t="n">
        <v>50.13924633</v>
      </c>
      <c r="F32" s="20" t="n">
        <v>2.24819255</v>
      </c>
      <c r="G32" s="18" t="n">
        <v>48.85221521</v>
      </c>
      <c r="H32" s="20" t="n">
        <v>2.25370468</v>
      </c>
      <c r="I32" s="18" t="s">
        <v>431</v>
      </c>
      <c r="J32" s="20" t="s">
        <v>431</v>
      </c>
      <c r="K32" s="18" t="n">
        <v>0.73725619</v>
      </c>
      <c r="L32" s="20" t="n">
        <v>0.3961171</v>
      </c>
      <c r="M32" s="18" t="n">
        <v>0</v>
      </c>
      <c r="N32" s="20" t="n">
        <v>0</v>
      </c>
      <c r="O32" s="18" t="n">
        <v>0</v>
      </c>
      <c r="P32" s="20" t="n">
        <v>0</v>
      </c>
      <c r="Q32" s="18" t="n">
        <v>0.27128227</v>
      </c>
      <c r="R32" s="20" t="n">
        <v>0.2675855</v>
      </c>
    </row>
    <row r="33" spans="1:18">
      <c r="A33" s="15" t="s">
        <v>457</v>
      </c>
      <c r="B33" s="17" t="n">
        <v>3674</v>
      </c>
      <c r="C33" s="18">
        <f>(3239.0/B33*100)</f>
        <v/>
      </c>
      <c r="D33" s="19" t="n">
        <v>435</v>
      </c>
      <c r="E33" s="18" t="n">
        <v>39.80845932</v>
      </c>
      <c r="F33" s="20" t="n">
        <v>2.95222224</v>
      </c>
      <c r="G33" s="18" t="n">
        <v>58.82171651</v>
      </c>
      <c r="H33" s="20" t="n">
        <v>2.80856856</v>
      </c>
      <c r="I33" s="18" t="s">
        <v>431</v>
      </c>
      <c r="J33" s="20" t="s">
        <v>431</v>
      </c>
      <c r="K33" s="18" t="n">
        <v>0</v>
      </c>
      <c r="L33" s="20" t="n">
        <v>0</v>
      </c>
      <c r="M33" s="18" t="n">
        <v>0</v>
      </c>
      <c r="N33" s="20" t="n">
        <v>0</v>
      </c>
      <c r="O33" s="18" t="n">
        <v>0</v>
      </c>
      <c r="P33" s="20" t="n">
        <v>0</v>
      </c>
      <c r="Q33" s="18" t="n">
        <v>1.36982416</v>
      </c>
      <c r="R33" s="20" t="n">
        <v>0.99433931</v>
      </c>
    </row>
    <row r="34" spans="1:18">
      <c r="A34" s="15" t="s">
        <v>458</v>
      </c>
      <c r="B34" s="17" t="n">
        <v>3315</v>
      </c>
      <c r="C34" s="18">
        <f>(2914.0/B34*100)</f>
        <v/>
      </c>
      <c r="D34" s="19" t="n">
        <v>401</v>
      </c>
      <c r="E34" s="18" t="n">
        <v>46.45797462</v>
      </c>
      <c r="F34" s="20" t="n">
        <v>2.40280782</v>
      </c>
      <c r="G34" s="18" t="n">
        <v>52.37985387</v>
      </c>
      <c r="H34" s="20" t="n">
        <v>2.33885218</v>
      </c>
      <c r="I34" s="18" t="s">
        <v>431</v>
      </c>
      <c r="J34" s="20" t="s">
        <v>431</v>
      </c>
      <c r="K34" s="18" t="n">
        <v>0.39190816</v>
      </c>
      <c r="L34" s="20" t="n">
        <v>0.27447586</v>
      </c>
      <c r="M34" s="18" t="n">
        <v>0</v>
      </c>
      <c r="N34" s="20" t="n">
        <v>0</v>
      </c>
      <c r="O34" s="18" t="n">
        <v>0</v>
      </c>
      <c r="P34" s="20" t="n">
        <v>0</v>
      </c>
      <c r="Q34" s="18" t="n">
        <v>0.77026335</v>
      </c>
      <c r="R34" s="20" t="n">
        <v>0.46950491</v>
      </c>
    </row>
    <row r="35" spans="1:18">
      <c r="A35" s="15" t="s">
        <v>459</v>
      </c>
      <c r="B35" s="17" t="n">
        <v>3505</v>
      </c>
      <c r="C35" s="18">
        <f>(3084.0/B35*100)</f>
        <v/>
      </c>
      <c r="D35" s="19" t="n">
        <v>421</v>
      </c>
      <c r="E35" s="18" t="n">
        <v>50.50537406</v>
      </c>
      <c r="F35" s="20" t="n">
        <v>3.46601647</v>
      </c>
      <c r="G35" s="18" t="n">
        <v>48.85565926</v>
      </c>
      <c r="H35" s="20" t="n">
        <v>3.46790714</v>
      </c>
      <c r="I35" s="18" t="s">
        <v>431</v>
      </c>
      <c r="J35" s="20" t="s">
        <v>431</v>
      </c>
      <c r="K35" s="18" t="n">
        <v>0.13667915</v>
      </c>
      <c r="L35" s="20" t="n">
        <v>0.13515363</v>
      </c>
      <c r="M35" s="18" t="n">
        <v>0</v>
      </c>
      <c r="N35" s="20" t="n">
        <v>0</v>
      </c>
      <c r="O35" s="18" t="n">
        <v>0</v>
      </c>
      <c r="P35" s="20" t="n">
        <v>0</v>
      </c>
      <c r="Q35" s="18" t="n">
        <v>0.50228754</v>
      </c>
      <c r="R35" s="20" t="n">
        <v>0.26078184</v>
      </c>
    </row>
    <row r="36" spans="1:18">
      <c r="A36" s="15" t="s">
        <v>460</v>
      </c>
      <c r="B36" s="17" t="n">
        <v>3332</v>
      </c>
      <c r="C36" s="18">
        <f>(2920.0/B36*100)</f>
        <v/>
      </c>
      <c r="D36" s="19" t="n">
        <v>412</v>
      </c>
      <c r="E36" s="18" t="n">
        <v>43.51403949</v>
      </c>
      <c r="F36" s="20" t="n">
        <v>2.47401304</v>
      </c>
      <c r="G36" s="18" t="n">
        <v>55.48163138</v>
      </c>
      <c r="H36" s="20" t="n">
        <v>2.45437582</v>
      </c>
      <c r="I36" s="18" t="s">
        <v>431</v>
      </c>
      <c r="J36" s="20" t="s">
        <v>431</v>
      </c>
      <c r="K36" s="18" t="n">
        <v>0.6113475900000001</v>
      </c>
      <c r="L36" s="20" t="n">
        <v>0.36543483</v>
      </c>
      <c r="M36" s="18" t="n">
        <v>0</v>
      </c>
      <c r="N36" s="20" t="n">
        <v>0</v>
      </c>
      <c r="O36" s="18" t="n">
        <v>0</v>
      </c>
      <c r="P36" s="20" t="n">
        <v>0</v>
      </c>
      <c r="Q36" s="18" t="n">
        <v>0.39298154</v>
      </c>
      <c r="R36" s="20" t="n">
        <v>0.28488194</v>
      </c>
    </row>
    <row r="37" spans="1:18">
      <c r="A37" s="15" t="s">
        <v>461</v>
      </c>
      <c r="B37" s="17" t="n">
        <v>2727</v>
      </c>
      <c r="C37" s="18">
        <f>(2397.0/B37*100)</f>
        <v/>
      </c>
      <c r="D37" s="19" t="n">
        <v>330</v>
      </c>
      <c r="E37" s="18" t="n">
        <v>51.63449258</v>
      </c>
      <c r="F37" s="20" t="n">
        <v>2.75437382</v>
      </c>
      <c r="G37" s="18" t="n">
        <v>45.66910681</v>
      </c>
      <c r="H37" s="20" t="n">
        <v>2.8549782</v>
      </c>
      <c r="I37" s="18" t="s">
        <v>431</v>
      </c>
      <c r="J37" s="20" t="s">
        <v>431</v>
      </c>
      <c r="K37" s="18" t="n">
        <v>2.13071015</v>
      </c>
      <c r="L37" s="20" t="n">
        <v>0.93447758</v>
      </c>
      <c r="M37" s="18" t="n">
        <v>0</v>
      </c>
      <c r="N37" s="20" t="n">
        <v>0</v>
      </c>
      <c r="O37" s="18" t="n">
        <v>0</v>
      </c>
      <c r="P37" s="20" t="n">
        <v>0</v>
      </c>
      <c r="Q37" s="18" t="n">
        <v>0.5656904699999999</v>
      </c>
      <c r="R37" s="20" t="n">
        <v>0.40249119</v>
      </c>
    </row>
    <row r="38" spans="1:18">
      <c r="A38" s="15" t="s">
        <v>462</v>
      </c>
      <c r="B38" s="17" t="n">
        <v>3053</v>
      </c>
      <c r="C38" s="18">
        <f>(2517.0/B38*100)</f>
        <v/>
      </c>
      <c r="D38" s="19" t="n">
        <v>536</v>
      </c>
      <c r="E38" s="18" t="n">
        <v>39.05621051</v>
      </c>
      <c r="F38" s="20" t="n">
        <v>2.38950496</v>
      </c>
      <c r="G38" s="18" t="n">
        <v>58.75827659</v>
      </c>
      <c r="H38" s="20" t="n">
        <v>2.19962508</v>
      </c>
      <c r="I38" s="18" t="s">
        <v>431</v>
      </c>
      <c r="J38" s="20" t="s">
        <v>431</v>
      </c>
      <c r="K38" s="18" t="n">
        <v>1.2145511</v>
      </c>
      <c r="L38" s="20" t="n">
        <v>0.60406702</v>
      </c>
      <c r="M38" s="18" t="n">
        <v>0</v>
      </c>
      <c r="N38" s="20" t="n">
        <v>0</v>
      </c>
      <c r="O38" s="18" t="n">
        <v>0</v>
      </c>
      <c r="P38" s="20" t="n">
        <v>0</v>
      </c>
      <c r="Q38" s="18" t="n">
        <v>0.97096181</v>
      </c>
      <c r="R38" s="20" t="n">
        <v>0.47712019</v>
      </c>
    </row>
    <row r="39" spans="1:18">
      <c r="A39" s="15" t="s">
        <v>463</v>
      </c>
      <c r="B39" s="17" t="n">
        <v>2957</v>
      </c>
      <c r="C39" s="18">
        <f>(2585.0/B39*100)</f>
        <v/>
      </c>
      <c r="D39" s="19" t="n">
        <v>372</v>
      </c>
      <c r="E39" s="18" t="n">
        <v>63.94012825</v>
      </c>
      <c r="F39" s="20" t="n">
        <v>2.88906739</v>
      </c>
      <c r="G39" s="18" t="n">
        <v>33.30082989</v>
      </c>
      <c r="H39" s="20" t="n">
        <v>2.67823688</v>
      </c>
      <c r="I39" s="18" t="s">
        <v>431</v>
      </c>
      <c r="J39" s="20" t="s">
        <v>431</v>
      </c>
      <c r="K39" s="18" t="n">
        <v>0.36673793</v>
      </c>
      <c r="L39" s="20" t="n">
        <v>0.35067832</v>
      </c>
      <c r="M39" s="18" t="n">
        <v>0</v>
      </c>
      <c r="N39" s="20" t="n">
        <v>0</v>
      </c>
      <c r="O39" s="18" t="n">
        <v>0</v>
      </c>
      <c r="P39" s="20" t="n">
        <v>0</v>
      </c>
      <c r="Q39" s="18" t="n">
        <v>2.39230393</v>
      </c>
      <c r="R39" s="20" t="n">
        <v>0.94267363</v>
      </c>
    </row>
    <row r="40" spans="1:18">
      <c r="A40" s="15" t="s">
        <v>464</v>
      </c>
      <c r="B40" s="17" t="n">
        <v>7235</v>
      </c>
      <c r="C40" s="18">
        <f>(6336.0/B40*100)</f>
        <v/>
      </c>
      <c r="D40" s="19" t="n">
        <v>899</v>
      </c>
      <c r="E40" s="18" t="n">
        <v>61.9105902</v>
      </c>
      <c r="F40" s="20" t="n">
        <v>2.74154184</v>
      </c>
      <c r="G40" s="18" t="n">
        <v>36.43932408</v>
      </c>
      <c r="H40" s="20" t="n">
        <v>2.47377385</v>
      </c>
      <c r="I40" s="18" t="s">
        <v>431</v>
      </c>
      <c r="J40" s="20" t="s">
        <v>431</v>
      </c>
      <c r="K40" s="18" t="n">
        <v>0.34436727</v>
      </c>
      <c r="L40" s="20" t="n">
        <v>0.10752236</v>
      </c>
      <c r="M40" s="18" t="n">
        <v>0</v>
      </c>
      <c r="N40" s="20" t="n">
        <v>0</v>
      </c>
      <c r="O40" s="18" t="n">
        <v>0</v>
      </c>
      <c r="P40" s="20" t="n">
        <v>0</v>
      </c>
      <c r="Q40" s="18" t="n">
        <v>1.30571845</v>
      </c>
      <c r="R40" s="20" t="n">
        <v>0.74186277</v>
      </c>
    </row>
    <row r="41" spans="1:18">
      <c r="A41" s="15" t="s">
        <v>465</v>
      </c>
      <c r="B41" s="17" t="n">
        <v>2858</v>
      </c>
      <c r="C41" s="18">
        <f>(2506.0/B41*100)</f>
        <v/>
      </c>
      <c r="D41" s="19" t="n">
        <v>352</v>
      </c>
      <c r="E41" s="18" t="n">
        <v>55.83486595</v>
      </c>
      <c r="F41" s="20" t="n">
        <v>2.48796107</v>
      </c>
      <c r="G41" s="18" t="n">
        <v>43.30844545</v>
      </c>
      <c r="H41" s="20" t="n">
        <v>2.42622962</v>
      </c>
      <c r="I41" s="18" t="s">
        <v>431</v>
      </c>
      <c r="J41" s="20" t="s">
        <v>431</v>
      </c>
      <c r="K41" s="18" t="n">
        <v>0.23074921</v>
      </c>
      <c r="L41" s="20" t="n">
        <v>0.23527457</v>
      </c>
      <c r="M41" s="18" t="n">
        <v>0</v>
      </c>
      <c r="N41" s="20" t="n">
        <v>0</v>
      </c>
      <c r="O41" s="18" t="n">
        <v>0</v>
      </c>
      <c r="P41" s="20" t="n">
        <v>0</v>
      </c>
      <c r="Q41" s="18" t="n">
        <v>0.62593939</v>
      </c>
      <c r="R41" s="20" t="n">
        <v>0.44641845</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(4515.0/B48*100)</f>
        <v/>
      </c>
      <c r="D48" s="19" t="n">
        <v>644</v>
      </c>
      <c r="E48" s="18" t="n">
        <v>40.32569261</v>
      </c>
      <c r="F48" s="20" t="n">
        <v>2.72182302</v>
      </c>
      <c r="G48" s="18" t="n">
        <v>58.49276474</v>
      </c>
      <c r="H48" s="20" t="n">
        <v>2.65448562</v>
      </c>
      <c r="I48" s="18" t="s">
        <v>431</v>
      </c>
      <c r="J48" s="20" t="s">
        <v>431</v>
      </c>
      <c r="K48" s="18" t="n">
        <v>0.55412942</v>
      </c>
      <c r="L48" s="20" t="n">
        <v>0.34414744</v>
      </c>
      <c r="M48" s="18" t="n">
        <v>0</v>
      </c>
      <c r="N48" s="20" t="n">
        <v>0</v>
      </c>
      <c r="O48" s="18" t="n">
        <v>0</v>
      </c>
      <c r="P48" s="20" t="n">
        <v>0</v>
      </c>
      <c r="Q48" s="18" t="n">
        <v>0.62741323</v>
      </c>
      <c r="R48" s="20" t="n">
        <v>0.37283865</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(2461.0/B52*100)</f>
        <v/>
      </c>
      <c r="D52" s="19" t="n">
        <v>335</v>
      </c>
      <c r="E52" s="18" t="n">
        <v>55.53431534</v>
      </c>
      <c r="F52" s="20" t="n">
        <v>2.38761629</v>
      </c>
      <c r="G52" s="18" t="n">
        <v>43.68871451</v>
      </c>
      <c r="H52" s="20" t="n">
        <v>2.39053476</v>
      </c>
      <c r="I52" s="18" t="s">
        <v>431</v>
      </c>
      <c r="J52" s="20" t="s">
        <v>431</v>
      </c>
      <c r="K52" s="18" t="n">
        <v>0</v>
      </c>
      <c r="L52" s="20" t="n">
        <v>0</v>
      </c>
      <c r="M52" s="18" t="n">
        <v>0</v>
      </c>
      <c r="N52" s="20" t="n">
        <v>0</v>
      </c>
      <c r="O52" s="18" t="n">
        <v>0</v>
      </c>
      <c r="P52" s="20" t="n">
        <v>0</v>
      </c>
      <c r="Q52" s="18" t="n">
        <v>0.77697015</v>
      </c>
      <c r="R52" s="20" t="n">
        <v>0.45396189</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42.67666826</v>
      </c>
      <c r="F56" s="20" t="n">
        <v>2.75129033</v>
      </c>
      <c r="G56" s="18" t="n">
        <v>56.49594595</v>
      </c>
      <c r="H56" s="20" t="n">
        <v>2.68830033</v>
      </c>
      <c r="I56" s="18" t="s">
        <v>431</v>
      </c>
      <c r="J56" s="20" t="s">
        <v>431</v>
      </c>
      <c r="K56" s="18" t="n">
        <v>0.1886532</v>
      </c>
      <c r="L56" s="20" t="n">
        <v>0.18834262</v>
      </c>
      <c r="M56" s="18" t="n">
        <v>0</v>
      </c>
      <c r="N56" s="20" t="n">
        <v>0</v>
      </c>
      <c r="O56" s="18" t="n">
        <v>0</v>
      </c>
      <c r="P56" s="20" t="n">
        <v>0</v>
      </c>
      <c r="Q56" s="18" t="n">
        <v>0.63873259</v>
      </c>
      <c r="R56" s="20" t="n">
        <v>0.44506684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(2894.0/B61*100)</f>
        <v/>
      </c>
      <c r="D61" s="19" t="n">
        <v>430</v>
      </c>
      <c r="E61" s="18" t="n">
        <v>59.12166196</v>
      </c>
      <c r="F61" s="20" t="n">
        <v>2.30974602</v>
      </c>
      <c r="G61" s="18" t="n">
        <v>40.76789922</v>
      </c>
      <c r="H61" s="20" t="n">
        <v>2.30434058</v>
      </c>
      <c r="I61" s="18" t="s">
        <v>431</v>
      </c>
      <c r="J61" s="20" t="s">
        <v>431</v>
      </c>
      <c r="K61" s="18" t="n">
        <v>0.05019946</v>
      </c>
      <c r="L61" s="20" t="n">
        <v>0.05019812</v>
      </c>
      <c r="M61" s="18" t="n">
        <v>0</v>
      </c>
      <c r="N61" s="20" t="n">
        <v>0</v>
      </c>
      <c r="O61" s="18" t="n">
        <v>0</v>
      </c>
      <c r="P61" s="20" t="n">
        <v>0</v>
      </c>
      <c r="Q61" s="18" t="n">
        <v>0.06023935</v>
      </c>
      <c r="R61" s="20" t="n">
        <v>0.05983143</v>
      </c>
    </row>
    <row r="62" spans="1:18">
      <c r="A62" s="15" t="s">
        <v>486</v>
      </c>
      <c r="B62" s="17" t="n">
        <v>2246</v>
      </c>
      <c r="C62" s="18">
        <f>(1968.0/B62*100)</f>
        <v/>
      </c>
      <c r="D62" s="19" t="n">
        <v>278</v>
      </c>
      <c r="E62" s="18" t="n">
        <v>50.82116384</v>
      </c>
      <c r="F62" s="20" t="n">
        <v>3.09572587</v>
      </c>
      <c r="G62" s="18" t="n">
        <v>48.09456573</v>
      </c>
      <c r="H62" s="20" t="n">
        <v>3.22798605</v>
      </c>
      <c r="I62" s="18" t="s">
        <v>431</v>
      </c>
      <c r="J62" s="20" t="s">
        <v>431</v>
      </c>
      <c r="K62" s="18" t="n">
        <v>0.72695371</v>
      </c>
      <c r="L62" s="20" t="n">
        <v>0.51339611</v>
      </c>
      <c r="M62" s="18" t="n">
        <v>0</v>
      </c>
      <c r="N62" s="20" t="n">
        <v>0</v>
      </c>
      <c r="O62" s="18" t="n">
        <v>0</v>
      </c>
      <c r="P62" s="20" t="n">
        <v>0</v>
      </c>
      <c r="Q62" s="18" t="n">
        <v>0.35731672</v>
      </c>
      <c r="R62" s="20" t="n">
        <v>0.35432499</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(2562.0/B66*100)</f>
        <v/>
      </c>
      <c r="D66" s="19" t="n">
        <v>332</v>
      </c>
      <c r="E66" s="18" t="n">
        <v>64.60628239</v>
      </c>
      <c r="F66" s="20" t="n">
        <v>2.6805207</v>
      </c>
      <c r="G66" s="18" t="n">
        <v>30.22433615</v>
      </c>
      <c r="H66" s="20" t="n">
        <v>2.55454326</v>
      </c>
      <c r="I66" s="18" t="s">
        <v>431</v>
      </c>
      <c r="J66" s="20" t="s">
        <v>431</v>
      </c>
      <c r="K66" s="18" t="n">
        <v>2.29062829</v>
      </c>
      <c r="L66" s="20" t="n">
        <v>0.82816422</v>
      </c>
      <c r="M66" s="18" t="n">
        <v>0</v>
      </c>
      <c r="N66" s="20" t="n">
        <v>0</v>
      </c>
      <c r="O66" s="18" t="n">
        <v>0</v>
      </c>
      <c r="P66" s="20" t="n">
        <v>0</v>
      </c>
      <c r="Q66" s="18" t="n">
        <v>2.87875318</v>
      </c>
      <c r="R66" s="20" t="n">
        <v>0.79817306</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(2589.0/B70*100)</f>
        <v/>
      </c>
      <c r="D70" s="19" t="n">
        <v>340</v>
      </c>
      <c r="E70" s="18" t="n">
        <v>53.76138648</v>
      </c>
      <c r="F70" s="20" t="n">
        <v>2.49110523</v>
      </c>
      <c r="G70" s="18" t="n">
        <v>45.03680642</v>
      </c>
      <c r="H70" s="20" t="n">
        <v>2.60730292</v>
      </c>
      <c r="I70" s="18" t="s">
        <v>431</v>
      </c>
      <c r="J70" s="20" t="s">
        <v>431</v>
      </c>
      <c r="K70" s="18" t="n">
        <v>1.20180711</v>
      </c>
      <c r="L70" s="20" t="n">
        <v>0.66761833</v>
      </c>
      <c r="M70" s="18" t="n">
        <v>0</v>
      </c>
      <c r="N70" s="20" t="n">
        <v>0</v>
      </c>
      <c r="O70" s="18" t="n">
        <v>0</v>
      </c>
      <c r="P70" s="20" t="n">
        <v>0</v>
      </c>
      <c r="Q70" s="18" t="n">
        <v>0</v>
      </c>
      <c r="R70" s="20" t="n">
        <v>0</v>
      </c>
    </row>
    <row r="71" spans="1:18">
      <c r="A71" s="15" t="s">
        <v>495</v>
      </c>
      <c r="B71" s="17" t="n">
        <v>3142</v>
      </c>
      <c r="C71" s="18">
        <f>(2763.0/B71*100)</f>
        <v/>
      </c>
      <c r="D71" s="19" t="n">
        <v>379</v>
      </c>
      <c r="E71" s="18" t="n">
        <v>42.98773045</v>
      </c>
      <c r="F71" s="20" t="n">
        <v>2.24573979</v>
      </c>
      <c r="G71" s="18" t="n">
        <v>55.06727498</v>
      </c>
      <c r="H71" s="20" t="n">
        <v>2.39018526</v>
      </c>
      <c r="I71" s="18" t="s">
        <v>431</v>
      </c>
      <c r="J71" s="20" t="s">
        <v>431</v>
      </c>
      <c r="K71" s="18" t="n">
        <v>1.5486369</v>
      </c>
      <c r="L71" s="20" t="n">
        <v>0.61809714</v>
      </c>
      <c r="M71" s="18" t="n">
        <v>0</v>
      </c>
      <c r="N71" s="20" t="n">
        <v>0</v>
      </c>
      <c r="O71" s="18" t="n">
        <v>0</v>
      </c>
      <c r="P71" s="20" t="n">
        <v>0</v>
      </c>
      <c r="Q71" s="18" t="n">
        <v>0.39635768</v>
      </c>
      <c r="R71" s="20" t="n">
        <v>0.39516744</v>
      </c>
    </row>
    <row r="72" spans="1:18">
      <c r="A72" s="15" t="s">
        <v>496</v>
      </c>
      <c r="B72" s="17" t="n">
        <v>3889</v>
      </c>
      <c r="C72" s="18">
        <f>(3415.0/B72*100)</f>
        <v/>
      </c>
      <c r="D72" s="19" t="n">
        <v>474</v>
      </c>
      <c r="E72" s="18" t="n">
        <v>41.18956594</v>
      </c>
      <c r="F72" s="20" t="n">
        <v>2.08226953</v>
      </c>
      <c r="G72" s="18" t="n">
        <v>58.02442256</v>
      </c>
      <c r="H72" s="20" t="n">
        <v>2.11237159</v>
      </c>
      <c r="I72" s="18" t="s">
        <v>431</v>
      </c>
      <c r="J72" s="20" t="s">
        <v>431</v>
      </c>
      <c r="K72" s="18" t="n">
        <v>0.31186148</v>
      </c>
      <c r="L72" s="20" t="n">
        <v>0.2223452</v>
      </c>
      <c r="M72" s="18" t="n">
        <v>0</v>
      </c>
      <c r="N72" s="20" t="n">
        <v>0</v>
      </c>
      <c r="O72" s="18" t="n">
        <v>0</v>
      </c>
      <c r="P72" s="20" t="n">
        <v>0</v>
      </c>
      <c r="Q72" s="18" t="n">
        <v>0.47415002</v>
      </c>
      <c r="R72" s="20" t="n">
        <v>0.27680495</v>
      </c>
    </row>
    <row r="73" spans="1:18">
      <c r="A73" s="15" t="s">
        <v>497</v>
      </c>
      <c r="B73" s="17" t="n">
        <v>3597</v>
      </c>
      <c r="C73" s="18">
        <f>(3157.0/B73*100)</f>
        <v/>
      </c>
      <c r="D73" s="19" t="n">
        <v>440</v>
      </c>
      <c r="E73" s="18" t="n">
        <v>58.72744432</v>
      </c>
      <c r="F73" s="20" t="n">
        <v>2.6858591</v>
      </c>
      <c r="G73" s="18" t="n">
        <v>40.49155705</v>
      </c>
      <c r="H73" s="20" t="n">
        <v>2.55711564</v>
      </c>
      <c r="I73" s="18" t="s">
        <v>431</v>
      </c>
      <c r="J73" s="20" t="s">
        <v>431</v>
      </c>
      <c r="K73" s="18" t="n">
        <v>0.3388796</v>
      </c>
      <c r="L73" s="20" t="n">
        <v>0.35313722</v>
      </c>
      <c r="M73" s="18" t="n">
        <v>0</v>
      </c>
      <c r="N73" s="20" t="n">
        <v>0</v>
      </c>
      <c r="O73" s="18" t="n">
        <v>0</v>
      </c>
      <c r="P73" s="20" t="n">
        <v>0</v>
      </c>
      <c r="Q73" s="18" t="n">
        <v>0.44211902</v>
      </c>
      <c r="R73" s="20" t="n">
        <v>0.35020452</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(6452.0/B7*100)</f>
        <v/>
      </c>
      <c r="D7" s="19" t="n">
        <v>915</v>
      </c>
      <c r="E7" s="18" t="n">
        <v>14.74129954</v>
      </c>
      <c r="F7" s="20" t="n">
        <v>1.52262009</v>
      </c>
      <c r="G7" s="18" t="n">
        <v>83.73827729</v>
      </c>
      <c r="H7" s="20" t="n">
        <v>1.61909395</v>
      </c>
      <c r="I7" s="18" t="s">
        <v>431</v>
      </c>
      <c r="J7" s="20" t="s">
        <v>431</v>
      </c>
      <c r="K7" s="18" t="n">
        <v>0.85234069</v>
      </c>
      <c r="L7" s="20" t="n">
        <v>0.32941183</v>
      </c>
      <c r="M7" s="18" t="n">
        <v>0</v>
      </c>
      <c r="N7" s="20" t="n">
        <v>0</v>
      </c>
      <c r="O7" s="18" t="n">
        <v>0</v>
      </c>
      <c r="P7" s="20" t="n">
        <v>0</v>
      </c>
      <c r="Q7" s="18" t="n">
        <v>0.66808248</v>
      </c>
      <c r="R7" s="20" t="n">
        <v>0.29169347</v>
      </c>
    </row>
    <row r="8" spans="1:18">
      <c r="A8" s="15" t="s">
        <v>432</v>
      </c>
      <c r="B8" s="17" t="n">
        <v>3564</v>
      </c>
      <c r="C8" s="18">
        <f>(3147.0/B8*100)</f>
        <v/>
      </c>
      <c r="D8" s="19" t="n">
        <v>417</v>
      </c>
      <c r="E8" s="18" t="n">
        <v>14.99576497</v>
      </c>
      <c r="F8" s="20" t="n">
        <v>2.14530196</v>
      </c>
      <c r="G8" s="18" t="n">
        <v>83.78260121</v>
      </c>
      <c r="H8" s="20" t="n">
        <v>2.19915804</v>
      </c>
      <c r="I8" s="18" t="s">
        <v>431</v>
      </c>
      <c r="J8" s="20" t="s">
        <v>431</v>
      </c>
      <c r="K8" s="18" t="n">
        <v>0.43810235</v>
      </c>
      <c r="L8" s="20" t="n">
        <v>0.4036839</v>
      </c>
      <c r="M8" s="18" t="n">
        <v>0</v>
      </c>
      <c r="N8" s="20" t="n">
        <v>0</v>
      </c>
      <c r="O8" s="18" t="n">
        <v>0</v>
      </c>
      <c r="P8" s="20" t="n">
        <v>0</v>
      </c>
      <c r="Q8" s="18" t="n">
        <v>0.78353147</v>
      </c>
      <c r="R8" s="20" t="n">
        <v>0.41997422</v>
      </c>
    </row>
    <row r="9" spans="1:18">
      <c r="A9" s="15" t="s">
        <v>433</v>
      </c>
      <c r="B9" s="17" t="n">
        <v>4899</v>
      </c>
      <c r="C9" s="18">
        <f>(4308.0/B9*100)</f>
        <v/>
      </c>
      <c r="D9" s="19" t="n">
        <v>591</v>
      </c>
      <c r="E9" s="18" t="n">
        <v>11.9539674</v>
      </c>
      <c r="F9" s="20" t="n">
        <v>1.42580767</v>
      </c>
      <c r="G9" s="18" t="n">
        <v>87.23715214000001</v>
      </c>
      <c r="H9" s="20" t="n">
        <v>1.50343496</v>
      </c>
      <c r="I9" s="18" t="s">
        <v>431</v>
      </c>
      <c r="J9" s="20" t="s">
        <v>431</v>
      </c>
      <c r="K9" s="18" t="n">
        <v>0.70092682</v>
      </c>
      <c r="L9" s="20" t="n">
        <v>0.34921228</v>
      </c>
      <c r="M9" s="18" t="n">
        <v>0</v>
      </c>
      <c r="N9" s="20" t="n">
        <v>0</v>
      </c>
      <c r="O9" s="18" t="n">
        <v>0</v>
      </c>
      <c r="P9" s="20" t="n">
        <v>0</v>
      </c>
      <c r="Q9" s="18" t="n">
        <v>0.10795364</v>
      </c>
      <c r="R9" s="20" t="n">
        <v>0.10750547</v>
      </c>
    </row>
    <row r="10" spans="1:18">
      <c r="A10" s="15" t="s">
        <v>434</v>
      </c>
      <c r="B10" s="17" t="n">
        <v>10036</v>
      </c>
      <c r="C10" s="18">
        <f>(8836.0/B10*100)</f>
        <v/>
      </c>
      <c r="D10" s="19" t="n">
        <v>1200</v>
      </c>
      <c r="E10" s="18" t="n">
        <v>12.46568328</v>
      </c>
      <c r="F10" s="20" t="n">
        <v>1.27712217</v>
      </c>
      <c r="G10" s="18" t="n">
        <v>85.63397051</v>
      </c>
      <c r="H10" s="20" t="n">
        <v>1.36234469</v>
      </c>
      <c r="I10" s="18" t="s">
        <v>431</v>
      </c>
      <c r="J10" s="20" t="s">
        <v>431</v>
      </c>
      <c r="K10" s="18" t="n">
        <v>1.567142</v>
      </c>
      <c r="L10" s="20" t="n">
        <v>0.53086744</v>
      </c>
      <c r="M10" s="18" t="n">
        <v>0</v>
      </c>
      <c r="N10" s="20" t="n">
        <v>0</v>
      </c>
      <c r="O10" s="18" t="n">
        <v>0</v>
      </c>
      <c r="P10" s="20" t="n">
        <v>0</v>
      </c>
      <c r="Q10" s="18" t="n">
        <v>0.33320421</v>
      </c>
      <c r="R10" s="20" t="n">
        <v>0.21273449</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(3043.0/B12*100)</f>
        <v/>
      </c>
      <c r="D12" s="19" t="n">
        <v>429</v>
      </c>
      <c r="E12" s="18" t="n">
        <v>8.272508869999999</v>
      </c>
      <c r="F12" s="20" t="n">
        <v>1.47495535</v>
      </c>
      <c r="G12" s="18" t="n">
        <v>90.35573708</v>
      </c>
      <c r="H12" s="20" t="n">
        <v>1.60639844</v>
      </c>
      <c r="I12" s="18" t="s">
        <v>431</v>
      </c>
      <c r="J12" s="20" t="s">
        <v>431</v>
      </c>
      <c r="K12" s="18" t="n">
        <v>0</v>
      </c>
      <c r="L12" s="20" t="n">
        <v>0</v>
      </c>
      <c r="M12" s="18" t="n">
        <v>0</v>
      </c>
      <c r="N12" s="20" t="n">
        <v>0</v>
      </c>
      <c r="O12" s="18" t="n">
        <v>0</v>
      </c>
      <c r="P12" s="20" t="n">
        <v>0</v>
      </c>
      <c r="Q12" s="18" t="n">
        <v>1.37175406</v>
      </c>
      <c r="R12" s="20" t="n">
        <v>0.69750701</v>
      </c>
    </row>
    <row r="13" spans="1:18">
      <c r="A13" s="15" t="s">
        <v>437</v>
      </c>
      <c r="B13" s="17" t="n">
        <v>3559</v>
      </c>
      <c r="C13" s="18">
        <f>(3144.0/B13*100)</f>
        <v/>
      </c>
      <c r="D13" s="19" t="n">
        <v>415</v>
      </c>
      <c r="E13" s="18" t="n">
        <v>9.59557839</v>
      </c>
      <c r="F13" s="20" t="n">
        <v>1.5860579</v>
      </c>
      <c r="G13" s="18" t="n">
        <v>88.98391183</v>
      </c>
      <c r="H13" s="20" t="n">
        <v>1.73781228</v>
      </c>
      <c r="I13" s="18" t="s">
        <v>431</v>
      </c>
      <c r="J13" s="20" t="s">
        <v>431</v>
      </c>
      <c r="K13" s="18" t="n">
        <v>0.34625926</v>
      </c>
      <c r="L13" s="20" t="n">
        <v>0.20021821</v>
      </c>
      <c r="M13" s="18" t="n">
        <v>0</v>
      </c>
      <c r="N13" s="20" t="n">
        <v>0</v>
      </c>
      <c r="O13" s="18" t="n">
        <v>0</v>
      </c>
      <c r="P13" s="20" t="n">
        <v>0</v>
      </c>
      <c r="Q13" s="18" t="n">
        <v>1.07425052</v>
      </c>
      <c r="R13" s="20" t="n">
        <v>0.7004231</v>
      </c>
    </row>
    <row r="14" spans="1:18">
      <c r="A14" s="15" t="s">
        <v>438</v>
      </c>
      <c r="B14" s="17" t="n">
        <v>2799</v>
      </c>
      <c r="C14" s="18">
        <f>(2455.0/B14*100)</f>
        <v/>
      </c>
      <c r="D14" s="19" t="n">
        <v>344</v>
      </c>
      <c r="E14" s="18" t="n">
        <v>9.24164038</v>
      </c>
      <c r="F14" s="20" t="n">
        <v>1.47802516</v>
      </c>
      <c r="G14" s="18" t="n">
        <v>89.91822492</v>
      </c>
      <c r="H14" s="20" t="n">
        <v>1.64405033</v>
      </c>
      <c r="I14" s="18" t="s">
        <v>431</v>
      </c>
      <c r="J14" s="20" t="s">
        <v>431</v>
      </c>
      <c r="K14" s="18" t="n">
        <v>0.84013469</v>
      </c>
      <c r="L14" s="20" t="n">
        <v>0.48122411</v>
      </c>
      <c r="M14" s="18" t="n">
        <v>0</v>
      </c>
      <c r="N14" s="20" t="n">
        <v>0</v>
      </c>
      <c r="O14" s="18" t="n">
        <v>0</v>
      </c>
      <c r="P14" s="20" t="n">
        <v>0</v>
      </c>
      <c r="Q14" s="18" t="n">
        <v>0</v>
      </c>
      <c r="R14" s="20" t="n">
        <v>0</v>
      </c>
    </row>
    <row r="15" spans="1:18">
      <c r="A15" s="15" t="s">
        <v>439</v>
      </c>
      <c r="B15" s="17" t="n">
        <v>3019</v>
      </c>
      <c r="C15" s="18">
        <f>(2650.0/B15*100)</f>
        <v/>
      </c>
      <c r="D15" s="19" t="n">
        <v>369</v>
      </c>
      <c r="E15" s="18" t="n">
        <v>9.94083724</v>
      </c>
      <c r="F15" s="20" t="n">
        <v>1.42028839</v>
      </c>
      <c r="G15" s="18" t="n">
        <v>88.54149714</v>
      </c>
      <c r="H15" s="20" t="n">
        <v>1.45098076</v>
      </c>
      <c r="I15" s="18" t="s">
        <v>431</v>
      </c>
      <c r="J15" s="20" t="s">
        <v>431</v>
      </c>
      <c r="K15" s="18" t="n">
        <v>1.28093847</v>
      </c>
      <c r="L15" s="20" t="n">
        <v>0.58341854</v>
      </c>
      <c r="M15" s="18" t="n">
        <v>0</v>
      </c>
      <c r="N15" s="20" t="n">
        <v>0</v>
      </c>
      <c r="O15" s="18" t="n">
        <v>0</v>
      </c>
      <c r="P15" s="20" t="n">
        <v>0</v>
      </c>
      <c r="Q15" s="18" t="n">
        <v>0.23672715</v>
      </c>
      <c r="R15" s="20" t="n">
        <v>0.23702554</v>
      </c>
    </row>
    <row r="16" spans="1:18">
      <c r="A16" s="15" t="s">
        <v>440</v>
      </c>
      <c r="B16" s="17" t="n">
        <v>2997</v>
      </c>
      <c r="C16" s="18">
        <f>(2621.0/B16*100)</f>
        <v/>
      </c>
      <c r="D16" s="19" t="n">
        <v>376</v>
      </c>
      <c r="E16" s="18" t="n">
        <v>17.2858591</v>
      </c>
      <c r="F16" s="20" t="n">
        <v>1.9258587</v>
      </c>
      <c r="G16" s="18" t="n">
        <v>78.03996208</v>
      </c>
      <c r="H16" s="20" t="n">
        <v>2.13105012</v>
      </c>
      <c r="I16" s="18" t="s">
        <v>431</v>
      </c>
      <c r="J16" s="20" t="s">
        <v>431</v>
      </c>
      <c r="K16" s="18" t="n">
        <v>2.60046081</v>
      </c>
      <c r="L16" s="20" t="n">
        <v>0.8582829199999999</v>
      </c>
      <c r="M16" s="18" t="n">
        <v>0</v>
      </c>
      <c r="N16" s="20" t="n">
        <v>0</v>
      </c>
      <c r="O16" s="18" t="n">
        <v>0</v>
      </c>
      <c r="P16" s="20" t="n">
        <v>0</v>
      </c>
      <c r="Q16" s="18" t="n">
        <v>2.07371801</v>
      </c>
      <c r="R16" s="20" t="n">
        <v>0.65669571</v>
      </c>
    </row>
    <row r="17" spans="1:18">
      <c r="A17" s="15" t="s">
        <v>441</v>
      </c>
      <c r="B17" s="17" t="n">
        <v>3307</v>
      </c>
      <c r="C17" s="18">
        <f>(2913.0/B17*100)</f>
        <v/>
      </c>
      <c r="D17" s="19" t="n">
        <v>394</v>
      </c>
      <c r="E17" s="18" t="n">
        <v>10.33892963</v>
      </c>
      <c r="F17" s="20" t="n">
        <v>1.62641932</v>
      </c>
      <c r="G17" s="18" t="n">
        <v>88.12313782</v>
      </c>
      <c r="H17" s="20" t="n">
        <v>1.73384521</v>
      </c>
      <c r="I17" s="18" t="s">
        <v>431</v>
      </c>
      <c r="J17" s="20" t="s">
        <v>431</v>
      </c>
      <c r="K17" s="18" t="n">
        <v>0.79164595</v>
      </c>
      <c r="L17" s="20" t="n">
        <v>0.44968239</v>
      </c>
      <c r="M17" s="18" t="n">
        <v>0</v>
      </c>
      <c r="N17" s="20" t="n">
        <v>0</v>
      </c>
      <c r="O17" s="18" t="n">
        <v>0</v>
      </c>
      <c r="P17" s="20" t="n">
        <v>0</v>
      </c>
      <c r="Q17" s="18" t="n">
        <v>0.74628659</v>
      </c>
      <c r="R17" s="20" t="n">
        <v>0.44524579</v>
      </c>
    </row>
    <row r="18" spans="1:18">
      <c r="A18" s="15" t="s">
        <v>442</v>
      </c>
      <c r="B18" s="17" t="n">
        <v>2826</v>
      </c>
      <c r="C18" s="18">
        <f>(2476.0/B18*100)</f>
        <v/>
      </c>
      <c r="D18" s="19" t="n">
        <v>350</v>
      </c>
      <c r="E18" s="18" t="n">
        <v>23.68733558</v>
      </c>
      <c r="F18" s="20" t="n">
        <v>2.57109625</v>
      </c>
      <c r="G18" s="18" t="n">
        <v>75.15352987999999</v>
      </c>
      <c r="H18" s="20" t="n">
        <v>2.80688683</v>
      </c>
      <c r="I18" s="18" t="s">
        <v>431</v>
      </c>
      <c r="J18" s="20" t="s">
        <v>431</v>
      </c>
      <c r="K18" s="18" t="n">
        <v>0.81354545</v>
      </c>
      <c r="L18" s="20" t="n">
        <v>0.61928107</v>
      </c>
      <c r="M18" s="18" t="n">
        <v>0</v>
      </c>
      <c r="N18" s="20" t="n">
        <v>0</v>
      </c>
      <c r="O18" s="18" t="n">
        <v>0</v>
      </c>
      <c r="P18" s="20" t="n">
        <v>0</v>
      </c>
      <c r="Q18" s="18" t="n">
        <v>0.34558909</v>
      </c>
      <c r="R18" s="20" t="n">
        <v>0.42548656</v>
      </c>
    </row>
    <row r="19" spans="1:18">
      <c r="A19" s="15" t="s">
        <v>443</v>
      </c>
      <c r="B19" s="17" t="n">
        <v>2808</v>
      </c>
      <c r="C19" s="18">
        <f>(2469.0/B19*100)</f>
        <v/>
      </c>
      <c r="D19" s="19" t="n">
        <v>339</v>
      </c>
      <c r="E19" s="18" t="n">
        <v>13.53421459</v>
      </c>
      <c r="F19" s="20" t="n">
        <v>2.02426443</v>
      </c>
      <c r="G19" s="18" t="n">
        <v>86.20583397999999</v>
      </c>
      <c r="H19" s="20" t="n">
        <v>2.05821316</v>
      </c>
      <c r="I19" s="18" t="s">
        <v>431</v>
      </c>
      <c r="J19" s="20" t="s">
        <v>431</v>
      </c>
      <c r="K19" s="18" t="n">
        <v>0</v>
      </c>
      <c r="L19" s="20" t="n">
        <v>0</v>
      </c>
      <c r="M19" s="18" t="n">
        <v>0</v>
      </c>
      <c r="N19" s="20" t="n">
        <v>0</v>
      </c>
      <c r="O19" s="18" t="n">
        <v>0</v>
      </c>
      <c r="P19" s="20" t="n">
        <v>0</v>
      </c>
      <c r="Q19" s="18" t="n">
        <v>0.25995143</v>
      </c>
      <c r="R19" s="20" t="n">
        <v>0.26275063</v>
      </c>
    </row>
    <row r="20" spans="1:18">
      <c r="A20" s="15" t="s">
        <v>444</v>
      </c>
      <c r="B20" s="17" t="n">
        <v>1630</v>
      </c>
      <c r="C20" s="18">
        <f>(1444.0/B20*100)</f>
        <v/>
      </c>
      <c r="D20" s="19" t="n">
        <v>186</v>
      </c>
      <c r="E20" s="18" t="n">
        <v>19.99152664</v>
      </c>
      <c r="F20" s="20" t="n">
        <v>2.69684058</v>
      </c>
      <c r="G20" s="18" t="n">
        <v>77.97590237999999</v>
      </c>
      <c r="H20" s="20" t="n">
        <v>2.73984535</v>
      </c>
      <c r="I20" s="18" t="s">
        <v>431</v>
      </c>
      <c r="J20" s="20" t="s">
        <v>431</v>
      </c>
      <c r="K20" s="18" t="n">
        <v>1.50062438</v>
      </c>
      <c r="L20" s="20" t="n">
        <v>0.87600665</v>
      </c>
      <c r="M20" s="18" t="n">
        <v>0</v>
      </c>
      <c r="N20" s="20" t="n">
        <v>0</v>
      </c>
      <c r="O20" s="18" t="n">
        <v>0</v>
      </c>
      <c r="P20" s="20" t="n">
        <v>0</v>
      </c>
      <c r="Q20" s="18" t="n">
        <v>0.53194659</v>
      </c>
      <c r="R20" s="20" t="n">
        <v>0.5263115</v>
      </c>
    </row>
    <row r="21" spans="1:18">
      <c r="A21" s="15" t="s">
        <v>445</v>
      </c>
      <c r="B21" s="17" t="n">
        <v>2908</v>
      </c>
      <c r="C21" s="18">
        <f>(2424.0/B21*100)</f>
        <v/>
      </c>
      <c r="D21" s="19" t="n">
        <v>484</v>
      </c>
      <c r="E21" s="18" t="n">
        <v>9.84948638</v>
      </c>
      <c r="F21" s="20" t="n">
        <v>1.29351695</v>
      </c>
      <c r="G21" s="18" t="n">
        <v>89.69211061999999</v>
      </c>
      <c r="H21" s="20" t="n">
        <v>1.29102544</v>
      </c>
      <c r="I21" s="18" t="s">
        <v>431</v>
      </c>
      <c r="J21" s="20" t="s">
        <v>431</v>
      </c>
      <c r="K21" s="18" t="n">
        <v>0.26914731</v>
      </c>
      <c r="L21" s="20" t="n">
        <v>0.17563835</v>
      </c>
      <c r="M21" s="18" t="n">
        <v>0</v>
      </c>
      <c r="N21" s="20" t="n">
        <v>0</v>
      </c>
      <c r="O21" s="18" t="n">
        <v>0</v>
      </c>
      <c r="P21" s="20" t="n">
        <v>0</v>
      </c>
      <c r="Q21" s="18" t="n">
        <v>0.18925568</v>
      </c>
      <c r="R21" s="20" t="n">
        <v>0.16538505</v>
      </c>
    </row>
    <row r="22" spans="1:18">
      <c r="A22" s="15" t="s">
        <v>446</v>
      </c>
      <c r="B22" s="17" t="n">
        <v>2931</v>
      </c>
      <c r="C22" s="18">
        <f>(2596.0/B22*100)</f>
        <v/>
      </c>
      <c r="D22" s="19" t="n">
        <v>335</v>
      </c>
      <c r="E22" s="18" t="n">
        <v>22.71461206</v>
      </c>
      <c r="F22" s="20" t="n">
        <v>2.4260463</v>
      </c>
      <c r="G22" s="18" t="n">
        <v>73.72836830999999</v>
      </c>
      <c r="H22" s="20" t="n">
        <v>2.69464962</v>
      </c>
      <c r="I22" s="18" t="s">
        <v>431</v>
      </c>
      <c r="J22" s="20" t="s">
        <v>431</v>
      </c>
      <c r="K22" s="18" t="n">
        <v>2.60764222</v>
      </c>
      <c r="L22" s="20" t="n">
        <v>0.95916724</v>
      </c>
      <c r="M22" s="18" t="n">
        <v>0</v>
      </c>
      <c r="N22" s="20" t="n">
        <v>0</v>
      </c>
      <c r="O22" s="18" t="n">
        <v>0</v>
      </c>
      <c r="P22" s="20" t="n">
        <v>0</v>
      </c>
      <c r="Q22" s="18" t="n">
        <v>0.94937741</v>
      </c>
      <c r="R22" s="20" t="n">
        <v>0.61605256</v>
      </c>
    </row>
    <row r="23" spans="1:18">
      <c r="A23" s="15" t="s">
        <v>447</v>
      </c>
      <c r="B23" s="17" t="n">
        <v>5791</v>
      </c>
      <c r="C23" s="18">
        <f>(5120.0/B23*100)</f>
        <v/>
      </c>
      <c r="D23" s="19" t="n">
        <v>671</v>
      </c>
      <c r="E23" s="18" t="n">
        <v>17.06555837</v>
      </c>
      <c r="F23" s="20" t="n">
        <v>2.32505556</v>
      </c>
      <c r="G23" s="18" t="n">
        <v>80.56513731</v>
      </c>
      <c r="H23" s="20" t="n">
        <v>2.24274846</v>
      </c>
      <c r="I23" s="18" t="s">
        <v>431</v>
      </c>
      <c r="J23" s="20" t="s">
        <v>431</v>
      </c>
      <c r="K23" s="18" t="n">
        <v>1.55738415</v>
      </c>
      <c r="L23" s="20" t="n">
        <v>0.5922933</v>
      </c>
      <c r="M23" s="18" t="n">
        <v>0</v>
      </c>
      <c r="N23" s="20" t="n">
        <v>0</v>
      </c>
      <c r="O23" s="18" t="n">
        <v>0</v>
      </c>
      <c r="P23" s="20" t="n">
        <v>0</v>
      </c>
      <c r="Q23" s="18" t="n">
        <v>0.81192016</v>
      </c>
      <c r="R23" s="20" t="n">
        <v>0.47243327</v>
      </c>
    </row>
    <row r="24" spans="1:18">
      <c r="A24" s="15" t="s">
        <v>448</v>
      </c>
      <c r="B24" s="17" t="n">
        <v>3338</v>
      </c>
      <c r="C24" s="18">
        <f>(2929.0/B24*100)</f>
        <v/>
      </c>
      <c r="D24" s="19" t="n">
        <v>409</v>
      </c>
      <c r="E24" s="18" t="n">
        <v>17.10571667</v>
      </c>
      <c r="F24" s="20" t="n">
        <v>2.03228734</v>
      </c>
      <c r="G24" s="18" t="n">
        <v>81.49154183</v>
      </c>
      <c r="H24" s="20" t="n">
        <v>2.07267989</v>
      </c>
      <c r="I24" s="18" t="s">
        <v>431</v>
      </c>
      <c r="J24" s="20" t="s">
        <v>431</v>
      </c>
      <c r="K24" s="18" t="n">
        <v>0.89865799</v>
      </c>
      <c r="L24" s="20" t="n">
        <v>0.44055579</v>
      </c>
      <c r="M24" s="18" t="n">
        <v>0</v>
      </c>
      <c r="N24" s="20" t="n">
        <v>0</v>
      </c>
      <c r="O24" s="18" t="n">
        <v>0</v>
      </c>
      <c r="P24" s="20" t="n">
        <v>0</v>
      </c>
      <c r="Q24" s="18" t="n">
        <v>0.5040835</v>
      </c>
      <c r="R24" s="20" t="n">
        <v>0.36115647</v>
      </c>
    </row>
    <row r="25" spans="1:18">
      <c r="A25" s="15" t="s">
        <v>449</v>
      </c>
      <c r="B25" s="17" t="n">
        <v>2912</v>
      </c>
      <c r="C25" s="18">
        <f>(2547.0/B25*100)</f>
        <v/>
      </c>
      <c r="D25" s="19" t="n">
        <v>365</v>
      </c>
      <c r="E25" s="18" t="n">
        <v>24.66148531</v>
      </c>
      <c r="F25" s="20" t="n">
        <v>2.65758525</v>
      </c>
      <c r="G25" s="18" t="n">
        <v>74.30004157</v>
      </c>
      <c r="H25" s="20" t="n">
        <v>2.68636573</v>
      </c>
      <c r="I25" s="18" t="s">
        <v>431</v>
      </c>
      <c r="J25" s="20" t="s">
        <v>431</v>
      </c>
      <c r="K25" s="18" t="n">
        <v>0.30111807</v>
      </c>
      <c r="L25" s="20" t="n">
        <v>0.29894836</v>
      </c>
      <c r="M25" s="18" t="n">
        <v>0</v>
      </c>
      <c r="N25" s="20" t="n">
        <v>0</v>
      </c>
      <c r="O25" s="18" t="n">
        <v>0</v>
      </c>
      <c r="P25" s="20" t="n">
        <v>0</v>
      </c>
      <c r="Q25" s="18" t="n">
        <v>0.73735505</v>
      </c>
      <c r="R25" s="20" t="n">
        <v>0.42548234</v>
      </c>
    </row>
    <row r="26" spans="1:18">
      <c r="A26" s="15" t="s">
        <v>450</v>
      </c>
      <c r="B26" s="17" t="n">
        <v>2450</v>
      </c>
      <c r="C26" s="18">
        <f>(2156.0/B26*100)</f>
        <v/>
      </c>
      <c r="D26" s="19" t="n">
        <v>294</v>
      </c>
      <c r="E26" s="18" t="n">
        <v>15.13916966</v>
      </c>
      <c r="F26" s="20" t="n">
        <v>2.5090164</v>
      </c>
      <c r="G26" s="18" t="n">
        <v>83.54886872</v>
      </c>
      <c r="H26" s="20" t="n">
        <v>2.5702329</v>
      </c>
      <c r="I26" s="18" t="s">
        <v>431</v>
      </c>
      <c r="J26" s="20" t="s">
        <v>431</v>
      </c>
      <c r="K26" s="18" t="n">
        <v>0</v>
      </c>
      <c r="L26" s="20" t="n">
        <v>0</v>
      </c>
      <c r="M26" s="18" t="n">
        <v>0</v>
      </c>
      <c r="N26" s="20" t="n">
        <v>0</v>
      </c>
      <c r="O26" s="18" t="n">
        <v>0</v>
      </c>
      <c r="P26" s="20" t="n">
        <v>0</v>
      </c>
      <c r="Q26" s="18" t="n">
        <v>1.31196163</v>
      </c>
      <c r="R26" s="20" t="n">
        <v>0.81132198</v>
      </c>
    </row>
    <row r="27" spans="1:18">
      <c r="A27" s="15" t="s">
        <v>451</v>
      </c>
      <c r="B27" s="17" t="n">
        <v>2616</v>
      </c>
      <c r="C27" s="18">
        <f>(2292.0/B27*100)</f>
        <v/>
      </c>
      <c r="D27" s="19" t="n">
        <v>324</v>
      </c>
      <c r="E27" s="18" t="n">
        <v>19.50544203</v>
      </c>
      <c r="F27" s="20" t="n">
        <v>2.35398549</v>
      </c>
      <c r="G27" s="18" t="n">
        <v>79.80433413999999</v>
      </c>
      <c r="H27" s="20" t="n">
        <v>2.37288603</v>
      </c>
      <c r="I27" s="18" t="s">
        <v>431</v>
      </c>
      <c r="J27" s="20" t="s">
        <v>431</v>
      </c>
      <c r="K27" s="18" t="n">
        <v>0.30735788</v>
      </c>
      <c r="L27" s="20" t="n">
        <v>0.3098453</v>
      </c>
      <c r="M27" s="18" t="n">
        <v>0</v>
      </c>
      <c r="N27" s="20" t="n">
        <v>0</v>
      </c>
      <c r="O27" s="18" t="n">
        <v>0</v>
      </c>
      <c r="P27" s="20" t="n">
        <v>0</v>
      </c>
      <c r="Q27" s="18" t="n">
        <v>0.38286595</v>
      </c>
      <c r="R27" s="20" t="n">
        <v>0.388523</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17.20597225</v>
      </c>
      <c r="F29" s="20" t="n">
        <v>1.87817583</v>
      </c>
      <c r="G29" s="18" t="n">
        <v>81.7685505</v>
      </c>
      <c r="H29" s="20" t="n">
        <v>1.90722867</v>
      </c>
      <c r="I29" s="18" t="s">
        <v>431</v>
      </c>
      <c r="J29" s="20" t="s">
        <v>431</v>
      </c>
      <c r="K29" s="18" t="n">
        <v>1.02547724</v>
      </c>
      <c r="L29" s="20" t="n">
        <v>0.59831875</v>
      </c>
      <c r="M29" s="18" t="n">
        <v>0</v>
      </c>
      <c r="N29" s="20" t="n">
        <v>0</v>
      </c>
      <c r="O29" s="18" t="n">
        <v>0</v>
      </c>
      <c r="P29" s="20" t="n">
        <v>0</v>
      </c>
      <c r="Q29" s="18" t="n">
        <v>0</v>
      </c>
      <c r="R29" s="20" t="n">
        <v>0</v>
      </c>
    </row>
    <row r="30" spans="1:18">
      <c r="A30" s="15" t="s">
        <v>454</v>
      </c>
      <c r="B30" s="17" t="n">
        <v>2263</v>
      </c>
      <c r="C30" s="18">
        <f>(1997.0/B30*100)</f>
        <v/>
      </c>
      <c r="D30" s="19" t="n">
        <v>266</v>
      </c>
      <c r="E30" s="18" t="n">
        <v>11.00289665</v>
      </c>
      <c r="F30" s="20" t="n">
        <v>2.01427436</v>
      </c>
      <c r="G30" s="18" t="n">
        <v>87.13472679</v>
      </c>
      <c r="H30" s="20" t="n">
        <v>2.21891585</v>
      </c>
      <c r="I30" s="18" t="s">
        <v>431</v>
      </c>
      <c r="J30" s="20" t="s">
        <v>431</v>
      </c>
      <c r="K30" s="18" t="n">
        <v>0</v>
      </c>
      <c r="L30" s="20" t="n">
        <v>0</v>
      </c>
      <c r="M30" s="18" t="n">
        <v>0</v>
      </c>
      <c r="N30" s="20" t="n">
        <v>0</v>
      </c>
      <c r="O30" s="18" t="n">
        <v>0</v>
      </c>
      <c r="P30" s="20" t="n">
        <v>0</v>
      </c>
      <c r="Q30" s="18" t="n">
        <v>1.86237656</v>
      </c>
      <c r="R30" s="20" t="n">
        <v>0.72321278</v>
      </c>
    </row>
    <row r="31" spans="1:18">
      <c r="A31" s="15" t="s">
        <v>455</v>
      </c>
      <c r="B31" s="17" t="n">
        <v>2750</v>
      </c>
      <c r="C31" s="18">
        <f>(2410.0/B31*100)</f>
        <v/>
      </c>
      <c r="D31" s="19" t="n">
        <v>340</v>
      </c>
      <c r="E31" s="18" t="n">
        <v>16.91849806</v>
      </c>
      <c r="F31" s="20" t="n">
        <v>1.97280664</v>
      </c>
      <c r="G31" s="18" t="n">
        <v>82.25219237</v>
      </c>
      <c r="H31" s="20" t="n">
        <v>2.01779188</v>
      </c>
      <c r="I31" s="18" t="s">
        <v>431</v>
      </c>
      <c r="J31" s="20" t="s">
        <v>431</v>
      </c>
      <c r="K31" s="18" t="n">
        <v>0.5316271299999999</v>
      </c>
      <c r="L31" s="20" t="n">
        <v>0.37338716</v>
      </c>
      <c r="M31" s="18" t="n">
        <v>0</v>
      </c>
      <c r="N31" s="20" t="n">
        <v>0</v>
      </c>
      <c r="O31" s="18" t="n">
        <v>0</v>
      </c>
      <c r="P31" s="20" t="n">
        <v>0</v>
      </c>
      <c r="Q31" s="18" t="n">
        <v>0.29768244</v>
      </c>
      <c r="R31" s="20" t="n">
        <v>0.30169446</v>
      </c>
    </row>
    <row r="32" spans="1:18">
      <c r="A32" s="15" t="s">
        <v>456</v>
      </c>
      <c r="B32" s="17" t="n">
        <v>2269</v>
      </c>
      <c r="C32" s="18">
        <f>(1892.0/B32*100)</f>
        <v/>
      </c>
      <c r="D32" s="19" t="n">
        <v>377</v>
      </c>
      <c r="E32" s="18" t="n">
        <v>13.63040099</v>
      </c>
      <c r="F32" s="20" t="n">
        <v>2.18633846</v>
      </c>
      <c r="G32" s="18" t="n">
        <v>85.63234282000001</v>
      </c>
      <c r="H32" s="20" t="n">
        <v>2.30629507</v>
      </c>
      <c r="I32" s="18" t="s">
        <v>431</v>
      </c>
      <c r="J32" s="20" t="s">
        <v>431</v>
      </c>
      <c r="K32" s="18" t="n">
        <v>0.73725619</v>
      </c>
      <c r="L32" s="20" t="n">
        <v>0.3961171</v>
      </c>
      <c r="M32" s="18" t="n">
        <v>0</v>
      </c>
      <c r="N32" s="20" t="n">
        <v>0</v>
      </c>
      <c r="O32" s="18" t="n">
        <v>0</v>
      </c>
      <c r="P32" s="20" t="n">
        <v>0</v>
      </c>
      <c r="Q32" s="18" t="n">
        <v>0</v>
      </c>
      <c r="R32" s="20" t="n">
        <v>0</v>
      </c>
    </row>
    <row r="33" spans="1:18">
      <c r="A33" s="15" t="s">
        <v>457</v>
      </c>
      <c r="B33" s="17" t="n">
        <v>3674</v>
      </c>
      <c r="C33" s="18">
        <f>(3240.0/B33*100)</f>
        <v/>
      </c>
      <c r="D33" s="19" t="n">
        <v>434</v>
      </c>
      <c r="E33" s="18" t="n">
        <v>10.6061939</v>
      </c>
      <c r="F33" s="20" t="n">
        <v>1.62348148</v>
      </c>
      <c r="G33" s="18" t="n">
        <v>89.02530643</v>
      </c>
      <c r="H33" s="20" t="n">
        <v>1.67890413</v>
      </c>
      <c r="I33" s="18" t="s">
        <v>431</v>
      </c>
      <c r="J33" s="20" t="s">
        <v>431</v>
      </c>
      <c r="K33" s="18" t="n">
        <v>0</v>
      </c>
      <c r="L33" s="20" t="n">
        <v>0</v>
      </c>
      <c r="M33" s="18" t="n">
        <v>0</v>
      </c>
      <c r="N33" s="20" t="n">
        <v>0</v>
      </c>
      <c r="O33" s="18" t="n">
        <v>0</v>
      </c>
      <c r="P33" s="20" t="n">
        <v>0</v>
      </c>
      <c r="Q33" s="18" t="n">
        <v>0.36849967</v>
      </c>
      <c r="R33" s="20" t="n">
        <v>0.23915212</v>
      </c>
    </row>
    <row r="34" spans="1:18">
      <c r="A34" s="15" t="s">
        <v>458</v>
      </c>
      <c r="B34" s="17" t="n">
        <v>3315</v>
      </c>
      <c r="C34" s="18">
        <f>(2914.0/B34*100)</f>
        <v/>
      </c>
      <c r="D34" s="19" t="n">
        <v>401</v>
      </c>
      <c r="E34" s="18" t="n">
        <v>12.4375968</v>
      </c>
      <c r="F34" s="20" t="n">
        <v>1.80648504</v>
      </c>
      <c r="G34" s="18" t="n">
        <v>86.47520578</v>
      </c>
      <c r="H34" s="20" t="n">
        <v>1.74371334</v>
      </c>
      <c r="I34" s="18" t="s">
        <v>431</v>
      </c>
      <c r="J34" s="20" t="s">
        <v>431</v>
      </c>
      <c r="K34" s="18" t="n">
        <v>0.64037993</v>
      </c>
      <c r="L34" s="20" t="n">
        <v>0.37069606</v>
      </c>
      <c r="M34" s="18" t="n">
        <v>0</v>
      </c>
      <c r="N34" s="20" t="n">
        <v>0</v>
      </c>
      <c r="O34" s="18" t="n">
        <v>0</v>
      </c>
      <c r="P34" s="20" t="n">
        <v>0</v>
      </c>
      <c r="Q34" s="18" t="n">
        <v>0.44681749</v>
      </c>
      <c r="R34" s="20" t="n">
        <v>0.31805983</v>
      </c>
    </row>
    <row r="35" spans="1:18">
      <c r="A35" s="15" t="s">
        <v>459</v>
      </c>
      <c r="B35" s="17" t="n">
        <v>3505</v>
      </c>
      <c r="C35" s="18">
        <f>(3084.0/B35*100)</f>
        <v/>
      </c>
      <c r="D35" s="19" t="n">
        <v>421</v>
      </c>
      <c r="E35" s="18" t="n">
        <v>12.03964675</v>
      </c>
      <c r="F35" s="20" t="n">
        <v>1.73947585</v>
      </c>
      <c r="G35" s="18" t="n">
        <v>87.49116897</v>
      </c>
      <c r="H35" s="20" t="n">
        <v>1.71957138</v>
      </c>
      <c r="I35" s="18" t="s">
        <v>431</v>
      </c>
      <c r="J35" s="20" t="s">
        <v>431</v>
      </c>
      <c r="K35" s="18" t="n">
        <v>0.13667915</v>
      </c>
      <c r="L35" s="20" t="n">
        <v>0.13515363</v>
      </c>
      <c r="M35" s="18" t="n">
        <v>0</v>
      </c>
      <c r="N35" s="20" t="n">
        <v>0</v>
      </c>
      <c r="O35" s="18" t="n">
        <v>0</v>
      </c>
      <c r="P35" s="20" t="n">
        <v>0</v>
      </c>
      <c r="Q35" s="18" t="n">
        <v>0.33250513</v>
      </c>
      <c r="R35" s="20" t="n">
        <v>0.19766449</v>
      </c>
    </row>
    <row r="36" spans="1:18">
      <c r="A36" s="15" t="s">
        <v>460</v>
      </c>
      <c r="B36" s="17" t="n">
        <v>3332</v>
      </c>
      <c r="C36" s="18">
        <f>(2921.0/B36*100)</f>
        <v/>
      </c>
      <c r="D36" s="19" t="n">
        <v>411</v>
      </c>
      <c r="E36" s="18" t="n">
        <v>15.00641912</v>
      </c>
      <c r="F36" s="20" t="n">
        <v>1.53387099</v>
      </c>
      <c r="G36" s="18" t="n">
        <v>84.38043693</v>
      </c>
      <c r="H36" s="20" t="n">
        <v>1.59912447</v>
      </c>
      <c r="I36" s="18" t="s">
        <v>431</v>
      </c>
      <c r="J36" s="20" t="s">
        <v>431</v>
      </c>
      <c r="K36" s="18" t="n">
        <v>0.61314395</v>
      </c>
      <c r="L36" s="20" t="n">
        <v>0.3665393</v>
      </c>
      <c r="M36" s="18" t="n">
        <v>0</v>
      </c>
      <c r="N36" s="20" t="n">
        <v>0</v>
      </c>
      <c r="O36" s="18" t="n">
        <v>0</v>
      </c>
      <c r="P36" s="20" t="n">
        <v>0</v>
      </c>
      <c r="Q36" s="18" t="n">
        <v>0</v>
      </c>
      <c r="R36" s="20" t="n">
        <v>0</v>
      </c>
    </row>
    <row r="37" spans="1:18">
      <c r="A37" s="15" t="s">
        <v>461</v>
      </c>
      <c r="B37" s="17" t="n">
        <v>2727</v>
      </c>
      <c r="C37" s="18">
        <f>(2399.0/B37*100)</f>
        <v/>
      </c>
      <c r="D37" s="19" t="n">
        <v>328</v>
      </c>
      <c r="E37" s="18" t="n">
        <v>16.93849532</v>
      </c>
      <c r="F37" s="20" t="n">
        <v>2.23459085</v>
      </c>
      <c r="G37" s="18" t="n">
        <v>79.80122131</v>
      </c>
      <c r="H37" s="20" t="n">
        <v>2.32470502</v>
      </c>
      <c r="I37" s="18" t="s">
        <v>431</v>
      </c>
      <c r="J37" s="20" t="s">
        <v>431</v>
      </c>
      <c r="K37" s="18" t="n">
        <v>2.42053056</v>
      </c>
      <c r="L37" s="20" t="n">
        <v>0.97533359</v>
      </c>
      <c r="M37" s="18" t="n">
        <v>0</v>
      </c>
      <c r="N37" s="20" t="n">
        <v>0</v>
      </c>
      <c r="O37" s="18" t="n">
        <v>0</v>
      </c>
      <c r="P37" s="20" t="n">
        <v>0</v>
      </c>
      <c r="Q37" s="18" t="n">
        <v>0.8397528</v>
      </c>
      <c r="R37" s="20" t="n">
        <v>0.4861785</v>
      </c>
    </row>
    <row r="38" spans="1:18">
      <c r="A38" s="15" t="s">
        <v>462</v>
      </c>
      <c r="B38" s="17" t="n">
        <v>3053</v>
      </c>
      <c r="C38" s="18">
        <f>(2518.0/B38*100)</f>
        <v/>
      </c>
      <c r="D38" s="19" t="n">
        <v>535</v>
      </c>
      <c r="E38" s="18" t="n">
        <v>13.36386075</v>
      </c>
      <c r="F38" s="20" t="n">
        <v>1.56341508</v>
      </c>
      <c r="G38" s="18" t="n">
        <v>84.53555305</v>
      </c>
      <c r="H38" s="20" t="n">
        <v>1.77280179</v>
      </c>
      <c r="I38" s="18" t="s">
        <v>431</v>
      </c>
      <c r="J38" s="20" t="s">
        <v>431</v>
      </c>
      <c r="K38" s="18" t="n">
        <v>1.37360415</v>
      </c>
      <c r="L38" s="20" t="n">
        <v>0.62471263</v>
      </c>
      <c r="M38" s="18" t="n">
        <v>0</v>
      </c>
      <c r="N38" s="20" t="n">
        <v>0</v>
      </c>
      <c r="O38" s="18" t="n">
        <v>0</v>
      </c>
      <c r="P38" s="20" t="n">
        <v>0</v>
      </c>
      <c r="Q38" s="18" t="n">
        <v>0.72698205</v>
      </c>
      <c r="R38" s="20" t="n">
        <v>0.43218549</v>
      </c>
    </row>
    <row r="39" spans="1:18">
      <c r="A39" s="15" t="s">
        <v>463</v>
      </c>
      <c r="B39" s="17" t="n">
        <v>2957</v>
      </c>
      <c r="C39" s="18">
        <f>(2585.0/B39*100)</f>
        <v/>
      </c>
      <c r="D39" s="19" t="n">
        <v>372</v>
      </c>
      <c r="E39" s="18" t="n">
        <v>25.26199488</v>
      </c>
      <c r="F39" s="20" t="n">
        <v>2.83678974</v>
      </c>
      <c r="G39" s="18" t="n">
        <v>73.76508662000001</v>
      </c>
      <c r="H39" s="20" t="n">
        <v>2.88230163</v>
      </c>
      <c r="I39" s="18" t="s">
        <v>431</v>
      </c>
      <c r="J39" s="20" t="s">
        <v>431</v>
      </c>
      <c r="K39" s="18" t="n">
        <v>0.36673793</v>
      </c>
      <c r="L39" s="20" t="n">
        <v>0.35067832</v>
      </c>
      <c r="M39" s="18" t="n">
        <v>0</v>
      </c>
      <c r="N39" s="20" t="n">
        <v>0</v>
      </c>
      <c r="O39" s="18" t="n">
        <v>0</v>
      </c>
      <c r="P39" s="20" t="n">
        <v>0</v>
      </c>
      <c r="Q39" s="18" t="n">
        <v>0.60618058</v>
      </c>
      <c r="R39" s="20" t="n">
        <v>0.4856681</v>
      </c>
    </row>
    <row r="40" spans="1:18">
      <c r="A40" s="15" t="s">
        <v>464</v>
      </c>
      <c r="B40" s="17" t="n">
        <v>7235</v>
      </c>
      <c r="C40" s="18">
        <f>(6336.0/B40*100)</f>
        <v/>
      </c>
      <c r="D40" s="19" t="n">
        <v>899</v>
      </c>
      <c r="E40" s="18" t="n">
        <v>16.91231938</v>
      </c>
      <c r="F40" s="20" t="n">
        <v>1.98408987</v>
      </c>
      <c r="G40" s="18" t="n">
        <v>81.28343409999999</v>
      </c>
      <c r="H40" s="20" t="n">
        <v>2.08271758</v>
      </c>
      <c r="I40" s="18" t="s">
        <v>431</v>
      </c>
      <c r="J40" s="20" t="s">
        <v>431</v>
      </c>
      <c r="K40" s="18" t="n">
        <v>0.37964023</v>
      </c>
      <c r="L40" s="20" t="n">
        <v>0.10585072</v>
      </c>
      <c r="M40" s="18" t="n">
        <v>0</v>
      </c>
      <c r="N40" s="20" t="n">
        <v>0</v>
      </c>
      <c r="O40" s="18" t="n">
        <v>0</v>
      </c>
      <c r="P40" s="20" t="n">
        <v>0</v>
      </c>
      <c r="Q40" s="18" t="n">
        <v>1.42460628</v>
      </c>
      <c r="R40" s="20" t="n">
        <v>0.60095032</v>
      </c>
    </row>
    <row r="41" spans="1:18">
      <c r="A41" s="15" t="s">
        <v>465</v>
      </c>
      <c r="B41" s="17" t="n">
        <v>2858</v>
      </c>
      <c r="C41" s="18">
        <f>(2507.0/B41*100)</f>
        <v/>
      </c>
      <c r="D41" s="19" t="n">
        <v>351</v>
      </c>
      <c r="E41" s="18" t="n">
        <v>15.34516739</v>
      </c>
      <c r="F41" s="20" t="n">
        <v>2.02355261</v>
      </c>
      <c r="G41" s="18" t="n">
        <v>83.94919391000001</v>
      </c>
      <c r="H41" s="20" t="n">
        <v>2.12598289</v>
      </c>
      <c r="I41" s="18" t="s">
        <v>431</v>
      </c>
      <c r="J41" s="20" t="s">
        <v>431</v>
      </c>
      <c r="K41" s="18" t="n">
        <v>0.23143744</v>
      </c>
      <c r="L41" s="20" t="n">
        <v>0.23599271</v>
      </c>
      <c r="M41" s="18" t="n">
        <v>0</v>
      </c>
      <c r="N41" s="20" t="n">
        <v>0</v>
      </c>
      <c r="O41" s="18" t="n">
        <v>0</v>
      </c>
      <c r="P41" s="20" t="n">
        <v>0</v>
      </c>
      <c r="Q41" s="18" t="n">
        <v>0.47420125</v>
      </c>
      <c r="R41" s="20" t="n">
        <v>0.35375633</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(4516.0/B48*100)</f>
        <v/>
      </c>
      <c r="D48" s="19" t="n">
        <v>643</v>
      </c>
      <c r="E48" s="18" t="n">
        <v>18.30005776</v>
      </c>
      <c r="F48" s="20" t="n">
        <v>1.70367739</v>
      </c>
      <c r="G48" s="18" t="n">
        <v>81.14544639</v>
      </c>
      <c r="H48" s="20" t="n">
        <v>1.82439231</v>
      </c>
      <c r="I48" s="18" t="s">
        <v>431</v>
      </c>
      <c r="J48" s="20" t="s">
        <v>431</v>
      </c>
      <c r="K48" s="18" t="n">
        <v>0.55449585</v>
      </c>
      <c r="L48" s="20" t="n">
        <v>0.34435971</v>
      </c>
      <c r="M48" s="18" t="n">
        <v>0</v>
      </c>
      <c r="N48" s="20" t="n">
        <v>0</v>
      </c>
      <c r="O48" s="18" t="n">
        <v>0</v>
      </c>
      <c r="P48" s="20" t="n">
        <v>0</v>
      </c>
      <c r="Q48" s="18" t="n">
        <v>0</v>
      </c>
      <c r="R48" s="20" t="n">
        <v>0</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(2462.0/B52*100)</f>
        <v/>
      </c>
      <c r="D52" s="19" t="n">
        <v>334</v>
      </c>
      <c r="E52" s="18" t="n">
        <v>18.22009169</v>
      </c>
      <c r="F52" s="20" t="n">
        <v>1.91685447</v>
      </c>
      <c r="G52" s="18" t="n">
        <v>81.46068147</v>
      </c>
      <c r="H52" s="20" t="n">
        <v>1.93271741</v>
      </c>
      <c r="I52" s="18" t="s">
        <v>431</v>
      </c>
      <c r="J52" s="20" t="s">
        <v>431</v>
      </c>
      <c r="K52" s="18" t="n">
        <v>0</v>
      </c>
      <c r="L52" s="20" t="n">
        <v>0</v>
      </c>
      <c r="M52" s="18" t="n">
        <v>0</v>
      </c>
      <c r="N52" s="20" t="n">
        <v>0</v>
      </c>
      <c r="O52" s="18" t="n">
        <v>0</v>
      </c>
      <c r="P52" s="20" t="n">
        <v>0</v>
      </c>
      <c r="Q52" s="18" t="n">
        <v>0.31922684</v>
      </c>
      <c r="R52" s="20" t="n">
        <v>0.33336221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13.32462132</v>
      </c>
      <c r="F56" s="20" t="n">
        <v>2.12236139</v>
      </c>
      <c r="G56" s="18" t="n">
        <v>86.07034366000001</v>
      </c>
      <c r="H56" s="20" t="n">
        <v>2.1235998</v>
      </c>
      <c r="I56" s="18" t="s">
        <v>431</v>
      </c>
      <c r="J56" s="20" t="s">
        <v>431</v>
      </c>
      <c r="K56" s="18" t="n">
        <v>0.1886532</v>
      </c>
      <c r="L56" s="20" t="n">
        <v>0.18834262</v>
      </c>
      <c r="M56" s="18" t="n">
        <v>0</v>
      </c>
      <c r="N56" s="20" t="n">
        <v>0</v>
      </c>
      <c r="O56" s="18" t="n">
        <v>0</v>
      </c>
      <c r="P56" s="20" t="n">
        <v>0</v>
      </c>
      <c r="Q56" s="18" t="n">
        <v>0.41638182</v>
      </c>
      <c r="R56" s="20" t="n">
        <v>0.43797914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(2896.0/B61*100)</f>
        <v/>
      </c>
      <c r="D61" s="19" t="n">
        <v>428</v>
      </c>
      <c r="E61" s="18" t="n">
        <v>23.47171799</v>
      </c>
      <c r="F61" s="20" t="n">
        <v>1.87022699</v>
      </c>
      <c r="G61" s="18" t="n">
        <v>76.42433990000001</v>
      </c>
      <c r="H61" s="20" t="n">
        <v>1.87061646</v>
      </c>
      <c r="I61" s="18" t="s">
        <v>431</v>
      </c>
      <c r="J61" s="20" t="s">
        <v>431</v>
      </c>
      <c r="K61" s="18" t="n">
        <v>0.05039617</v>
      </c>
      <c r="L61" s="20" t="n">
        <v>0.05038875</v>
      </c>
      <c r="M61" s="18" t="n">
        <v>0</v>
      </c>
      <c r="N61" s="20" t="n">
        <v>0</v>
      </c>
      <c r="O61" s="18" t="n">
        <v>0</v>
      </c>
      <c r="P61" s="20" t="n">
        <v>0</v>
      </c>
      <c r="Q61" s="18" t="n">
        <v>0.05354594</v>
      </c>
      <c r="R61" s="20" t="n">
        <v>0.05355294</v>
      </c>
    </row>
    <row r="62" spans="1:18">
      <c r="A62" s="15" t="s">
        <v>486</v>
      </c>
      <c r="B62" s="17" t="n">
        <v>2246</v>
      </c>
      <c r="C62" s="18">
        <f>(1968.0/B62*100)</f>
        <v/>
      </c>
      <c r="D62" s="19" t="n">
        <v>278</v>
      </c>
      <c r="E62" s="18" t="n">
        <v>37.76545059</v>
      </c>
      <c r="F62" s="20" t="n">
        <v>3.1062214</v>
      </c>
      <c r="G62" s="18" t="n">
        <v>61.5075957</v>
      </c>
      <c r="H62" s="20" t="n">
        <v>3.13414161</v>
      </c>
      <c r="I62" s="18" t="s">
        <v>431</v>
      </c>
      <c r="J62" s="20" t="s">
        <v>431</v>
      </c>
      <c r="K62" s="18" t="n">
        <v>0.72695371</v>
      </c>
      <c r="L62" s="20" t="n">
        <v>0.51339611</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(2563.0/B66*100)</f>
        <v/>
      </c>
      <c r="D66" s="19" t="n">
        <v>331</v>
      </c>
      <c r="E66" s="18" t="n">
        <v>30.23118891</v>
      </c>
      <c r="F66" s="20" t="n">
        <v>2.93079119</v>
      </c>
      <c r="G66" s="18" t="n">
        <v>65.72688848</v>
      </c>
      <c r="H66" s="20" t="n">
        <v>2.89797739</v>
      </c>
      <c r="I66" s="18" t="s">
        <v>431</v>
      </c>
      <c r="J66" s="20" t="s">
        <v>431</v>
      </c>
      <c r="K66" s="18" t="n">
        <v>2.296669</v>
      </c>
      <c r="L66" s="20" t="n">
        <v>0.83020582</v>
      </c>
      <c r="M66" s="18" t="n">
        <v>0</v>
      </c>
      <c r="N66" s="20" t="n">
        <v>0</v>
      </c>
      <c r="O66" s="18" t="n">
        <v>0</v>
      </c>
      <c r="P66" s="20" t="n">
        <v>0</v>
      </c>
      <c r="Q66" s="18" t="n">
        <v>1.74525361</v>
      </c>
      <c r="R66" s="20" t="n">
        <v>0.72511645</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(2589.0/B70*100)</f>
        <v/>
      </c>
      <c r="D70" s="19" t="n">
        <v>340</v>
      </c>
      <c r="E70" s="18" t="n">
        <v>13.07214159</v>
      </c>
      <c r="F70" s="20" t="n">
        <v>1.44719231</v>
      </c>
      <c r="G70" s="18" t="n">
        <v>85.42063936</v>
      </c>
      <c r="H70" s="20" t="n">
        <v>1.74063276</v>
      </c>
      <c r="I70" s="18" t="s">
        <v>431</v>
      </c>
      <c r="J70" s="20" t="s">
        <v>431</v>
      </c>
      <c r="K70" s="18" t="n">
        <v>1.20180711</v>
      </c>
      <c r="L70" s="20" t="n">
        <v>0.66761833</v>
      </c>
      <c r="M70" s="18" t="n">
        <v>0</v>
      </c>
      <c r="N70" s="20" t="n">
        <v>0</v>
      </c>
      <c r="O70" s="18" t="n">
        <v>0</v>
      </c>
      <c r="P70" s="20" t="n">
        <v>0</v>
      </c>
      <c r="Q70" s="18" t="n">
        <v>0.30541194</v>
      </c>
      <c r="R70" s="20" t="n">
        <v>0.43807677</v>
      </c>
    </row>
    <row r="71" spans="1:18">
      <c r="A71" s="15" t="s">
        <v>495</v>
      </c>
      <c r="B71" s="17" t="n">
        <v>3142</v>
      </c>
      <c r="C71" s="18">
        <f>(2763.0/B71*100)</f>
        <v/>
      </c>
      <c r="D71" s="19" t="n">
        <v>379</v>
      </c>
      <c r="E71" s="18" t="n">
        <v>19.28799615</v>
      </c>
      <c r="F71" s="20" t="n">
        <v>2.14393968</v>
      </c>
      <c r="G71" s="18" t="n">
        <v>78.69282749</v>
      </c>
      <c r="H71" s="20" t="n">
        <v>2.22399973</v>
      </c>
      <c r="I71" s="18" t="s">
        <v>431</v>
      </c>
      <c r="J71" s="20" t="s">
        <v>431</v>
      </c>
      <c r="K71" s="18" t="n">
        <v>1.79031474</v>
      </c>
      <c r="L71" s="20" t="n">
        <v>0.66214524</v>
      </c>
      <c r="M71" s="18" t="n">
        <v>0</v>
      </c>
      <c r="N71" s="20" t="n">
        <v>0</v>
      </c>
      <c r="O71" s="18" t="n">
        <v>0</v>
      </c>
      <c r="P71" s="20" t="n">
        <v>0</v>
      </c>
      <c r="Q71" s="18" t="n">
        <v>0.22886163</v>
      </c>
      <c r="R71" s="20" t="n">
        <v>0.22807353</v>
      </c>
    </row>
    <row r="72" spans="1:18">
      <c r="A72" s="15" t="s">
        <v>496</v>
      </c>
      <c r="B72" s="17" t="n">
        <v>3889</v>
      </c>
      <c r="C72" s="18">
        <f>(3416.0/B72*100)</f>
        <v/>
      </c>
      <c r="D72" s="19" t="n">
        <v>473</v>
      </c>
      <c r="E72" s="18" t="n">
        <v>7.1539969</v>
      </c>
      <c r="F72" s="20" t="n">
        <v>1.12434261</v>
      </c>
      <c r="G72" s="18" t="n">
        <v>91.69493159</v>
      </c>
      <c r="H72" s="20" t="n">
        <v>1.16178034</v>
      </c>
      <c r="I72" s="18" t="s">
        <v>431</v>
      </c>
      <c r="J72" s="20" t="s">
        <v>431</v>
      </c>
      <c r="K72" s="18" t="n">
        <v>0.31261606</v>
      </c>
      <c r="L72" s="20" t="n">
        <v>0.22288623</v>
      </c>
      <c r="M72" s="18" t="n">
        <v>0</v>
      </c>
      <c r="N72" s="20" t="n">
        <v>0</v>
      </c>
      <c r="O72" s="18" t="n">
        <v>0</v>
      </c>
      <c r="P72" s="20" t="n">
        <v>0</v>
      </c>
      <c r="Q72" s="18" t="n">
        <v>0.83845545</v>
      </c>
      <c r="R72" s="20" t="n">
        <v>0.43950845</v>
      </c>
    </row>
    <row r="73" spans="1:18">
      <c r="A73" s="15" t="s">
        <v>497</v>
      </c>
      <c r="B73" s="17" t="n">
        <v>3597</v>
      </c>
      <c r="C73" s="18">
        <f>(3158.0/B73*100)</f>
        <v/>
      </c>
      <c r="D73" s="19" t="n">
        <v>439</v>
      </c>
      <c r="E73" s="18" t="n">
        <v>31.87737443</v>
      </c>
      <c r="F73" s="20" t="n">
        <v>2.9740559</v>
      </c>
      <c r="G73" s="18" t="n">
        <v>67.45645703</v>
      </c>
      <c r="H73" s="20" t="n">
        <v>3.01173874</v>
      </c>
      <c r="I73" s="18" t="s">
        <v>431</v>
      </c>
      <c r="J73" s="20" t="s">
        <v>431</v>
      </c>
      <c r="K73" s="18" t="n">
        <v>0.33997978</v>
      </c>
      <c r="L73" s="20" t="n">
        <v>0.3542989</v>
      </c>
      <c r="M73" s="18" t="n">
        <v>0</v>
      </c>
      <c r="N73" s="20" t="n">
        <v>0</v>
      </c>
      <c r="O73" s="18" t="n">
        <v>0</v>
      </c>
      <c r="P73" s="20" t="n">
        <v>0</v>
      </c>
      <c r="Q73" s="18" t="n">
        <v>0.32618875</v>
      </c>
      <c r="R73" s="20" t="n">
        <v>0.32989748</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(6451.0/B7*100)</f>
        <v/>
      </c>
      <c r="D7" s="19" t="n">
        <v>916</v>
      </c>
      <c r="E7" s="18" t="n">
        <v>41.61045664</v>
      </c>
      <c r="F7" s="20" t="n">
        <v>1.95641517</v>
      </c>
      <c r="G7" s="18" t="n">
        <v>56.83578857</v>
      </c>
      <c r="H7" s="20" t="n">
        <v>1.88364264</v>
      </c>
      <c r="I7" s="18" t="s">
        <v>431</v>
      </c>
      <c r="J7" s="20" t="s">
        <v>431</v>
      </c>
      <c r="K7" s="18" t="n">
        <v>0.84911552</v>
      </c>
      <c r="L7" s="20" t="n">
        <v>0.32830217</v>
      </c>
      <c r="M7" s="18" t="n">
        <v>0</v>
      </c>
      <c r="N7" s="20" t="n">
        <v>0</v>
      </c>
      <c r="O7" s="18" t="n">
        <v>0</v>
      </c>
      <c r="P7" s="20" t="n">
        <v>0</v>
      </c>
      <c r="Q7" s="18" t="n">
        <v>0.70463928</v>
      </c>
      <c r="R7" s="20" t="n">
        <v>0.2750528</v>
      </c>
    </row>
    <row r="8" spans="1:18">
      <c r="A8" s="15" t="s">
        <v>432</v>
      </c>
      <c r="B8" s="17" t="n">
        <v>3564</v>
      </c>
      <c r="C8" s="18">
        <f>(3147.0/B8*100)</f>
        <v/>
      </c>
      <c r="D8" s="19" t="n">
        <v>417</v>
      </c>
      <c r="E8" s="18" t="n">
        <v>31.23529563</v>
      </c>
      <c r="F8" s="20" t="n">
        <v>2.45031343</v>
      </c>
      <c r="G8" s="18" t="n">
        <v>67.88195544</v>
      </c>
      <c r="H8" s="20" t="n">
        <v>2.57362109</v>
      </c>
      <c r="I8" s="18" t="s">
        <v>431</v>
      </c>
      <c r="J8" s="20" t="s">
        <v>431</v>
      </c>
      <c r="K8" s="18" t="n">
        <v>0.43810235</v>
      </c>
      <c r="L8" s="20" t="n">
        <v>0.4036839</v>
      </c>
      <c r="M8" s="18" t="n">
        <v>0</v>
      </c>
      <c r="N8" s="20" t="n">
        <v>0</v>
      </c>
      <c r="O8" s="18" t="n">
        <v>0</v>
      </c>
      <c r="P8" s="20" t="n">
        <v>0</v>
      </c>
      <c r="Q8" s="18" t="n">
        <v>0.44464658</v>
      </c>
      <c r="R8" s="20" t="n">
        <v>0.24962932</v>
      </c>
    </row>
    <row r="9" spans="1:18">
      <c r="A9" s="15" t="s">
        <v>433</v>
      </c>
      <c r="B9" s="17" t="n">
        <v>4899</v>
      </c>
      <c r="C9" s="18">
        <f>(4311.0/B9*100)</f>
        <v/>
      </c>
      <c r="D9" s="19" t="n">
        <v>588</v>
      </c>
      <c r="E9" s="18" t="n">
        <v>34.73746121</v>
      </c>
      <c r="F9" s="20" t="n">
        <v>2.10368556</v>
      </c>
      <c r="G9" s="18" t="n">
        <v>63.00558075</v>
      </c>
      <c r="H9" s="20" t="n">
        <v>2.23471955</v>
      </c>
      <c r="I9" s="18" t="s">
        <v>431</v>
      </c>
      <c r="J9" s="20" t="s">
        <v>431</v>
      </c>
      <c r="K9" s="18" t="n">
        <v>1.29451122</v>
      </c>
      <c r="L9" s="20" t="n">
        <v>0.49445061</v>
      </c>
      <c r="M9" s="18" t="n">
        <v>0</v>
      </c>
      <c r="N9" s="20" t="n">
        <v>0</v>
      </c>
      <c r="O9" s="18" t="n">
        <v>0</v>
      </c>
      <c r="P9" s="20" t="n">
        <v>0</v>
      </c>
      <c r="Q9" s="18" t="n">
        <v>0.96244681</v>
      </c>
      <c r="R9" s="20" t="n">
        <v>0.33981043</v>
      </c>
    </row>
    <row r="10" spans="1:18">
      <c r="A10" s="15" t="s">
        <v>434</v>
      </c>
      <c r="B10" s="17" t="n">
        <v>10036</v>
      </c>
      <c r="C10" s="18">
        <f>(8838.0/B10*100)</f>
        <v/>
      </c>
      <c r="D10" s="19" t="n">
        <v>1198</v>
      </c>
      <c r="E10" s="18" t="n">
        <v>37.64945763</v>
      </c>
      <c r="F10" s="20" t="n">
        <v>2.00544795</v>
      </c>
      <c r="G10" s="18" t="n">
        <v>60.56232759</v>
      </c>
      <c r="H10" s="20" t="n">
        <v>2.08858553</v>
      </c>
      <c r="I10" s="18" t="s">
        <v>431</v>
      </c>
      <c r="J10" s="20" t="s">
        <v>431</v>
      </c>
      <c r="K10" s="18" t="n">
        <v>1.65866754</v>
      </c>
      <c r="L10" s="20" t="n">
        <v>0.54032806</v>
      </c>
      <c r="M10" s="18" t="n">
        <v>0</v>
      </c>
      <c r="N10" s="20" t="n">
        <v>0</v>
      </c>
      <c r="O10" s="18" t="n">
        <v>0</v>
      </c>
      <c r="P10" s="20" t="n">
        <v>0</v>
      </c>
      <c r="Q10" s="18" t="n">
        <v>0.12954724</v>
      </c>
      <c r="R10" s="20" t="n">
        <v>0.08985345</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(3044.0/B12*100)</f>
        <v/>
      </c>
      <c r="D12" s="19" t="n">
        <v>428</v>
      </c>
      <c r="E12" s="18" t="n">
        <v>31.22647848</v>
      </c>
      <c r="F12" s="20" t="n">
        <v>2.44574104</v>
      </c>
      <c r="G12" s="18" t="n">
        <v>68.31173271999999</v>
      </c>
      <c r="H12" s="20" t="n">
        <v>2.40423361</v>
      </c>
      <c r="I12" s="18" t="s">
        <v>431</v>
      </c>
      <c r="J12" s="20" t="s">
        <v>431</v>
      </c>
      <c r="K12" s="18" t="n">
        <v>0</v>
      </c>
      <c r="L12" s="20" t="n">
        <v>0</v>
      </c>
      <c r="M12" s="18" t="n">
        <v>0</v>
      </c>
      <c r="N12" s="20" t="n">
        <v>0</v>
      </c>
      <c r="O12" s="18" t="n">
        <v>0</v>
      </c>
      <c r="P12" s="20" t="n">
        <v>0</v>
      </c>
      <c r="Q12" s="18" t="n">
        <v>0.4617888</v>
      </c>
      <c r="R12" s="20" t="n">
        <v>0.32645883</v>
      </c>
    </row>
    <row r="13" spans="1:18">
      <c r="A13" s="15" t="s">
        <v>437</v>
      </c>
      <c r="B13" s="17" t="n">
        <v>3559</v>
      </c>
      <c r="C13" s="18">
        <f>(3144.0/B13*100)</f>
        <v/>
      </c>
      <c r="D13" s="19" t="n">
        <v>415</v>
      </c>
      <c r="E13" s="18" t="n">
        <v>35.67343022</v>
      </c>
      <c r="F13" s="20" t="n">
        <v>3.31654264</v>
      </c>
      <c r="G13" s="18" t="n">
        <v>63.78575119</v>
      </c>
      <c r="H13" s="20" t="n">
        <v>3.33100896</v>
      </c>
      <c r="I13" s="18" t="s">
        <v>431</v>
      </c>
      <c r="J13" s="20" t="s">
        <v>431</v>
      </c>
      <c r="K13" s="18" t="n">
        <v>0.44119164</v>
      </c>
      <c r="L13" s="20" t="n">
        <v>0.21274551</v>
      </c>
      <c r="M13" s="18" t="n">
        <v>0</v>
      </c>
      <c r="N13" s="20" t="n">
        <v>0</v>
      </c>
      <c r="O13" s="18" t="n">
        <v>0</v>
      </c>
      <c r="P13" s="20" t="n">
        <v>0</v>
      </c>
      <c r="Q13" s="18" t="n">
        <v>0.09962694</v>
      </c>
      <c r="R13" s="20" t="n">
        <v>0.13191185</v>
      </c>
    </row>
    <row r="14" spans="1:18">
      <c r="A14" s="15" t="s">
        <v>438</v>
      </c>
      <c r="B14" s="17" t="n">
        <v>2799</v>
      </c>
      <c r="C14" s="18">
        <f>(2456.0/B14*100)</f>
        <v/>
      </c>
      <c r="D14" s="19" t="n">
        <v>343</v>
      </c>
      <c r="E14" s="18" t="n">
        <v>36.66680369</v>
      </c>
      <c r="F14" s="20" t="n">
        <v>2.76617444</v>
      </c>
      <c r="G14" s="18" t="n">
        <v>62.02354752</v>
      </c>
      <c r="H14" s="20" t="n">
        <v>2.79613679</v>
      </c>
      <c r="I14" s="18" t="s">
        <v>431</v>
      </c>
      <c r="J14" s="20" t="s">
        <v>431</v>
      </c>
      <c r="K14" s="18" t="n">
        <v>0.84184933</v>
      </c>
      <c r="L14" s="20" t="n">
        <v>0.48333655</v>
      </c>
      <c r="M14" s="18" t="n">
        <v>0</v>
      </c>
      <c r="N14" s="20" t="n">
        <v>0</v>
      </c>
      <c r="O14" s="18" t="n">
        <v>0</v>
      </c>
      <c r="P14" s="20" t="n">
        <v>0</v>
      </c>
      <c r="Q14" s="18" t="n">
        <v>0.46779946</v>
      </c>
      <c r="R14" s="20" t="n">
        <v>0.31841994</v>
      </c>
    </row>
    <row r="15" spans="1:18">
      <c r="A15" s="15" t="s">
        <v>439</v>
      </c>
      <c r="B15" s="17" t="n">
        <v>3019</v>
      </c>
      <c r="C15" s="18">
        <f>(2650.0/B15*100)</f>
        <v/>
      </c>
      <c r="D15" s="19" t="n">
        <v>369</v>
      </c>
      <c r="E15" s="18" t="n">
        <v>26.48187378</v>
      </c>
      <c r="F15" s="20" t="n">
        <v>2.6211187</v>
      </c>
      <c r="G15" s="18" t="n">
        <v>71.96762391999999</v>
      </c>
      <c r="H15" s="20" t="n">
        <v>2.6242059</v>
      </c>
      <c r="I15" s="18" t="s">
        <v>431</v>
      </c>
      <c r="J15" s="20" t="s">
        <v>431</v>
      </c>
      <c r="K15" s="18" t="n">
        <v>1.28093847</v>
      </c>
      <c r="L15" s="20" t="n">
        <v>0.58341854</v>
      </c>
      <c r="M15" s="18" t="n">
        <v>0</v>
      </c>
      <c r="N15" s="20" t="n">
        <v>0</v>
      </c>
      <c r="O15" s="18" t="n">
        <v>0</v>
      </c>
      <c r="P15" s="20" t="n">
        <v>0</v>
      </c>
      <c r="Q15" s="18" t="n">
        <v>0.26956383</v>
      </c>
      <c r="R15" s="20" t="n">
        <v>0.26920255</v>
      </c>
    </row>
    <row r="16" spans="1:18">
      <c r="A16" s="15" t="s">
        <v>440</v>
      </c>
      <c r="B16" s="17" t="n">
        <v>2997</v>
      </c>
      <c r="C16" s="18">
        <f>(2621.0/B16*100)</f>
        <v/>
      </c>
      <c r="D16" s="19" t="n">
        <v>376</v>
      </c>
      <c r="E16" s="18" t="n">
        <v>37.97501567</v>
      </c>
      <c r="F16" s="20" t="n">
        <v>2.57273861</v>
      </c>
      <c r="G16" s="18" t="n">
        <v>57.1768201</v>
      </c>
      <c r="H16" s="20" t="n">
        <v>2.77576371</v>
      </c>
      <c r="I16" s="18" t="s">
        <v>431</v>
      </c>
      <c r="J16" s="20" t="s">
        <v>431</v>
      </c>
      <c r="K16" s="18" t="n">
        <v>3.05786211</v>
      </c>
      <c r="L16" s="20" t="n">
        <v>0.910995</v>
      </c>
      <c r="M16" s="18" t="n">
        <v>0</v>
      </c>
      <c r="N16" s="20" t="n">
        <v>0</v>
      </c>
      <c r="O16" s="18" t="n">
        <v>0</v>
      </c>
      <c r="P16" s="20" t="n">
        <v>0</v>
      </c>
      <c r="Q16" s="18" t="n">
        <v>1.79030213</v>
      </c>
      <c r="R16" s="20" t="n">
        <v>0.58671595</v>
      </c>
    </row>
    <row r="17" spans="1:18">
      <c r="A17" s="15" t="s">
        <v>441</v>
      </c>
      <c r="B17" s="17" t="n">
        <v>3307</v>
      </c>
      <c r="C17" s="18">
        <f>(2913.0/B17*100)</f>
        <v/>
      </c>
      <c r="D17" s="19" t="n">
        <v>394</v>
      </c>
      <c r="E17" s="18" t="n">
        <v>26.58567163</v>
      </c>
      <c r="F17" s="20" t="n">
        <v>2.5710459</v>
      </c>
      <c r="G17" s="18" t="n">
        <v>71.83575824</v>
      </c>
      <c r="H17" s="20" t="n">
        <v>2.66491701</v>
      </c>
      <c r="I17" s="18" t="s">
        <v>431</v>
      </c>
      <c r="J17" s="20" t="s">
        <v>431</v>
      </c>
      <c r="K17" s="18" t="n">
        <v>0.79164595</v>
      </c>
      <c r="L17" s="20" t="n">
        <v>0.44968239</v>
      </c>
      <c r="M17" s="18" t="n">
        <v>0</v>
      </c>
      <c r="N17" s="20" t="n">
        <v>0</v>
      </c>
      <c r="O17" s="18" t="n">
        <v>0</v>
      </c>
      <c r="P17" s="20" t="n">
        <v>0</v>
      </c>
      <c r="Q17" s="18" t="n">
        <v>0.78692418</v>
      </c>
      <c r="R17" s="20" t="n">
        <v>0.45971201</v>
      </c>
    </row>
    <row r="18" spans="1:18">
      <c r="A18" s="15" t="s">
        <v>442</v>
      </c>
      <c r="B18" s="17" t="n">
        <v>2826</v>
      </c>
      <c r="C18" s="18">
        <f>(2476.0/B18*100)</f>
        <v/>
      </c>
      <c r="D18" s="19" t="n">
        <v>350</v>
      </c>
      <c r="E18" s="18" t="n">
        <v>45.68974771</v>
      </c>
      <c r="F18" s="20" t="n">
        <v>2.98584907</v>
      </c>
      <c r="G18" s="18" t="n">
        <v>52.80552865</v>
      </c>
      <c r="H18" s="20" t="n">
        <v>3.00279047</v>
      </c>
      <c r="I18" s="18" t="s">
        <v>431</v>
      </c>
      <c r="J18" s="20" t="s">
        <v>431</v>
      </c>
      <c r="K18" s="18" t="n">
        <v>0.81354545</v>
      </c>
      <c r="L18" s="20" t="n">
        <v>0.61928107</v>
      </c>
      <c r="M18" s="18" t="n">
        <v>0</v>
      </c>
      <c r="N18" s="20" t="n">
        <v>0</v>
      </c>
      <c r="O18" s="18" t="n">
        <v>0</v>
      </c>
      <c r="P18" s="20" t="n">
        <v>0</v>
      </c>
      <c r="Q18" s="18" t="n">
        <v>0.69117819</v>
      </c>
      <c r="R18" s="20" t="n">
        <v>0.85097312</v>
      </c>
    </row>
    <row r="19" spans="1:18">
      <c r="A19" s="15" t="s">
        <v>443</v>
      </c>
      <c r="B19" s="17" t="n">
        <v>2808</v>
      </c>
      <c r="C19" s="18">
        <f>(2468.0/B19*100)</f>
        <v/>
      </c>
      <c r="D19" s="19" t="n">
        <v>340</v>
      </c>
      <c r="E19" s="18" t="n">
        <v>40.30248757</v>
      </c>
      <c r="F19" s="20" t="n">
        <v>2.68016303</v>
      </c>
      <c r="G19" s="18" t="n">
        <v>59.43823523</v>
      </c>
      <c r="H19" s="20" t="n">
        <v>2.64254512</v>
      </c>
      <c r="I19" s="18" t="s">
        <v>431</v>
      </c>
      <c r="J19" s="20" t="s">
        <v>431</v>
      </c>
      <c r="K19" s="18" t="n">
        <v>0</v>
      </c>
      <c r="L19" s="20" t="n">
        <v>0</v>
      </c>
      <c r="M19" s="18" t="n">
        <v>0</v>
      </c>
      <c r="N19" s="20" t="n">
        <v>0</v>
      </c>
      <c r="O19" s="18" t="n">
        <v>0</v>
      </c>
      <c r="P19" s="20" t="n">
        <v>0</v>
      </c>
      <c r="Q19" s="18" t="n">
        <v>0.2592772</v>
      </c>
      <c r="R19" s="20" t="n">
        <v>0.2620704</v>
      </c>
    </row>
    <row r="20" spans="1:18">
      <c r="A20" s="15" t="s">
        <v>444</v>
      </c>
      <c r="B20" s="17" t="n">
        <v>1630</v>
      </c>
      <c r="C20" s="18">
        <f>(1445.0/B20*100)</f>
        <v/>
      </c>
      <c r="D20" s="19" t="n">
        <v>185</v>
      </c>
      <c r="E20" s="18" t="n">
        <v>47.6507389</v>
      </c>
      <c r="F20" s="20" t="n">
        <v>3.54647428</v>
      </c>
      <c r="G20" s="18" t="n">
        <v>49.25002665</v>
      </c>
      <c r="H20" s="20" t="n">
        <v>3.6142971</v>
      </c>
      <c r="I20" s="18" t="s">
        <v>431</v>
      </c>
      <c r="J20" s="20" t="s">
        <v>431</v>
      </c>
      <c r="K20" s="18" t="n">
        <v>2.0349739</v>
      </c>
      <c r="L20" s="20" t="n">
        <v>1.01856668</v>
      </c>
      <c r="M20" s="18" t="n">
        <v>0</v>
      </c>
      <c r="N20" s="20" t="n">
        <v>0</v>
      </c>
      <c r="O20" s="18" t="n">
        <v>0</v>
      </c>
      <c r="P20" s="20" t="n">
        <v>0</v>
      </c>
      <c r="Q20" s="18" t="n">
        <v>1.06426056</v>
      </c>
      <c r="R20" s="20" t="n">
        <v>0.73479673</v>
      </c>
    </row>
    <row r="21" spans="1:18">
      <c r="A21" s="15" t="s">
        <v>445</v>
      </c>
      <c r="B21" s="17" t="n">
        <v>2908</v>
      </c>
      <c r="C21" s="18">
        <f>(2424.0/B21*100)</f>
        <v/>
      </c>
      <c r="D21" s="19" t="n">
        <v>484</v>
      </c>
      <c r="E21" s="18" t="n">
        <v>35.23852472</v>
      </c>
      <c r="F21" s="20" t="n">
        <v>2.22283635</v>
      </c>
      <c r="G21" s="18" t="n">
        <v>64.24294558</v>
      </c>
      <c r="H21" s="20" t="n">
        <v>2.18686171</v>
      </c>
      <c r="I21" s="18" t="s">
        <v>431</v>
      </c>
      <c r="J21" s="20" t="s">
        <v>431</v>
      </c>
      <c r="K21" s="18" t="n">
        <v>0.5185297</v>
      </c>
      <c r="L21" s="20" t="n">
        <v>0.29749925</v>
      </c>
      <c r="M21" s="18" t="n">
        <v>0</v>
      </c>
      <c r="N21" s="20" t="n">
        <v>0</v>
      </c>
      <c r="O21" s="18" t="n">
        <v>0</v>
      </c>
      <c r="P21" s="20" t="n">
        <v>0</v>
      </c>
      <c r="Q21" s="18" t="n">
        <v>0</v>
      </c>
      <c r="R21" s="20" t="n">
        <v>0</v>
      </c>
    </row>
    <row r="22" spans="1:18">
      <c r="A22" s="15" t="s">
        <v>446</v>
      </c>
      <c r="B22" s="17" t="n">
        <v>2931</v>
      </c>
      <c r="C22" s="18">
        <f>(2598.0/B22*100)</f>
        <v/>
      </c>
      <c r="D22" s="19" t="n">
        <v>333</v>
      </c>
      <c r="E22" s="18" t="n">
        <v>32.7177886</v>
      </c>
      <c r="F22" s="20" t="n">
        <v>2.72234531</v>
      </c>
      <c r="G22" s="18" t="n">
        <v>63.15461731</v>
      </c>
      <c r="H22" s="20" t="n">
        <v>3.02096439</v>
      </c>
      <c r="I22" s="18" t="s">
        <v>431</v>
      </c>
      <c r="J22" s="20" t="s">
        <v>431</v>
      </c>
      <c r="K22" s="18" t="n">
        <v>2.62573341</v>
      </c>
      <c r="L22" s="20" t="n">
        <v>0.96609251</v>
      </c>
      <c r="M22" s="18" t="n">
        <v>0</v>
      </c>
      <c r="N22" s="20" t="n">
        <v>0</v>
      </c>
      <c r="O22" s="18" t="n">
        <v>0</v>
      </c>
      <c r="P22" s="20" t="n">
        <v>0</v>
      </c>
      <c r="Q22" s="18" t="n">
        <v>1.50186068</v>
      </c>
      <c r="R22" s="20" t="n">
        <v>0.82083462</v>
      </c>
    </row>
    <row r="23" spans="1:18">
      <c r="A23" s="15" t="s">
        <v>447</v>
      </c>
      <c r="B23" s="17" t="n">
        <v>5791</v>
      </c>
      <c r="C23" s="18">
        <f>(5120.0/B23*100)</f>
        <v/>
      </c>
      <c r="D23" s="19" t="n">
        <v>671</v>
      </c>
      <c r="E23" s="18" t="n">
        <v>38.00957215</v>
      </c>
      <c r="F23" s="20" t="n">
        <v>2.56313534</v>
      </c>
      <c r="G23" s="18" t="n">
        <v>60.19675017</v>
      </c>
      <c r="H23" s="20" t="n">
        <v>2.5331623</v>
      </c>
      <c r="I23" s="18" t="s">
        <v>431</v>
      </c>
      <c r="J23" s="20" t="s">
        <v>431</v>
      </c>
      <c r="K23" s="18" t="n">
        <v>1.55738415</v>
      </c>
      <c r="L23" s="20" t="n">
        <v>0.5922933</v>
      </c>
      <c r="M23" s="18" t="n">
        <v>0</v>
      </c>
      <c r="N23" s="20" t="n">
        <v>0</v>
      </c>
      <c r="O23" s="18" t="n">
        <v>0</v>
      </c>
      <c r="P23" s="20" t="n">
        <v>0</v>
      </c>
      <c r="Q23" s="18" t="n">
        <v>0.23629353</v>
      </c>
      <c r="R23" s="20" t="n">
        <v>0.16969676</v>
      </c>
    </row>
    <row r="24" spans="1:18">
      <c r="A24" s="15" t="s">
        <v>448</v>
      </c>
      <c r="B24" s="17" t="n">
        <v>3338</v>
      </c>
      <c r="C24" s="18">
        <f>(2931.0/B24*100)</f>
        <v/>
      </c>
      <c r="D24" s="19" t="n">
        <v>407</v>
      </c>
      <c r="E24" s="18" t="n">
        <v>27.38693828</v>
      </c>
      <c r="F24" s="20" t="n">
        <v>2.35058552</v>
      </c>
      <c r="G24" s="18" t="n">
        <v>70.50289469000001</v>
      </c>
      <c r="H24" s="20" t="n">
        <v>2.4318985</v>
      </c>
      <c r="I24" s="18" t="s">
        <v>431</v>
      </c>
      <c r="J24" s="20" t="s">
        <v>431</v>
      </c>
      <c r="K24" s="18" t="n">
        <v>1.12304261</v>
      </c>
      <c r="L24" s="20" t="n">
        <v>0.49085534</v>
      </c>
      <c r="M24" s="18" t="n">
        <v>0</v>
      </c>
      <c r="N24" s="20" t="n">
        <v>0</v>
      </c>
      <c r="O24" s="18" t="n">
        <v>0</v>
      </c>
      <c r="P24" s="20" t="n">
        <v>0</v>
      </c>
      <c r="Q24" s="18" t="n">
        <v>0.98712442</v>
      </c>
      <c r="R24" s="20" t="n">
        <v>0.49107905</v>
      </c>
    </row>
    <row r="25" spans="1:18">
      <c r="A25" s="15" t="s">
        <v>449</v>
      </c>
      <c r="B25" s="17" t="n">
        <v>2912</v>
      </c>
      <c r="C25" s="18">
        <f>(2547.0/B25*100)</f>
        <v/>
      </c>
      <c r="D25" s="19" t="n">
        <v>365</v>
      </c>
      <c r="E25" s="18" t="n">
        <v>33.20565667</v>
      </c>
      <c r="F25" s="20" t="n">
        <v>2.62803435</v>
      </c>
      <c r="G25" s="18" t="n">
        <v>66.49322526</v>
      </c>
      <c r="H25" s="20" t="n">
        <v>2.5285773</v>
      </c>
      <c r="I25" s="18" t="s">
        <v>431</v>
      </c>
      <c r="J25" s="20" t="s">
        <v>431</v>
      </c>
      <c r="K25" s="18" t="n">
        <v>0.30111807</v>
      </c>
      <c r="L25" s="20" t="n">
        <v>0.29894836</v>
      </c>
      <c r="M25" s="18" t="n">
        <v>0</v>
      </c>
      <c r="N25" s="20" t="n">
        <v>0</v>
      </c>
      <c r="O25" s="18" t="n">
        <v>0</v>
      </c>
      <c r="P25" s="20" t="n">
        <v>0</v>
      </c>
      <c r="Q25" s="18" t="n">
        <v>0</v>
      </c>
      <c r="R25" s="20" t="n">
        <v>0</v>
      </c>
    </row>
    <row r="26" spans="1:18">
      <c r="A26" s="15" t="s">
        <v>450</v>
      </c>
      <c r="B26" s="17" t="n">
        <v>2450</v>
      </c>
      <c r="C26" s="18">
        <f>(2156.0/B26*100)</f>
        <v/>
      </c>
      <c r="D26" s="19" t="n">
        <v>294</v>
      </c>
      <c r="E26" s="18" t="n">
        <v>43.16006928</v>
      </c>
      <c r="F26" s="20" t="n">
        <v>3.5484764</v>
      </c>
      <c r="G26" s="18" t="n">
        <v>56.83993072</v>
      </c>
      <c r="H26" s="20" t="n">
        <v>3.5484764</v>
      </c>
      <c r="I26" s="18" t="s">
        <v>431</v>
      </c>
      <c r="J26" s="20" t="s">
        <v>431</v>
      </c>
      <c r="K26" s="18" t="n">
        <v>0</v>
      </c>
      <c r="L26" s="20" t="n">
        <v>0</v>
      </c>
      <c r="M26" s="18" t="n">
        <v>0</v>
      </c>
      <c r="N26" s="20" t="n">
        <v>0</v>
      </c>
      <c r="O26" s="18" t="n">
        <v>0</v>
      </c>
      <c r="P26" s="20" t="n">
        <v>0</v>
      </c>
      <c r="Q26" s="18" t="n">
        <v>0</v>
      </c>
      <c r="R26" s="20" t="n">
        <v>0</v>
      </c>
    </row>
    <row r="27" spans="1:18">
      <c r="A27" s="15" t="s">
        <v>451</v>
      </c>
      <c r="B27" s="17" t="n">
        <v>2616</v>
      </c>
      <c r="C27" s="18">
        <f>(2292.0/B27*100)</f>
        <v/>
      </c>
      <c r="D27" s="19" t="n">
        <v>324</v>
      </c>
      <c r="E27" s="18" t="n">
        <v>41.18891146</v>
      </c>
      <c r="F27" s="20" t="n">
        <v>2.64247186</v>
      </c>
      <c r="G27" s="18" t="n">
        <v>58.50373067</v>
      </c>
      <c r="H27" s="20" t="n">
        <v>2.60764888</v>
      </c>
      <c r="I27" s="18" t="s">
        <v>431</v>
      </c>
      <c r="J27" s="20" t="s">
        <v>431</v>
      </c>
      <c r="K27" s="18" t="n">
        <v>0.30735788</v>
      </c>
      <c r="L27" s="20" t="n">
        <v>0.3098453</v>
      </c>
      <c r="M27" s="18" t="n">
        <v>0</v>
      </c>
      <c r="N27" s="20" t="n">
        <v>0</v>
      </c>
      <c r="O27" s="18" t="n">
        <v>0</v>
      </c>
      <c r="P27" s="20" t="n">
        <v>0</v>
      </c>
      <c r="Q27" s="18" t="n">
        <v>0</v>
      </c>
      <c r="R27" s="20" t="n">
        <v>0</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31.77873659</v>
      </c>
      <c r="F29" s="20" t="n">
        <v>3.07408271</v>
      </c>
      <c r="G29" s="18" t="n">
        <v>66.8891771</v>
      </c>
      <c r="H29" s="20" t="n">
        <v>3.05229014</v>
      </c>
      <c r="I29" s="18" t="s">
        <v>431</v>
      </c>
      <c r="J29" s="20" t="s">
        <v>431</v>
      </c>
      <c r="K29" s="18" t="n">
        <v>1.02547724</v>
      </c>
      <c r="L29" s="20" t="n">
        <v>0.59831875</v>
      </c>
      <c r="M29" s="18" t="n">
        <v>0</v>
      </c>
      <c r="N29" s="20" t="n">
        <v>0</v>
      </c>
      <c r="O29" s="18" t="n">
        <v>0</v>
      </c>
      <c r="P29" s="20" t="n">
        <v>0</v>
      </c>
      <c r="Q29" s="18" t="n">
        <v>0.30660907</v>
      </c>
      <c r="R29" s="20" t="n">
        <v>0.31381243</v>
      </c>
    </row>
    <row r="30" spans="1:18">
      <c r="A30" s="15" t="s">
        <v>454</v>
      </c>
      <c r="B30" s="17" t="n">
        <v>2263</v>
      </c>
      <c r="C30" s="18">
        <f>(1997.0/B30*100)</f>
        <v/>
      </c>
      <c r="D30" s="19" t="n">
        <v>266</v>
      </c>
      <c r="E30" s="18" t="n">
        <v>40.88834389</v>
      </c>
      <c r="F30" s="20" t="n">
        <v>2.99669758</v>
      </c>
      <c r="G30" s="18" t="n">
        <v>57.93247433</v>
      </c>
      <c r="H30" s="20" t="n">
        <v>3.06928744</v>
      </c>
      <c r="I30" s="18" t="s">
        <v>431</v>
      </c>
      <c r="J30" s="20" t="s">
        <v>431</v>
      </c>
      <c r="K30" s="18" t="n">
        <v>0.35243715</v>
      </c>
      <c r="L30" s="20" t="n">
        <v>0.39452765</v>
      </c>
      <c r="M30" s="18" t="n">
        <v>0</v>
      </c>
      <c r="N30" s="20" t="n">
        <v>0</v>
      </c>
      <c r="O30" s="18" t="n">
        <v>0</v>
      </c>
      <c r="P30" s="20" t="n">
        <v>0</v>
      </c>
      <c r="Q30" s="18" t="n">
        <v>0.82674463</v>
      </c>
      <c r="R30" s="20" t="n">
        <v>0.59195418</v>
      </c>
    </row>
    <row r="31" spans="1:18">
      <c r="A31" s="15" t="s">
        <v>455</v>
      </c>
      <c r="B31" s="17" t="n">
        <v>2750</v>
      </c>
      <c r="C31" s="18">
        <f>(2410.0/B31*100)</f>
        <v/>
      </c>
      <c r="D31" s="19" t="n">
        <v>340</v>
      </c>
      <c r="E31" s="18" t="n">
        <v>44.01716729</v>
      </c>
      <c r="F31" s="20" t="n">
        <v>2.59379925</v>
      </c>
      <c r="G31" s="18" t="n">
        <v>54.88634148</v>
      </c>
      <c r="H31" s="20" t="n">
        <v>2.61469822</v>
      </c>
      <c r="I31" s="18" t="s">
        <v>431</v>
      </c>
      <c r="J31" s="20" t="s">
        <v>431</v>
      </c>
      <c r="K31" s="18" t="n">
        <v>0.7940902</v>
      </c>
      <c r="L31" s="20" t="n">
        <v>0.45728017</v>
      </c>
      <c r="M31" s="18" t="n">
        <v>0</v>
      </c>
      <c r="N31" s="20" t="n">
        <v>0</v>
      </c>
      <c r="O31" s="18" t="n">
        <v>0</v>
      </c>
      <c r="P31" s="20" t="n">
        <v>0</v>
      </c>
      <c r="Q31" s="18" t="n">
        <v>0.30240103</v>
      </c>
      <c r="R31" s="20" t="n">
        <v>0.31246515</v>
      </c>
    </row>
    <row r="32" spans="1:18">
      <c r="A32" s="15" t="s">
        <v>456</v>
      </c>
      <c r="B32" s="17" t="n">
        <v>2269</v>
      </c>
      <c r="C32" s="18">
        <f>(1892.0/B32*100)</f>
        <v/>
      </c>
      <c r="D32" s="19" t="n">
        <v>377</v>
      </c>
      <c r="E32" s="18" t="n">
        <v>37.58253576</v>
      </c>
      <c r="F32" s="20" t="n">
        <v>2.60495549</v>
      </c>
      <c r="G32" s="18" t="n">
        <v>61.20372604</v>
      </c>
      <c r="H32" s="20" t="n">
        <v>2.55174928</v>
      </c>
      <c r="I32" s="18" t="s">
        <v>431</v>
      </c>
      <c r="J32" s="20" t="s">
        <v>431</v>
      </c>
      <c r="K32" s="18" t="n">
        <v>0.73725619</v>
      </c>
      <c r="L32" s="20" t="n">
        <v>0.3961171</v>
      </c>
      <c r="M32" s="18" t="n">
        <v>0</v>
      </c>
      <c r="N32" s="20" t="n">
        <v>0</v>
      </c>
      <c r="O32" s="18" t="n">
        <v>0</v>
      </c>
      <c r="P32" s="20" t="n">
        <v>0</v>
      </c>
      <c r="Q32" s="18" t="n">
        <v>0.47648201</v>
      </c>
      <c r="R32" s="20" t="n">
        <v>0.3398592</v>
      </c>
    </row>
    <row r="33" spans="1:18">
      <c r="A33" s="15" t="s">
        <v>457</v>
      </c>
      <c r="B33" s="17" t="n">
        <v>3674</v>
      </c>
      <c r="C33" s="18">
        <f>(3245.0/B33*100)</f>
        <v/>
      </c>
      <c r="D33" s="19" t="n">
        <v>429</v>
      </c>
      <c r="E33" s="18" t="n">
        <v>25.8361539</v>
      </c>
      <c r="F33" s="20" t="n">
        <v>2.47576511</v>
      </c>
      <c r="G33" s="18" t="n">
        <v>73.38884947</v>
      </c>
      <c r="H33" s="20" t="n">
        <v>2.51623493</v>
      </c>
      <c r="I33" s="18" t="s">
        <v>431</v>
      </c>
      <c r="J33" s="20" t="s">
        <v>431</v>
      </c>
      <c r="K33" s="18" t="n">
        <v>0</v>
      </c>
      <c r="L33" s="20" t="n">
        <v>0</v>
      </c>
      <c r="M33" s="18" t="n">
        <v>0</v>
      </c>
      <c r="N33" s="20" t="n">
        <v>0</v>
      </c>
      <c r="O33" s="18" t="n">
        <v>0</v>
      </c>
      <c r="P33" s="20" t="n">
        <v>0</v>
      </c>
      <c r="Q33" s="18" t="n">
        <v>0.77499663</v>
      </c>
      <c r="R33" s="20" t="n">
        <v>0.25848231</v>
      </c>
    </row>
    <row r="34" spans="1:18">
      <c r="A34" s="15" t="s">
        <v>458</v>
      </c>
      <c r="B34" s="17" t="n">
        <v>3315</v>
      </c>
      <c r="C34" s="18">
        <f>(2914.0/B34*100)</f>
        <v/>
      </c>
      <c r="D34" s="19" t="n">
        <v>401</v>
      </c>
      <c r="E34" s="18" t="n">
        <v>37.7511669</v>
      </c>
      <c r="F34" s="20" t="n">
        <v>2.85862339</v>
      </c>
      <c r="G34" s="18" t="n">
        <v>61.14232117</v>
      </c>
      <c r="H34" s="20" t="n">
        <v>2.80250749</v>
      </c>
      <c r="I34" s="18" t="s">
        <v>431</v>
      </c>
      <c r="J34" s="20" t="s">
        <v>431</v>
      </c>
      <c r="K34" s="18" t="n">
        <v>0.64037993</v>
      </c>
      <c r="L34" s="20" t="n">
        <v>0.37069606</v>
      </c>
      <c r="M34" s="18" t="n">
        <v>0</v>
      </c>
      <c r="N34" s="20" t="n">
        <v>0</v>
      </c>
      <c r="O34" s="18" t="n">
        <v>0</v>
      </c>
      <c r="P34" s="20" t="n">
        <v>0</v>
      </c>
      <c r="Q34" s="18" t="n">
        <v>0.466132</v>
      </c>
      <c r="R34" s="20" t="n">
        <v>0.31833675</v>
      </c>
    </row>
    <row r="35" spans="1:18">
      <c r="A35" s="15" t="s">
        <v>459</v>
      </c>
      <c r="B35" s="17" t="n">
        <v>3505</v>
      </c>
      <c r="C35" s="18">
        <f>(3084.0/B35*100)</f>
        <v/>
      </c>
      <c r="D35" s="19" t="n">
        <v>421</v>
      </c>
      <c r="E35" s="18" t="n">
        <v>36.50756008</v>
      </c>
      <c r="F35" s="20" t="n">
        <v>2.58009118</v>
      </c>
      <c r="G35" s="18" t="n">
        <v>62.19882389</v>
      </c>
      <c r="H35" s="20" t="n">
        <v>2.56995958</v>
      </c>
      <c r="I35" s="18" t="s">
        <v>431</v>
      </c>
      <c r="J35" s="20" t="s">
        <v>431</v>
      </c>
      <c r="K35" s="18" t="n">
        <v>0.29560243</v>
      </c>
      <c r="L35" s="20" t="n">
        <v>0.20652839</v>
      </c>
      <c r="M35" s="18" t="n">
        <v>0</v>
      </c>
      <c r="N35" s="20" t="n">
        <v>0</v>
      </c>
      <c r="O35" s="18" t="n">
        <v>0</v>
      </c>
      <c r="P35" s="20" t="n">
        <v>0</v>
      </c>
      <c r="Q35" s="18" t="n">
        <v>0.9980135999999999</v>
      </c>
      <c r="R35" s="20" t="n">
        <v>0.82172421</v>
      </c>
    </row>
    <row r="36" spans="1:18">
      <c r="A36" s="15" t="s">
        <v>460</v>
      </c>
      <c r="B36" s="17" t="n">
        <v>3332</v>
      </c>
      <c r="C36" s="18">
        <f>(2924.0/B36*100)</f>
        <v/>
      </c>
      <c r="D36" s="19" t="n">
        <v>408</v>
      </c>
      <c r="E36" s="18" t="n">
        <v>27.55473056</v>
      </c>
      <c r="F36" s="20" t="n">
        <v>2.42649485</v>
      </c>
      <c r="G36" s="18" t="n">
        <v>71.82704778</v>
      </c>
      <c r="H36" s="20" t="n">
        <v>2.46449556</v>
      </c>
      <c r="I36" s="18" t="s">
        <v>431</v>
      </c>
      <c r="J36" s="20" t="s">
        <v>431</v>
      </c>
      <c r="K36" s="18" t="n">
        <v>0.6182216699999999</v>
      </c>
      <c r="L36" s="20" t="n">
        <v>0.36973287</v>
      </c>
      <c r="M36" s="18" t="n">
        <v>0</v>
      </c>
      <c r="N36" s="20" t="n">
        <v>0</v>
      </c>
      <c r="O36" s="18" t="n">
        <v>0</v>
      </c>
      <c r="P36" s="20" t="n">
        <v>0</v>
      </c>
      <c r="Q36" s="18" t="n">
        <v>0</v>
      </c>
      <c r="R36" s="20" t="n">
        <v>0</v>
      </c>
    </row>
    <row r="37" spans="1:18">
      <c r="A37" s="15" t="s">
        <v>461</v>
      </c>
      <c r="B37" s="17" t="n">
        <v>2727</v>
      </c>
      <c r="C37" s="18">
        <f>(2402.0/B37*100)</f>
        <v/>
      </c>
      <c r="D37" s="19" t="n">
        <v>325</v>
      </c>
      <c r="E37" s="18" t="n">
        <v>32.42740847</v>
      </c>
      <c r="F37" s="20" t="n">
        <v>2.51897091</v>
      </c>
      <c r="G37" s="18" t="n">
        <v>64.80817426</v>
      </c>
      <c r="H37" s="20" t="n">
        <v>2.63972069</v>
      </c>
      <c r="I37" s="18" t="s">
        <v>431</v>
      </c>
      <c r="J37" s="20" t="s">
        <v>431</v>
      </c>
      <c r="K37" s="18" t="n">
        <v>2.44210243</v>
      </c>
      <c r="L37" s="20" t="n">
        <v>0.98372828</v>
      </c>
      <c r="M37" s="18" t="n">
        <v>0</v>
      </c>
      <c r="N37" s="20" t="n">
        <v>0</v>
      </c>
      <c r="O37" s="18" t="n">
        <v>0</v>
      </c>
      <c r="P37" s="20" t="n">
        <v>0</v>
      </c>
      <c r="Q37" s="18" t="n">
        <v>0.32231483</v>
      </c>
      <c r="R37" s="20" t="n">
        <v>0.32277936</v>
      </c>
    </row>
    <row r="38" spans="1:18">
      <c r="A38" s="15" t="s">
        <v>462</v>
      </c>
      <c r="B38" s="17" t="n">
        <v>3053</v>
      </c>
      <c r="C38" s="18">
        <f>(2521.0/B38*100)</f>
        <v/>
      </c>
      <c r="D38" s="19" t="n">
        <v>532</v>
      </c>
      <c r="E38" s="18" t="n">
        <v>34.42663536</v>
      </c>
      <c r="F38" s="20" t="n">
        <v>2.697633</v>
      </c>
      <c r="G38" s="18" t="n">
        <v>63.31962608</v>
      </c>
      <c r="H38" s="20" t="n">
        <v>2.63958173</v>
      </c>
      <c r="I38" s="18" t="s">
        <v>431</v>
      </c>
      <c r="J38" s="20" t="s">
        <v>431</v>
      </c>
      <c r="K38" s="18" t="n">
        <v>1.9100222</v>
      </c>
      <c r="L38" s="20" t="n">
        <v>0.85904035</v>
      </c>
      <c r="M38" s="18" t="n">
        <v>0</v>
      </c>
      <c r="N38" s="20" t="n">
        <v>0</v>
      </c>
      <c r="O38" s="18" t="n">
        <v>0</v>
      </c>
      <c r="P38" s="20" t="n">
        <v>0</v>
      </c>
      <c r="Q38" s="18" t="n">
        <v>0.34371636</v>
      </c>
      <c r="R38" s="20" t="n">
        <v>0.23913319</v>
      </c>
    </row>
    <row r="39" spans="1:18">
      <c r="A39" s="15" t="s">
        <v>463</v>
      </c>
      <c r="B39" s="17" t="n">
        <v>2957</v>
      </c>
      <c r="C39" s="18">
        <f>(2585.0/B39*100)</f>
        <v/>
      </c>
      <c r="D39" s="19" t="n">
        <v>372</v>
      </c>
      <c r="E39" s="18" t="n">
        <v>58.40700075</v>
      </c>
      <c r="F39" s="20" t="n">
        <v>2.99739329</v>
      </c>
      <c r="G39" s="18" t="n">
        <v>39.87352015</v>
      </c>
      <c r="H39" s="20" t="n">
        <v>2.92335714</v>
      </c>
      <c r="I39" s="18" t="s">
        <v>431</v>
      </c>
      <c r="J39" s="20" t="s">
        <v>431</v>
      </c>
      <c r="K39" s="18" t="n">
        <v>0.36673793</v>
      </c>
      <c r="L39" s="20" t="n">
        <v>0.35067832</v>
      </c>
      <c r="M39" s="18" t="n">
        <v>0</v>
      </c>
      <c r="N39" s="20" t="n">
        <v>0</v>
      </c>
      <c r="O39" s="18" t="n">
        <v>0</v>
      </c>
      <c r="P39" s="20" t="n">
        <v>0</v>
      </c>
      <c r="Q39" s="18" t="n">
        <v>1.35274117</v>
      </c>
      <c r="R39" s="20" t="n">
        <v>0.52436777</v>
      </c>
    </row>
    <row r="40" spans="1:18">
      <c r="A40" s="15" t="s">
        <v>464</v>
      </c>
      <c r="B40" s="17" t="n">
        <v>7235</v>
      </c>
      <c r="C40" s="18">
        <f>(6337.0/B40*100)</f>
        <v/>
      </c>
      <c r="D40" s="19" t="n">
        <v>898</v>
      </c>
      <c r="E40" s="18" t="n">
        <v>45.64941279</v>
      </c>
      <c r="F40" s="20" t="n">
        <v>2.4633077</v>
      </c>
      <c r="G40" s="18" t="n">
        <v>52.81518209</v>
      </c>
      <c r="H40" s="20" t="n">
        <v>2.34975039</v>
      </c>
      <c r="I40" s="18" t="s">
        <v>431</v>
      </c>
      <c r="J40" s="20" t="s">
        <v>431</v>
      </c>
      <c r="K40" s="18" t="n">
        <v>0.8954884400000001</v>
      </c>
      <c r="L40" s="20" t="n">
        <v>0.54176658</v>
      </c>
      <c r="M40" s="18" t="n">
        <v>0</v>
      </c>
      <c r="N40" s="20" t="n">
        <v>0</v>
      </c>
      <c r="O40" s="18" t="n">
        <v>0</v>
      </c>
      <c r="P40" s="20" t="n">
        <v>0</v>
      </c>
      <c r="Q40" s="18" t="n">
        <v>0.63991668</v>
      </c>
      <c r="R40" s="20" t="n">
        <v>0.35986108</v>
      </c>
    </row>
    <row r="41" spans="1:18">
      <c r="A41" s="15" t="s">
        <v>465</v>
      </c>
      <c r="B41" s="17" t="n">
        <v>2858</v>
      </c>
      <c r="C41" s="18">
        <f>(2507.0/B41*100)</f>
        <v/>
      </c>
      <c r="D41" s="19" t="n">
        <v>351</v>
      </c>
      <c r="E41" s="18" t="n">
        <v>40.90276816</v>
      </c>
      <c r="F41" s="20" t="n">
        <v>2.45266305</v>
      </c>
      <c r="G41" s="18" t="n">
        <v>58.29232922</v>
      </c>
      <c r="H41" s="20" t="n">
        <v>2.40288305</v>
      </c>
      <c r="I41" s="18" t="s">
        <v>431</v>
      </c>
      <c r="J41" s="20" t="s">
        <v>431</v>
      </c>
      <c r="K41" s="18" t="n">
        <v>0.23143744</v>
      </c>
      <c r="L41" s="20" t="n">
        <v>0.23599271</v>
      </c>
      <c r="M41" s="18" t="n">
        <v>0</v>
      </c>
      <c r="N41" s="20" t="n">
        <v>0</v>
      </c>
      <c r="O41" s="18" t="n">
        <v>0</v>
      </c>
      <c r="P41" s="20" t="n">
        <v>0</v>
      </c>
      <c r="Q41" s="18" t="n">
        <v>0.57346518</v>
      </c>
      <c r="R41" s="20" t="n">
        <v>0.41057031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(4517.0/B48*100)</f>
        <v/>
      </c>
      <c r="D48" s="19" t="n">
        <v>642</v>
      </c>
      <c r="E48" s="18" t="n">
        <v>40.02591719</v>
      </c>
      <c r="F48" s="20" t="n">
        <v>2.74787665</v>
      </c>
      <c r="G48" s="18" t="n">
        <v>59.35480231</v>
      </c>
      <c r="H48" s="20" t="n">
        <v>2.7658988</v>
      </c>
      <c r="I48" s="18" t="s">
        <v>431</v>
      </c>
      <c r="J48" s="20" t="s">
        <v>431</v>
      </c>
      <c r="K48" s="18" t="n">
        <v>0.55592462</v>
      </c>
      <c r="L48" s="20" t="n">
        <v>0.34525197</v>
      </c>
      <c r="M48" s="18" t="n">
        <v>0</v>
      </c>
      <c r="N48" s="20" t="n">
        <v>0</v>
      </c>
      <c r="O48" s="18" t="n">
        <v>0</v>
      </c>
      <c r="P48" s="20" t="n">
        <v>0</v>
      </c>
      <c r="Q48" s="18" t="n">
        <v>0.06335589</v>
      </c>
      <c r="R48" s="20" t="n">
        <v>0.04496075</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(2462.0/B52*100)</f>
        <v/>
      </c>
      <c r="D52" s="19" t="n">
        <v>334</v>
      </c>
      <c r="E52" s="18" t="n">
        <v>38.86713485</v>
      </c>
      <c r="F52" s="20" t="n">
        <v>2.96599837</v>
      </c>
      <c r="G52" s="18" t="n">
        <v>59.96804074</v>
      </c>
      <c r="H52" s="20" t="n">
        <v>2.86006519</v>
      </c>
      <c r="I52" s="18" t="s">
        <v>431</v>
      </c>
      <c r="J52" s="20" t="s">
        <v>431</v>
      </c>
      <c r="K52" s="18" t="n">
        <v>0.27372714</v>
      </c>
      <c r="L52" s="20" t="n">
        <v>0.2746103</v>
      </c>
      <c r="M52" s="18" t="n">
        <v>0</v>
      </c>
      <c r="N52" s="20" t="n">
        <v>0</v>
      </c>
      <c r="O52" s="18" t="n">
        <v>0</v>
      </c>
      <c r="P52" s="20" t="n">
        <v>0</v>
      </c>
      <c r="Q52" s="18" t="n">
        <v>0.8910972700000001</v>
      </c>
      <c r="R52" s="20" t="n">
        <v>0.51722791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25.61236189</v>
      </c>
      <c r="F56" s="20" t="n">
        <v>3.08994973</v>
      </c>
      <c r="G56" s="18" t="n">
        <v>73.4546031</v>
      </c>
      <c r="H56" s="20" t="n">
        <v>3.18583206</v>
      </c>
      <c r="I56" s="18" t="s">
        <v>431</v>
      </c>
      <c r="J56" s="20" t="s">
        <v>431</v>
      </c>
      <c r="K56" s="18" t="n">
        <v>0.1886532</v>
      </c>
      <c r="L56" s="20" t="n">
        <v>0.18834262</v>
      </c>
      <c r="M56" s="18" t="n">
        <v>0</v>
      </c>
      <c r="N56" s="20" t="n">
        <v>0</v>
      </c>
      <c r="O56" s="18" t="n">
        <v>0</v>
      </c>
      <c r="P56" s="20" t="n">
        <v>0</v>
      </c>
      <c r="Q56" s="18" t="n">
        <v>0.74438181</v>
      </c>
      <c r="R56" s="20" t="n">
        <v>0.50616044</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(2896.0/B61*100)</f>
        <v/>
      </c>
      <c r="D61" s="19" t="n">
        <v>428</v>
      </c>
      <c r="E61" s="18" t="n">
        <v>38.97552207</v>
      </c>
      <c r="F61" s="20" t="n">
        <v>2.45221733</v>
      </c>
      <c r="G61" s="18" t="n">
        <v>60.3402914</v>
      </c>
      <c r="H61" s="20" t="n">
        <v>2.39750167</v>
      </c>
      <c r="I61" s="18" t="s">
        <v>431</v>
      </c>
      <c r="J61" s="20" t="s">
        <v>431</v>
      </c>
      <c r="K61" s="18" t="n">
        <v>0.11082472</v>
      </c>
      <c r="L61" s="20" t="n">
        <v>0.0665978</v>
      </c>
      <c r="M61" s="18" t="n">
        <v>0</v>
      </c>
      <c r="N61" s="20" t="n">
        <v>0</v>
      </c>
      <c r="O61" s="18" t="n">
        <v>0</v>
      </c>
      <c r="P61" s="20" t="n">
        <v>0</v>
      </c>
      <c r="Q61" s="18" t="n">
        <v>0.57336181</v>
      </c>
      <c r="R61" s="20" t="n">
        <v>0.40031948</v>
      </c>
    </row>
    <row r="62" spans="1:18">
      <c r="A62" s="15" t="s">
        <v>486</v>
      </c>
      <c r="B62" s="17" t="n">
        <v>2246</v>
      </c>
      <c r="C62" s="18">
        <f>(1970.0/B62*100)</f>
        <v/>
      </c>
      <c r="D62" s="19" t="n">
        <v>276</v>
      </c>
      <c r="E62" s="18" t="n">
        <v>44.6400423</v>
      </c>
      <c r="F62" s="20" t="n">
        <v>2.65698016</v>
      </c>
      <c r="G62" s="18" t="n">
        <v>54.26788294</v>
      </c>
      <c r="H62" s="20" t="n">
        <v>2.76815064</v>
      </c>
      <c r="I62" s="18" t="s">
        <v>431</v>
      </c>
      <c r="J62" s="20" t="s">
        <v>431</v>
      </c>
      <c r="K62" s="18" t="n">
        <v>0.73218616</v>
      </c>
      <c r="L62" s="20" t="n">
        <v>0.5171894500000001</v>
      </c>
      <c r="M62" s="18" t="n">
        <v>0</v>
      </c>
      <c r="N62" s="20" t="n">
        <v>0</v>
      </c>
      <c r="O62" s="18" t="n">
        <v>0</v>
      </c>
      <c r="P62" s="20" t="n">
        <v>0</v>
      </c>
      <c r="Q62" s="18" t="n">
        <v>0.3598886</v>
      </c>
      <c r="R62" s="20" t="n">
        <v>0.36131688</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(2562.0/B66*100)</f>
        <v/>
      </c>
      <c r="D66" s="19" t="n">
        <v>332</v>
      </c>
      <c r="E66" s="18" t="n">
        <v>46.42317932</v>
      </c>
      <c r="F66" s="20" t="n">
        <v>2.97231119</v>
      </c>
      <c r="G66" s="18" t="n">
        <v>47.33568705</v>
      </c>
      <c r="H66" s="20" t="n">
        <v>2.82269385</v>
      </c>
      <c r="I66" s="18" t="s">
        <v>431</v>
      </c>
      <c r="J66" s="20" t="s">
        <v>431</v>
      </c>
      <c r="K66" s="18" t="n">
        <v>2.55253359</v>
      </c>
      <c r="L66" s="20" t="n">
        <v>0.87040752</v>
      </c>
      <c r="M66" s="18" t="n">
        <v>0</v>
      </c>
      <c r="N66" s="20" t="n">
        <v>0</v>
      </c>
      <c r="O66" s="18" t="n">
        <v>0</v>
      </c>
      <c r="P66" s="20" t="n">
        <v>0</v>
      </c>
      <c r="Q66" s="18" t="n">
        <v>3.68860004</v>
      </c>
      <c r="R66" s="20" t="n">
        <v>1.09725762</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(2590.0/B70*100)</f>
        <v/>
      </c>
      <c r="D70" s="19" t="n">
        <v>339</v>
      </c>
      <c r="E70" s="18" t="n">
        <v>36.91095101</v>
      </c>
      <c r="F70" s="20" t="n">
        <v>2.90932346</v>
      </c>
      <c r="G70" s="18" t="n">
        <v>61.49379251</v>
      </c>
      <c r="H70" s="20" t="n">
        <v>2.96140225</v>
      </c>
      <c r="I70" s="18" t="s">
        <v>431</v>
      </c>
      <c r="J70" s="20" t="s">
        <v>431</v>
      </c>
      <c r="K70" s="18" t="n">
        <v>1.20370209</v>
      </c>
      <c r="L70" s="20" t="n">
        <v>0.66870836</v>
      </c>
      <c r="M70" s="18" t="n">
        <v>0</v>
      </c>
      <c r="N70" s="20" t="n">
        <v>0</v>
      </c>
      <c r="O70" s="18" t="n">
        <v>0</v>
      </c>
      <c r="P70" s="20" t="n">
        <v>0</v>
      </c>
      <c r="Q70" s="18" t="n">
        <v>0.39155439</v>
      </c>
      <c r="R70" s="20" t="n">
        <v>0.39317956</v>
      </c>
    </row>
    <row r="71" spans="1:18">
      <c r="A71" s="15" t="s">
        <v>495</v>
      </c>
      <c r="B71" s="17" t="n">
        <v>3142</v>
      </c>
      <c r="C71" s="18">
        <f>(2763.0/B71*100)</f>
        <v/>
      </c>
      <c r="D71" s="19" t="n">
        <v>379</v>
      </c>
      <c r="E71" s="18" t="n">
        <v>32.25584711</v>
      </c>
      <c r="F71" s="20" t="n">
        <v>2.38126205</v>
      </c>
      <c r="G71" s="18" t="n">
        <v>65.03167845999999</v>
      </c>
      <c r="H71" s="20" t="n">
        <v>2.47937137</v>
      </c>
      <c r="I71" s="18" t="s">
        <v>431</v>
      </c>
      <c r="J71" s="20" t="s">
        <v>431</v>
      </c>
      <c r="K71" s="18" t="n">
        <v>1.79031474</v>
      </c>
      <c r="L71" s="20" t="n">
        <v>0.66214524</v>
      </c>
      <c r="M71" s="18" t="n">
        <v>0</v>
      </c>
      <c r="N71" s="20" t="n">
        <v>0</v>
      </c>
      <c r="O71" s="18" t="n">
        <v>0</v>
      </c>
      <c r="P71" s="20" t="n">
        <v>0</v>
      </c>
      <c r="Q71" s="18" t="n">
        <v>0.9221597</v>
      </c>
      <c r="R71" s="20" t="n">
        <v>0.4551379</v>
      </c>
    </row>
    <row r="72" spans="1:18">
      <c r="A72" s="15" t="s">
        <v>496</v>
      </c>
      <c r="B72" s="17" t="n">
        <v>3889</v>
      </c>
      <c r="C72" s="18">
        <f>(3415.0/B72*100)</f>
        <v/>
      </c>
      <c r="D72" s="19" t="n">
        <v>474</v>
      </c>
      <c r="E72" s="18" t="n">
        <v>33.62889796</v>
      </c>
      <c r="F72" s="20" t="n">
        <v>1.98435741</v>
      </c>
      <c r="G72" s="18" t="n">
        <v>65.38241755999999</v>
      </c>
      <c r="H72" s="20" t="n">
        <v>2.07667205</v>
      </c>
      <c r="I72" s="18" t="s">
        <v>431</v>
      </c>
      <c r="J72" s="20" t="s">
        <v>431</v>
      </c>
      <c r="K72" s="18" t="n">
        <v>0.31186148</v>
      </c>
      <c r="L72" s="20" t="n">
        <v>0.2223452</v>
      </c>
      <c r="M72" s="18" t="n">
        <v>0</v>
      </c>
      <c r="N72" s="20" t="n">
        <v>0</v>
      </c>
      <c r="O72" s="18" t="n">
        <v>0</v>
      </c>
      <c r="P72" s="20" t="n">
        <v>0</v>
      </c>
      <c r="Q72" s="18" t="n">
        <v>0.676823</v>
      </c>
      <c r="R72" s="20" t="n">
        <v>0.39311191</v>
      </c>
    </row>
    <row r="73" spans="1:18">
      <c r="A73" s="15" t="s">
        <v>497</v>
      </c>
      <c r="B73" s="17" t="n">
        <v>3597</v>
      </c>
      <c r="C73" s="18">
        <f>(3162.0/B73*100)</f>
        <v/>
      </c>
      <c r="D73" s="19" t="n">
        <v>435</v>
      </c>
      <c r="E73" s="18" t="n">
        <v>68.59039414</v>
      </c>
      <c r="F73" s="20" t="n">
        <v>2.63886032</v>
      </c>
      <c r="G73" s="18" t="n">
        <v>29.86537905</v>
      </c>
      <c r="H73" s="20" t="n">
        <v>2.77201423</v>
      </c>
      <c r="I73" s="18" t="s">
        <v>431</v>
      </c>
      <c r="J73" s="20" t="s">
        <v>431</v>
      </c>
      <c r="K73" s="18" t="n">
        <v>0.44854098</v>
      </c>
      <c r="L73" s="20" t="n">
        <v>0.37247722</v>
      </c>
      <c r="M73" s="18" t="n">
        <v>0</v>
      </c>
      <c r="N73" s="20" t="n">
        <v>0</v>
      </c>
      <c r="O73" s="18" t="n">
        <v>0</v>
      </c>
      <c r="P73" s="20" t="n">
        <v>0</v>
      </c>
      <c r="Q73" s="18" t="n">
        <v>1.09568584</v>
      </c>
      <c r="R73" s="20" t="n">
        <v>0.59300332</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(6453.0/B7*100)</f>
        <v/>
      </c>
      <c r="D7" s="19" t="n">
        <v>914</v>
      </c>
      <c r="E7" s="18" t="n">
        <v>21.08315355</v>
      </c>
      <c r="F7" s="20" t="n">
        <v>1.69292175</v>
      </c>
      <c r="G7" s="18" t="n">
        <v>77.18941343</v>
      </c>
      <c r="H7" s="20" t="n">
        <v>1.69508068</v>
      </c>
      <c r="I7" s="18" t="s">
        <v>431</v>
      </c>
      <c r="J7" s="20" t="s">
        <v>431</v>
      </c>
      <c r="K7" s="18" t="n">
        <v>1.18864073</v>
      </c>
      <c r="L7" s="20" t="n">
        <v>0.43797587</v>
      </c>
      <c r="M7" s="18" t="n">
        <v>0</v>
      </c>
      <c r="N7" s="20" t="n">
        <v>0</v>
      </c>
      <c r="O7" s="18" t="n">
        <v>0</v>
      </c>
      <c r="P7" s="20" t="n">
        <v>0</v>
      </c>
      <c r="Q7" s="18" t="n">
        <v>0.53879229</v>
      </c>
      <c r="R7" s="20" t="n">
        <v>0.24549631</v>
      </c>
    </row>
    <row r="8" spans="1:18">
      <c r="A8" s="15" t="s">
        <v>432</v>
      </c>
      <c r="B8" s="17" t="n">
        <v>3564</v>
      </c>
      <c r="C8" s="18">
        <f>(3147.0/B8*100)</f>
        <v/>
      </c>
      <c r="D8" s="19" t="n">
        <v>417</v>
      </c>
      <c r="E8" s="18" t="n">
        <v>22.82889023</v>
      </c>
      <c r="F8" s="20" t="n">
        <v>2.29784623</v>
      </c>
      <c r="G8" s="18" t="n">
        <v>75.89019956</v>
      </c>
      <c r="H8" s="20" t="n">
        <v>2.38634596</v>
      </c>
      <c r="I8" s="18" t="s">
        <v>431</v>
      </c>
      <c r="J8" s="20" t="s">
        <v>431</v>
      </c>
      <c r="K8" s="18" t="n">
        <v>0.43810235</v>
      </c>
      <c r="L8" s="20" t="n">
        <v>0.4036839</v>
      </c>
      <c r="M8" s="18" t="n">
        <v>0</v>
      </c>
      <c r="N8" s="20" t="n">
        <v>0</v>
      </c>
      <c r="O8" s="18" t="n">
        <v>0</v>
      </c>
      <c r="P8" s="20" t="n">
        <v>0</v>
      </c>
      <c r="Q8" s="18" t="n">
        <v>0.84280786</v>
      </c>
      <c r="R8" s="20" t="n">
        <v>0.46845078</v>
      </c>
    </row>
    <row r="9" spans="1:18">
      <c r="A9" s="15" t="s">
        <v>433</v>
      </c>
      <c r="B9" s="17" t="n">
        <v>4899</v>
      </c>
      <c r="C9" s="18">
        <f>(4312.0/B9*100)</f>
        <v/>
      </c>
      <c r="D9" s="19" t="n">
        <v>587</v>
      </c>
      <c r="E9" s="18" t="n">
        <v>15.83287264</v>
      </c>
      <c r="F9" s="20" t="n">
        <v>1.73549558</v>
      </c>
      <c r="G9" s="18" t="n">
        <v>81.81725546</v>
      </c>
      <c r="H9" s="20" t="n">
        <v>1.82723828</v>
      </c>
      <c r="I9" s="18" t="s">
        <v>431</v>
      </c>
      <c r="J9" s="20" t="s">
        <v>431</v>
      </c>
      <c r="K9" s="18" t="n">
        <v>1.54483108</v>
      </c>
      <c r="L9" s="20" t="n">
        <v>0.60444639</v>
      </c>
      <c r="M9" s="18" t="n">
        <v>0</v>
      </c>
      <c r="N9" s="20" t="n">
        <v>0</v>
      </c>
      <c r="O9" s="18" t="n">
        <v>0</v>
      </c>
      <c r="P9" s="20" t="n">
        <v>0</v>
      </c>
      <c r="Q9" s="18" t="n">
        <v>0.80504082</v>
      </c>
      <c r="R9" s="20" t="n">
        <v>0.37582136</v>
      </c>
    </row>
    <row r="10" spans="1:18">
      <c r="A10" s="15" t="s">
        <v>434</v>
      </c>
      <c r="B10" s="17" t="n">
        <v>10036</v>
      </c>
      <c r="C10" s="18">
        <f>(8837.0/B10*100)</f>
        <v/>
      </c>
      <c r="D10" s="19" t="n">
        <v>1199</v>
      </c>
      <c r="E10" s="18" t="n">
        <v>15.44659708</v>
      </c>
      <c r="F10" s="20" t="n">
        <v>1.51429182</v>
      </c>
      <c r="G10" s="18" t="n">
        <v>82.22087307</v>
      </c>
      <c r="H10" s="20" t="n">
        <v>1.62985515</v>
      </c>
      <c r="I10" s="18" t="s">
        <v>431</v>
      </c>
      <c r="J10" s="20" t="s">
        <v>431</v>
      </c>
      <c r="K10" s="18" t="n">
        <v>1.96378142</v>
      </c>
      <c r="L10" s="20" t="n">
        <v>0.56194531</v>
      </c>
      <c r="M10" s="18" t="n">
        <v>0</v>
      </c>
      <c r="N10" s="20" t="n">
        <v>0</v>
      </c>
      <c r="O10" s="18" t="n">
        <v>0</v>
      </c>
      <c r="P10" s="20" t="n">
        <v>0</v>
      </c>
      <c r="Q10" s="18" t="n">
        <v>0.36874843</v>
      </c>
      <c r="R10" s="20" t="n">
        <v>0.19807028</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(3045.0/B12*100)</f>
        <v/>
      </c>
      <c r="D12" s="19" t="n">
        <v>427</v>
      </c>
      <c r="E12" s="18" t="n">
        <v>20.24602486</v>
      </c>
      <c r="F12" s="20" t="n">
        <v>2.63593663</v>
      </c>
      <c r="G12" s="18" t="n">
        <v>79.31018770999999</v>
      </c>
      <c r="H12" s="20" t="n">
        <v>2.60912699</v>
      </c>
      <c r="I12" s="18" t="s">
        <v>431</v>
      </c>
      <c r="J12" s="20" t="s">
        <v>431</v>
      </c>
      <c r="K12" s="18" t="n">
        <v>0</v>
      </c>
      <c r="L12" s="20" t="n">
        <v>0</v>
      </c>
      <c r="M12" s="18" t="n">
        <v>0</v>
      </c>
      <c r="N12" s="20" t="n">
        <v>0</v>
      </c>
      <c r="O12" s="18" t="n">
        <v>0</v>
      </c>
      <c r="P12" s="20" t="n">
        <v>0</v>
      </c>
      <c r="Q12" s="18" t="n">
        <v>0.44378744</v>
      </c>
      <c r="R12" s="20" t="n">
        <v>0.32749375</v>
      </c>
    </row>
    <row r="13" spans="1:18">
      <c r="A13" s="15" t="s">
        <v>437</v>
      </c>
      <c r="B13" s="17" t="n">
        <v>3559</v>
      </c>
      <c r="C13" s="18">
        <f>(3144.0/B13*100)</f>
        <v/>
      </c>
      <c r="D13" s="19" t="n">
        <v>415</v>
      </c>
      <c r="E13" s="18" t="n">
        <v>25.31008219</v>
      </c>
      <c r="F13" s="20" t="n">
        <v>2.54580338</v>
      </c>
      <c r="G13" s="18" t="n">
        <v>73.79337353</v>
      </c>
      <c r="H13" s="20" t="n">
        <v>2.52744218</v>
      </c>
      <c r="I13" s="18" t="s">
        <v>431</v>
      </c>
      <c r="J13" s="20" t="s">
        <v>431</v>
      </c>
      <c r="K13" s="18" t="n">
        <v>0.79691733</v>
      </c>
      <c r="L13" s="20" t="n">
        <v>0.42681708</v>
      </c>
      <c r="M13" s="18" t="n">
        <v>0</v>
      </c>
      <c r="N13" s="20" t="n">
        <v>0</v>
      </c>
      <c r="O13" s="18" t="n">
        <v>0</v>
      </c>
      <c r="P13" s="20" t="n">
        <v>0</v>
      </c>
      <c r="Q13" s="18" t="n">
        <v>0.09962694</v>
      </c>
      <c r="R13" s="20" t="n">
        <v>0.13191185</v>
      </c>
    </row>
    <row r="14" spans="1:18">
      <c r="A14" s="15" t="s">
        <v>438</v>
      </c>
      <c r="B14" s="17" t="n">
        <v>2799</v>
      </c>
      <c r="C14" s="18">
        <f>(2456.0/B14*100)</f>
        <v/>
      </c>
      <c r="D14" s="19" t="n">
        <v>343</v>
      </c>
      <c r="E14" s="18" t="n">
        <v>15.43776661</v>
      </c>
      <c r="F14" s="20" t="n">
        <v>1.93826923</v>
      </c>
      <c r="G14" s="18" t="n">
        <v>83.27888185</v>
      </c>
      <c r="H14" s="20" t="n">
        <v>2.00629057</v>
      </c>
      <c r="I14" s="18" t="s">
        <v>431</v>
      </c>
      <c r="J14" s="20" t="s">
        <v>431</v>
      </c>
      <c r="K14" s="18" t="n">
        <v>0.84184933</v>
      </c>
      <c r="L14" s="20" t="n">
        <v>0.48333655</v>
      </c>
      <c r="M14" s="18" t="n">
        <v>0</v>
      </c>
      <c r="N14" s="20" t="n">
        <v>0</v>
      </c>
      <c r="O14" s="18" t="n">
        <v>0</v>
      </c>
      <c r="P14" s="20" t="n">
        <v>0</v>
      </c>
      <c r="Q14" s="18" t="n">
        <v>0.44150221</v>
      </c>
      <c r="R14" s="20" t="n">
        <v>0.30422039</v>
      </c>
    </row>
    <row r="15" spans="1:18">
      <c r="A15" s="15" t="s">
        <v>439</v>
      </c>
      <c r="B15" s="17" t="n">
        <v>3019</v>
      </c>
      <c r="C15" s="18">
        <f>(2650.0/B15*100)</f>
        <v/>
      </c>
      <c r="D15" s="19" t="n">
        <v>369</v>
      </c>
      <c r="E15" s="18" t="n">
        <v>26.96335286</v>
      </c>
      <c r="F15" s="20" t="n">
        <v>2.14498824</v>
      </c>
      <c r="G15" s="18" t="n">
        <v>70.96804207</v>
      </c>
      <c r="H15" s="20" t="n">
        <v>2.07408472</v>
      </c>
      <c r="I15" s="18" t="s">
        <v>431</v>
      </c>
      <c r="J15" s="20" t="s">
        <v>431</v>
      </c>
      <c r="K15" s="18" t="n">
        <v>1.28093847</v>
      </c>
      <c r="L15" s="20" t="n">
        <v>0.58341854</v>
      </c>
      <c r="M15" s="18" t="n">
        <v>0</v>
      </c>
      <c r="N15" s="20" t="n">
        <v>0</v>
      </c>
      <c r="O15" s="18" t="n">
        <v>0</v>
      </c>
      <c r="P15" s="20" t="n">
        <v>0</v>
      </c>
      <c r="Q15" s="18" t="n">
        <v>0.78766661</v>
      </c>
      <c r="R15" s="20" t="n">
        <v>0.42844933</v>
      </c>
    </row>
    <row r="16" spans="1:18">
      <c r="A16" s="15" t="s">
        <v>440</v>
      </c>
      <c r="B16" s="17" t="n">
        <v>2997</v>
      </c>
      <c r="C16" s="18">
        <f>(2623.0/B16*100)</f>
        <v/>
      </c>
      <c r="D16" s="19" t="n">
        <v>374</v>
      </c>
      <c r="E16" s="18" t="n">
        <v>22.17247041</v>
      </c>
      <c r="F16" s="20" t="n">
        <v>2.12325813</v>
      </c>
      <c r="G16" s="18" t="n">
        <v>71.39465083</v>
      </c>
      <c r="H16" s="20" t="n">
        <v>2.18544595</v>
      </c>
      <c r="I16" s="18" t="s">
        <v>431</v>
      </c>
      <c r="J16" s="20" t="s">
        <v>431</v>
      </c>
      <c r="K16" s="18" t="n">
        <v>4.63888692</v>
      </c>
      <c r="L16" s="20" t="n">
        <v>1.03944471</v>
      </c>
      <c r="M16" s="18" t="n">
        <v>0</v>
      </c>
      <c r="N16" s="20" t="n">
        <v>0</v>
      </c>
      <c r="O16" s="18" t="n">
        <v>0</v>
      </c>
      <c r="P16" s="20" t="n">
        <v>0</v>
      </c>
      <c r="Q16" s="18" t="n">
        <v>1.79399184</v>
      </c>
      <c r="R16" s="20" t="n">
        <v>0.70383385</v>
      </c>
    </row>
    <row r="17" spans="1:18">
      <c r="A17" s="15" t="s">
        <v>441</v>
      </c>
      <c r="B17" s="17" t="n">
        <v>3307</v>
      </c>
      <c r="C17" s="18">
        <f>(2913.0/B17*100)</f>
        <v/>
      </c>
      <c r="D17" s="19" t="n">
        <v>394</v>
      </c>
      <c r="E17" s="18" t="n">
        <v>18.8401966</v>
      </c>
      <c r="F17" s="20" t="n">
        <v>2.34192404</v>
      </c>
      <c r="G17" s="18" t="n">
        <v>79.14656687</v>
      </c>
      <c r="H17" s="20" t="n">
        <v>2.55888011</v>
      </c>
      <c r="I17" s="18" t="s">
        <v>431</v>
      </c>
      <c r="J17" s="20" t="s">
        <v>431</v>
      </c>
      <c r="K17" s="18" t="n">
        <v>1.5088074</v>
      </c>
      <c r="L17" s="20" t="n">
        <v>0.82332439</v>
      </c>
      <c r="M17" s="18" t="n">
        <v>0</v>
      </c>
      <c r="N17" s="20" t="n">
        <v>0</v>
      </c>
      <c r="O17" s="18" t="n">
        <v>0</v>
      </c>
      <c r="P17" s="20" t="n">
        <v>0</v>
      </c>
      <c r="Q17" s="18" t="n">
        <v>0.50442913</v>
      </c>
      <c r="R17" s="20" t="n">
        <v>0.31206967</v>
      </c>
    </row>
    <row r="18" spans="1:18">
      <c r="A18" s="15" t="s">
        <v>442</v>
      </c>
      <c r="B18" s="17" t="n">
        <v>2826</v>
      </c>
      <c r="C18" s="18">
        <f>(2476.0/B18*100)</f>
        <v/>
      </c>
      <c r="D18" s="19" t="n">
        <v>350</v>
      </c>
      <c r="E18" s="18" t="n">
        <v>28.25324705</v>
      </c>
      <c r="F18" s="20" t="n">
        <v>2.16497716</v>
      </c>
      <c r="G18" s="18" t="n">
        <v>70.44715251</v>
      </c>
      <c r="H18" s="20" t="n">
        <v>2.43573011</v>
      </c>
      <c r="I18" s="18" t="s">
        <v>431</v>
      </c>
      <c r="J18" s="20" t="s">
        <v>431</v>
      </c>
      <c r="K18" s="18" t="n">
        <v>0.81354545</v>
      </c>
      <c r="L18" s="20" t="n">
        <v>0.61928107</v>
      </c>
      <c r="M18" s="18" t="n">
        <v>0</v>
      </c>
      <c r="N18" s="20" t="n">
        <v>0</v>
      </c>
      <c r="O18" s="18" t="n">
        <v>0</v>
      </c>
      <c r="P18" s="20" t="n">
        <v>0</v>
      </c>
      <c r="Q18" s="18" t="n">
        <v>0.48605499</v>
      </c>
      <c r="R18" s="20" t="n">
        <v>0.35969239</v>
      </c>
    </row>
    <row r="19" spans="1:18">
      <c r="A19" s="15" t="s">
        <v>443</v>
      </c>
      <c r="B19" s="17" t="n">
        <v>2808</v>
      </c>
      <c r="C19" s="18">
        <f>(2468.0/B19*100)</f>
        <v/>
      </c>
      <c r="D19" s="19" t="n">
        <v>340</v>
      </c>
      <c r="E19" s="18" t="n">
        <v>42.01778215</v>
      </c>
      <c r="F19" s="20" t="n">
        <v>2.70867485</v>
      </c>
      <c r="G19" s="18" t="n">
        <v>57.72262619</v>
      </c>
      <c r="H19" s="20" t="n">
        <v>2.67802051</v>
      </c>
      <c r="I19" s="18" t="s">
        <v>431</v>
      </c>
      <c r="J19" s="20" t="s">
        <v>431</v>
      </c>
      <c r="K19" s="18" t="n">
        <v>0</v>
      </c>
      <c r="L19" s="20" t="n">
        <v>0</v>
      </c>
      <c r="M19" s="18" t="n">
        <v>0</v>
      </c>
      <c r="N19" s="20" t="n">
        <v>0</v>
      </c>
      <c r="O19" s="18" t="n">
        <v>0</v>
      </c>
      <c r="P19" s="20" t="n">
        <v>0</v>
      </c>
      <c r="Q19" s="18" t="n">
        <v>0.25959167</v>
      </c>
      <c r="R19" s="20" t="n">
        <v>0.26920808</v>
      </c>
    </row>
    <row r="20" spans="1:18">
      <c r="A20" s="15" t="s">
        <v>444</v>
      </c>
      <c r="B20" s="17" t="n">
        <v>1630</v>
      </c>
      <c r="C20" s="18">
        <f>(1445.0/B20*100)</f>
        <v/>
      </c>
      <c r="D20" s="19" t="n">
        <v>185</v>
      </c>
      <c r="E20" s="18" t="n">
        <v>24.41850958</v>
      </c>
      <c r="F20" s="20" t="n">
        <v>3.26113754</v>
      </c>
      <c r="G20" s="18" t="n">
        <v>73.01212389</v>
      </c>
      <c r="H20" s="20" t="n">
        <v>3.29525055</v>
      </c>
      <c r="I20" s="18" t="s">
        <v>431</v>
      </c>
      <c r="J20" s="20" t="s">
        <v>431</v>
      </c>
      <c r="K20" s="18" t="n">
        <v>2.56936652</v>
      </c>
      <c r="L20" s="20" t="n">
        <v>1.14315289</v>
      </c>
      <c r="M20" s="18" t="n">
        <v>0</v>
      </c>
      <c r="N20" s="20" t="n">
        <v>0</v>
      </c>
      <c r="O20" s="18" t="n">
        <v>0</v>
      </c>
      <c r="P20" s="20" t="n">
        <v>0</v>
      </c>
      <c r="Q20" s="18" t="n">
        <v>0</v>
      </c>
      <c r="R20" s="20" t="n">
        <v>0</v>
      </c>
    </row>
    <row r="21" spans="1:18">
      <c r="A21" s="15" t="s">
        <v>445</v>
      </c>
      <c r="B21" s="17" t="n">
        <v>2908</v>
      </c>
      <c r="C21" s="18">
        <f>(2424.0/B21*100)</f>
        <v/>
      </c>
      <c r="D21" s="19" t="n">
        <v>484</v>
      </c>
      <c r="E21" s="18" t="n">
        <v>16.36028592</v>
      </c>
      <c r="F21" s="20" t="n">
        <v>1.6669172</v>
      </c>
      <c r="G21" s="18" t="n">
        <v>82.72537738</v>
      </c>
      <c r="H21" s="20" t="n">
        <v>1.6884944</v>
      </c>
      <c r="I21" s="18" t="s">
        <v>431</v>
      </c>
      <c r="J21" s="20" t="s">
        <v>431</v>
      </c>
      <c r="K21" s="18" t="n">
        <v>0.73751095</v>
      </c>
      <c r="L21" s="20" t="n">
        <v>0.38228934</v>
      </c>
      <c r="M21" s="18" t="n">
        <v>0</v>
      </c>
      <c r="N21" s="20" t="n">
        <v>0</v>
      </c>
      <c r="O21" s="18" t="n">
        <v>0</v>
      </c>
      <c r="P21" s="20" t="n">
        <v>0</v>
      </c>
      <c r="Q21" s="18" t="n">
        <v>0.17682575</v>
      </c>
      <c r="R21" s="20" t="n">
        <v>0.17809453</v>
      </c>
    </row>
    <row r="22" spans="1:18">
      <c r="A22" s="15" t="s">
        <v>446</v>
      </c>
      <c r="B22" s="17" t="n">
        <v>2931</v>
      </c>
      <c r="C22" s="18">
        <f>(2598.0/B22*100)</f>
        <v/>
      </c>
      <c r="D22" s="19" t="n">
        <v>333</v>
      </c>
      <c r="E22" s="18" t="n">
        <v>18.71946715</v>
      </c>
      <c r="F22" s="20" t="n">
        <v>2.68711954</v>
      </c>
      <c r="G22" s="18" t="n">
        <v>78.09988574</v>
      </c>
      <c r="H22" s="20" t="n">
        <v>2.64359469</v>
      </c>
      <c r="I22" s="18" t="s">
        <v>431</v>
      </c>
      <c r="J22" s="20" t="s">
        <v>431</v>
      </c>
      <c r="K22" s="18" t="n">
        <v>2.62573341</v>
      </c>
      <c r="L22" s="20" t="n">
        <v>0.96609251</v>
      </c>
      <c r="M22" s="18" t="n">
        <v>0</v>
      </c>
      <c r="N22" s="20" t="n">
        <v>0</v>
      </c>
      <c r="O22" s="18" t="n">
        <v>0</v>
      </c>
      <c r="P22" s="20" t="n">
        <v>0</v>
      </c>
      <c r="Q22" s="18" t="n">
        <v>0.5549137</v>
      </c>
      <c r="R22" s="20" t="n">
        <v>0.31929272</v>
      </c>
    </row>
    <row r="23" spans="1:18">
      <c r="A23" s="15" t="s">
        <v>447</v>
      </c>
      <c r="B23" s="17" t="n">
        <v>5791</v>
      </c>
      <c r="C23" s="18">
        <f>(5123.0/B23*100)</f>
        <v/>
      </c>
      <c r="D23" s="19" t="n">
        <v>668</v>
      </c>
      <c r="E23" s="18" t="n">
        <v>17.19950991</v>
      </c>
      <c r="F23" s="20" t="n">
        <v>1.60127205</v>
      </c>
      <c r="G23" s="18" t="n">
        <v>80.63742356</v>
      </c>
      <c r="H23" s="20" t="n">
        <v>1.66336189</v>
      </c>
      <c r="I23" s="18" t="s">
        <v>431</v>
      </c>
      <c r="J23" s="20" t="s">
        <v>431</v>
      </c>
      <c r="K23" s="18" t="n">
        <v>1.56288817</v>
      </c>
      <c r="L23" s="20" t="n">
        <v>0.59415936</v>
      </c>
      <c r="M23" s="18" t="n">
        <v>0</v>
      </c>
      <c r="N23" s="20" t="n">
        <v>0</v>
      </c>
      <c r="O23" s="18" t="n">
        <v>0</v>
      </c>
      <c r="P23" s="20" t="n">
        <v>0</v>
      </c>
      <c r="Q23" s="18" t="n">
        <v>0.60017836</v>
      </c>
      <c r="R23" s="20" t="n">
        <v>0.36222629</v>
      </c>
    </row>
    <row r="24" spans="1:18">
      <c r="A24" s="15" t="s">
        <v>448</v>
      </c>
      <c r="B24" s="17" t="n">
        <v>3338</v>
      </c>
      <c r="C24" s="18">
        <f>(2931.0/B24*100)</f>
        <v/>
      </c>
      <c r="D24" s="19" t="n">
        <v>407</v>
      </c>
      <c r="E24" s="18" t="n">
        <v>35.06953574</v>
      </c>
      <c r="F24" s="20" t="n">
        <v>2.18199922</v>
      </c>
      <c r="G24" s="18" t="n">
        <v>63.31749699</v>
      </c>
      <c r="H24" s="20" t="n">
        <v>2.21163136</v>
      </c>
      <c r="I24" s="18" t="s">
        <v>431</v>
      </c>
      <c r="J24" s="20" t="s">
        <v>431</v>
      </c>
      <c r="K24" s="18" t="n">
        <v>1.12304261</v>
      </c>
      <c r="L24" s="20" t="n">
        <v>0.49085534</v>
      </c>
      <c r="M24" s="18" t="n">
        <v>0</v>
      </c>
      <c r="N24" s="20" t="n">
        <v>0</v>
      </c>
      <c r="O24" s="18" t="n">
        <v>0</v>
      </c>
      <c r="P24" s="20" t="n">
        <v>0</v>
      </c>
      <c r="Q24" s="18" t="n">
        <v>0.48992466</v>
      </c>
      <c r="R24" s="20" t="n">
        <v>0.33949238</v>
      </c>
    </row>
    <row r="25" spans="1:18">
      <c r="A25" s="15" t="s">
        <v>449</v>
      </c>
      <c r="B25" s="17" t="n">
        <v>2912</v>
      </c>
      <c r="C25" s="18">
        <f>(2547.0/B25*100)</f>
        <v/>
      </c>
      <c r="D25" s="19" t="n">
        <v>365</v>
      </c>
      <c r="E25" s="18" t="n">
        <v>24.16514496</v>
      </c>
      <c r="F25" s="20" t="n">
        <v>2.26951933</v>
      </c>
      <c r="G25" s="18" t="n">
        <v>75.01953381</v>
      </c>
      <c r="H25" s="20" t="n">
        <v>2.28146353</v>
      </c>
      <c r="I25" s="18" t="s">
        <v>431</v>
      </c>
      <c r="J25" s="20" t="s">
        <v>431</v>
      </c>
      <c r="K25" s="18" t="n">
        <v>0.30111807</v>
      </c>
      <c r="L25" s="20" t="n">
        <v>0.29894836</v>
      </c>
      <c r="M25" s="18" t="n">
        <v>0</v>
      </c>
      <c r="N25" s="20" t="n">
        <v>0</v>
      </c>
      <c r="O25" s="18" t="n">
        <v>0</v>
      </c>
      <c r="P25" s="20" t="n">
        <v>0</v>
      </c>
      <c r="Q25" s="18" t="n">
        <v>0.51420317</v>
      </c>
      <c r="R25" s="20" t="n">
        <v>0.36405453</v>
      </c>
    </row>
    <row r="26" spans="1:18">
      <c r="A26" s="15" t="s">
        <v>450</v>
      </c>
      <c r="B26" s="17" t="n">
        <v>2450</v>
      </c>
      <c r="C26" s="18">
        <f>(2156.0/B26*100)</f>
        <v/>
      </c>
      <c r="D26" s="19" t="n">
        <v>294</v>
      </c>
      <c r="E26" s="18" t="n">
        <v>19.77248522</v>
      </c>
      <c r="F26" s="20" t="n">
        <v>2.7234405</v>
      </c>
      <c r="G26" s="18" t="n">
        <v>79.57752178</v>
      </c>
      <c r="H26" s="20" t="n">
        <v>2.78839015</v>
      </c>
      <c r="I26" s="18" t="s">
        <v>431</v>
      </c>
      <c r="J26" s="20" t="s">
        <v>431</v>
      </c>
      <c r="K26" s="18" t="n">
        <v>0</v>
      </c>
      <c r="L26" s="20" t="n">
        <v>0</v>
      </c>
      <c r="M26" s="18" t="n">
        <v>0</v>
      </c>
      <c r="N26" s="20" t="n">
        <v>0</v>
      </c>
      <c r="O26" s="18" t="n">
        <v>0</v>
      </c>
      <c r="P26" s="20" t="n">
        <v>0</v>
      </c>
      <c r="Q26" s="18" t="n">
        <v>0.64999299</v>
      </c>
      <c r="R26" s="20" t="n">
        <v>0.46168818</v>
      </c>
    </row>
    <row r="27" spans="1:18">
      <c r="A27" s="15" t="s">
        <v>451</v>
      </c>
      <c r="B27" s="17" t="n">
        <v>2616</v>
      </c>
      <c r="C27" s="18">
        <f>(2292.0/B27*100)</f>
        <v/>
      </c>
      <c r="D27" s="19" t="n">
        <v>324</v>
      </c>
      <c r="E27" s="18" t="n">
        <v>20.57275463</v>
      </c>
      <c r="F27" s="20" t="n">
        <v>2.28342778</v>
      </c>
      <c r="G27" s="18" t="n">
        <v>78.09787738999999</v>
      </c>
      <c r="H27" s="20" t="n">
        <v>2.29438896</v>
      </c>
      <c r="I27" s="18" t="s">
        <v>431</v>
      </c>
      <c r="J27" s="20" t="s">
        <v>431</v>
      </c>
      <c r="K27" s="18" t="n">
        <v>0.30735788</v>
      </c>
      <c r="L27" s="20" t="n">
        <v>0.3098453</v>
      </c>
      <c r="M27" s="18" t="n">
        <v>0</v>
      </c>
      <c r="N27" s="20" t="n">
        <v>0</v>
      </c>
      <c r="O27" s="18" t="n">
        <v>0</v>
      </c>
      <c r="P27" s="20" t="n">
        <v>0</v>
      </c>
      <c r="Q27" s="18" t="n">
        <v>1.0220101</v>
      </c>
      <c r="R27" s="20" t="n">
        <v>0.58309515</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(2378.0/B29*100)</f>
        <v/>
      </c>
      <c r="D29" s="19" t="n">
        <v>307</v>
      </c>
      <c r="E29" s="18" t="n">
        <v>18.19356485</v>
      </c>
      <c r="F29" s="20" t="n">
        <v>1.92856803</v>
      </c>
      <c r="G29" s="18" t="n">
        <v>80.50593343</v>
      </c>
      <c r="H29" s="20" t="n">
        <v>1.78944071</v>
      </c>
      <c r="I29" s="18" t="s">
        <v>431</v>
      </c>
      <c r="J29" s="20" t="s">
        <v>431</v>
      </c>
      <c r="K29" s="18" t="n">
        <v>1.03050826</v>
      </c>
      <c r="L29" s="20" t="n">
        <v>0.6012095200000001</v>
      </c>
      <c r="M29" s="18" t="n">
        <v>0</v>
      </c>
      <c r="N29" s="20" t="n">
        <v>0</v>
      </c>
      <c r="O29" s="18" t="n">
        <v>0</v>
      </c>
      <c r="P29" s="20" t="n">
        <v>0</v>
      </c>
      <c r="Q29" s="18" t="n">
        <v>0.26999346</v>
      </c>
      <c r="R29" s="20" t="n">
        <v>0.29183227</v>
      </c>
    </row>
    <row r="30" spans="1:18">
      <c r="A30" s="15" t="s">
        <v>454</v>
      </c>
      <c r="B30" s="17" t="n">
        <v>2263</v>
      </c>
      <c r="C30" s="18">
        <f>(1999.0/B30*100)</f>
        <v/>
      </c>
      <c r="D30" s="19" t="n">
        <v>264</v>
      </c>
      <c r="E30" s="18" t="n">
        <v>20.67673986</v>
      </c>
      <c r="F30" s="20" t="n">
        <v>2.35945177</v>
      </c>
      <c r="G30" s="18" t="n">
        <v>78.19714528999999</v>
      </c>
      <c r="H30" s="20" t="n">
        <v>2.49007739</v>
      </c>
      <c r="I30" s="18" t="s">
        <v>431</v>
      </c>
      <c r="J30" s="20" t="s">
        <v>431</v>
      </c>
      <c r="K30" s="18" t="n">
        <v>0.35525042</v>
      </c>
      <c r="L30" s="20" t="n">
        <v>0.39762633</v>
      </c>
      <c r="M30" s="18" t="n">
        <v>0</v>
      </c>
      <c r="N30" s="20" t="n">
        <v>0</v>
      </c>
      <c r="O30" s="18" t="n">
        <v>0</v>
      </c>
      <c r="P30" s="20" t="n">
        <v>0</v>
      </c>
      <c r="Q30" s="18" t="n">
        <v>0.77086444</v>
      </c>
      <c r="R30" s="20" t="n">
        <v>0.56504711</v>
      </c>
    </row>
    <row r="31" spans="1:18">
      <c r="A31" s="15" t="s">
        <v>455</v>
      </c>
      <c r="B31" s="17" t="n">
        <v>2750</v>
      </c>
      <c r="C31" s="18">
        <f>(2410.0/B31*100)</f>
        <v/>
      </c>
      <c r="D31" s="19" t="n">
        <v>340</v>
      </c>
      <c r="E31" s="18" t="n">
        <v>22.36357013</v>
      </c>
      <c r="F31" s="20" t="n">
        <v>2.43928037</v>
      </c>
      <c r="G31" s="18" t="n">
        <v>75.98642526</v>
      </c>
      <c r="H31" s="20" t="n">
        <v>2.52933402</v>
      </c>
      <c r="I31" s="18" t="s">
        <v>431</v>
      </c>
      <c r="J31" s="20" t="s">
        <v>431</v>
      </c>
      <c r="K31" s="18" t="n">
        <v>0.7940902</v>
      </c>
      <c r="L31" s="20" t="n">
        <v>0.45728017</v>
      </c>
      <c r="M31" s="18" t="n">
        <v>0</v>
      </c>
      <c r="N31" s="20" t="n">
        <v>0</v>
      </c>
      <c r="O31" s="18" t="n">
        <v>0</v>
      </c>
      <c r="P31" s="20" t="n">
        <v>0</v>
      </c>
      <c r="Q31" s="18" t="n">
        <v>0.85591441</v>
      </c>
      <c r="R31" s="20" t="n">
        <v>0.54215528</v>
      </c>
    </row>
    <row r="32" spans="1:18">
      <c r="A32" s="15" t="s">
        <v>456</v>
      </c>
      <c r="B32" s="17" t="n">
        <v>2269</v>
      </c>
      <c r="C32" s="18">
        <f>(1893.0/B32*100)</f>
        <v/>
      </c>
      <c r="D32" s="19" t="n">
        <v>376</v>
      </c>
      <c r="E32" s="18" t="n">
        <v>16.78050241</v>
      </c>
      <c r="F32" s="20" t="n">
        <v>1.9660797</v>
      </c>
      <c r="G32" s="18" t="n">
        <v>81.20180338</v>
      </c>
      <c r="H32" s="20" t="n">
        <v>2.09667008</v>
      </c>
      <c r="I32" s="18" t="s">
        <v>431</v>
      </c>
      <c r="J32" s="20" t="s">
        <v>431</v>
      </c>
      <c r="K32" s="18" t="n">
        <v>0.97484708</v>
      </c>
      <c r="L32" s="20" t="n">
        <v>0.46577309</v>
      </c>
      <c r="M32" s="18" t="n">
        <v>0</v>
      </c>
      <c r="N32" s="20" t="n">
        <v>0</v>
      </c>
      <c r="O32" s="18" t="n">
        <v>0</v>
      </c>
      <c r="P32" s="20" t="n">
        <v>0</v>
      </c>
      <c r="Q32" s="18" t="n">
        <v>1.04284713</v>
      </c>
      <c r="R32" s="20" t="n">
        <v>0.5533417</v>
      </c>
    </row>
    <row r="33" spans="1:18">
      <c r="A33" s="15" t="s">
        <v>457</v>
      </c>
      <c r="B33" s="17" t="n">
        <v>3674</v>
      </c>
      <c r="C33" s="18">
        <f>(3250.0/B33*100)</f>
        <v/>
      </c>
      <c r="D33" s="19" t="n">
        <v>424</v>
      </c>
      <c r="E33" s="18" t="n">
        <v>12.46939263</v>
      </c>
      <c r="F33" s="20" t="n">
        <v>1.5561918</v>
      </c>
      <c r="G33" s="18" t="n">
        <v>86.82514055999999</v>
      </c>
      <c r="H33" s="20" t="n">
        <v>1.71352858</v>
      </c>
      <c r="I33" s="18" t="s">
        <v>431</v>
      </c>
      <c r="J33" s="20" t="s">
        <v>431</v>
      </c>
      <c r="K33" s="18" t="n">
        <v>0.31075493</v>
      </c>
      <c r="L33" s="20" t="n">
        <v>0.31544789</v>
      </c>
      <c r="M33" s="18" t="n">
        <v>0</v>
      </c>
      <c r="N33" s="20" t="n">
        <v>0</v>
      </c>
      <c r="O33" s="18" t="n">
        <v>0</v>
      </c>
      <c r="P33" s="20" t="n">
        <v>0</v>
      </c>
      <c r="Q33" s="18" t="n">
        <v>0.39471187</v>
      </c>
      <c r="R33" s="20" t="n">
        <v>0.33454806</v>
      </c>
    </row>
    <row r="34" spans="1:18">
      <c r="A34" s="15" t="s">
        <v>458</v>
      </c>
      <c r="B34" s="17" t="n">
        <v>3315</v>
      </c>
      <c r="C34" s="18">
        <f>(2915.0/B34*100)</f>
        <v/>
      </c>
      <c r="D34" s="19" t="n">
        <v>400</v>
      </c>
      <c r="E34" s="18" t="n">
        <v>30.1852953</v>
      </c>
      <c r="F34" s="20" t="n">
        <v>1.97088629</v>
      </c>
      <c r="G34" s="18" t="n">
        <v>68.19164434</v>
      </c>
      <c r="H34" s="20" t="n">
        <v>2.01069394</v>
      </c>
      <c r="I34" s="18" t="s">
        <v>431</v>
      </c>
      <c r="J34" s="20" t="s">
        <v>431</v>
      </c>
      <c r="K34" s="18" t="n">
        <v>0.6416576899999999</v>
      </c>
      <c r="L34" s="20" t="n">
        <v>0.37210667</v>
      </c>
      <c r="M34" s="18" t="n">
        <v>0</v>
      </c>
      <c r="N34" s="20" t="n">
        <v>0</v>
      </c>
      <c r="O34" s="18" t="n">
        <v>0</v>
      </c>
      <c r="P34" s="20" t="n">
        <v>0</v>
      </c>
      <c r="Q34" s="18" t="n">
        <v>0.98140267</v>
      </c>
      <c r="R34" s="20" t="n">
        <v>0.55661992</v>
      </c>
    </row>
    <row r="35" spans="1:18">
      <c r="A35" s="15" t="s">
        <v>459</v>
      </c>
      <c r="B35" s="17" t="n">
        <v>3505</v>
      </c>
      <c r="C35" s="18">
        <f>(3084.0/B35*100)</f>
        <v/>
      </c>
      <c r="D35" s="19" t="n">
        <v>421</v>
      </c>
      <c r="E35" s="18" t="n">
        <v>18.90500786</v>
      </c>
      <c r="F35" s="20" t="n">
        <v>2.01803322</v>
      </c>
      <c r="G35" s="18" t="n">
        <v>80.32316388</v>
      </c>
      <c r="H35" s="20" t="n">
        <v>2.01200043</v>
      </c>
      <c r="I35" s="18" t="s">
        <v>431</v>
      </c>
      <c r="J35" s="20" t="s">
        <v>431</v>
      </c>
      <c r="K35" s="18" t="n">
        <v>0.29560243</v>
      </c>
      <c r="L35" s="20" t="n">
        <v>0.20652839</v>
      </c>
      <c r="M35" s="18" t="n">
        <v>0</v>
      </c>
      <c r="N35" s="20" t="n">
        <v>0</v>
      </c>
      <c r="O35" s="18" t="n">
        <v>0</v>
      </c>
      <c r="P35" s="20" t="n">
        <v>0</v>
      </c>
      <c r="Q35" s="18" t="n">
        <v>0.47622583</v>
      </c>
      <c r="R35" s="20" t="n">
        <v>0.23253128</v>
      </c>
    </row>
    <row r="36" spans="1:18">
      <c r="A36" s="15" t="s">
        <v>460</v>
      </c>
      <c r="B36" s="17" t="n">
        <v>3332</v>
      </c>
      <c r="C36" s="18">
        <f>(2924.0/B36*100)</f>
        <v/>
      </c>
      <c r="D36" s="19" t="n">
        <v>408</v>
      </c>
      <c r="E36" s="18" t="n">
        <v>20.31724404</v>
      </c>
      <c r="F36" s="20" t="n">
        <v>2.09985856</v>
      </c>
      <c r="G36" s="18" t="n">
        <v>78.23475589</v>
      </c>
      <c r="H36" s="20" t="n">
        <v>2.10540259</v>
      </c>
      <c r="I36" s="18" t="s">
        <v>431</v>
      </c>
      <c r="J36" s="20" t="s">
        <v>431</v>
      </c>
      <c r="K36" s="18" t="n">
        <v>0.6182216699999999</v>
      </c>
      <c r="L36" s="20" t="n">
        <v>0.36973287</v>
      </c>
      <c r="M36" s="18" t="n">
        <v>0</v>
      </c>
      <c r="N36" s="20" t="n">
        <v>0</v>
      </c>
      <c r="O36" s="18" t="n">
        <v>0</v>
      </c>
      <c r="P36" s="20" t="n">
        <v>0</v>
      </c>
      <c r="Q36" s="18" t="n">
        <v>0.8297784</v>
      </c>
      <c r="R36" s="20" t="n">
        <v>0.52237176</v>
      </c>
    </row>
    <row r="37" spans="1:18">
      <c r="A37" s="15" t="s">
        <v>461</v>
      </c>
      <c r="B37" s="17" t="n">
        <v>2727</v>
      </c>
      <c r="C37" s="18">
        <f>(2403.0/B37*100)</f>
        <v/>
      </c>
      <c r="D37" s="19" t="n">
        <v>324</v>
      </c>
      <c r="E37" s="18" t="n">
        <v>21.81753601</v>
      </c>
      <c r="F37" s="20" t="n">
        <v>2.60328429</v>
      </c>
      <c r="G37" s="18" t="n">
        <v>74.82378138999999</v>
      </c>
      <c r="H37" s="20" t="n">
        <v>2.84057041</v>
      </c>
      <c r="I37" s="18" t="s">
        <v>431</v>
      </c>
      <c r="J37" s="20" t="s">
        <v>431</v>
      </c>
      <c r="K37" s="18" t="n">
        <v>2.71897916</v>
      </c>
      <c r="L37" s="20" t="n">
        <v>1.02069598</v>
      </c>
      <c r="M37" s="18" t="n">
        <v>0</v>
      </c>
      <c r="N37" s="20" t="n">
        <v>0</v>
      </c>
      <c r="O37" s="18" t="n">
        <v>0</v>
      </c>
      <c r="P37" s="20" t="n">
        <v>0</v>
      </c>
      <c r="Q37" s="18" t="n">
        <v>0.63970344</v>
      </c>
      <c r="R37" s="20" t="n">
        <v>0.45331576</v>
      </c>
    </row>
    <row r="38" spans="1:18">
      <c r="A38" s="15" t="s">
        <v>462</v>
      </c>
      <c r="B38" s="17" t="n">
        <v>3053</v>
      </c>
      <c r="C38" s="18">
        <f>(2521.0/B38*100)</f>
        <v/>
      </c>
      <c r="D38" s="19" t="n">
        <v>532</v>
      </c>
      <c r="E38" s="18" t="n">
        <v>21.70916704</v>
      </c>
      <c r="F38" s="20" t="n">
        <v>2.10978121</v>
      </c>
      <c r="G38" s="18" t="n">
        <v>75.25396181000001</v>
      </c>
      <c r="H38" s="20" t="n">
        <v>2.08755406</v>
      </c>
      <c r="I38" s="18" t="s">
        <v>431</v>
      </c>
      <c r="J38" s="20" t="s">
        <v>431</v>
      </c>
      <c r="K38" s="18" t="n">
        <v>2.4500185</v>
      </c>
      <c r="L38" s="20" t="n">
        <v>0.9204634900000001</v>
      </c>
      <c r="M38" s="18" t="n">
        <v>0</v>
      </c>
      <c r="N38" s="20" t="n">
        <v>0</v>
      </c>
      <c r="O38" s="18" t="n">
        <v>0</v>
      </c>
      <c r="P38" s="20" t="n">
        <v>0</v>
      </c>
      <c r="Q38" s="18" t="n">
        <v>0.58685265</v>
      </c>
      <c r="R38" s="20" t="n">
        <v>0.32402781</v>
      </c>
    </row>
    <row r="39" spans="1:18">
      <c r="A39" s="15" t="s">
        <v>463</v>
      </c>
      <c r="B39" s="17" t="n">
        <v>2957</v>
      </c>
      <c r="C39" s="18">
        <f>(2585.0/B39*100)</f>
        <v/>
      </c>
      <c r="D39" s="19" t="n">
        <v>372</v>
      </c>
      <c r="E39" s="18" t="n">
        <v>38.17826308</v>
      </c>
      <c r="F39" s="20" t="n">
        <v>3.18283527</v>
      </c>
      <c r="G39" s="18" t="n">
        <v>60.74384462</v>
      </c>
      <c r="H39" s="20" t="n">
        <v>3.45184608</v>
      </c>
      <c r="I39" s="18" t="s">
        <v>431</v>
      </c>
      <c r="J39" s="20" t="s">
        <v>431</v>
      </c>
      <c r="K39" s="18" t="n">
        <v>0.36673793</v>
      </c>
      <c r="L39" s="20" t="n">
        <v>0.35067832</v>
      </c>
      <c r="M39" s="18" t="n">
        <v>0</v>
      </c>
      <c r="N39" s="20" t="n">
        <v>0</v>
      </c>
      <c r="O39" s="18" t="n">
        <v>0</v>
      </c>
      <c r="P39" s="20" t="n">
        <v>0</v>
      </c>
      <c r="Q39" s="18" t="n">
        <v>0.71115437</v>
      </c>
      <c r="R39" s="20" t="n">
        <v>0.6957165199999999</v>
      </c>
    </row>
    <row r="40" spans="1:18">
      <c r="A40" s="15" t="s">
        <v>464</v>
      </c>
      <c r="B40" s="17" t="n">
        <v>7235</v>
      </c>
      <c r="C40" s="18">
        <f>(6338.0/B40*100)</f>
        <v/>
      </c>
      <c r="D40" s="19" t="n">
        <v>897</v>
      </c>
      <c r="E40" s="18" t="n">
        <v>18.9013709</v>
      </c>
      <c r="F40" s="20" t="n">
        <v>2.10904399</v>
      </c>
      <c r="G40" s="18" t="n">
        <v>78.99911181</v>
      </c>
      <c r="H40" s="20" t="n">
        <v>2.20759786</v>
      </c>
      <c r="I40" s="18" t="s">
        <v>431</v>
      </c>
      <c r="J40" s="20" t="s">
        <v>431</v>
      </c>
      <c r="K40" s="18" t="n">
        <v>0.89568724</v>
      </c>
      <c r="L40" s="20" t="n">
        <v>0.54188315</v>
      </c>
      <c r="M40" s="18" t="n">
        <v>0</v>
      </c>
      <c r="N40" s="20" t="n">
        <v>0</v>
      </c>
      <c r="O40" s="18" t="n">
        <v>0</v>
      </c>
      <c r="P40" s="20" t="n">
        <v>0</v>
      </c>
      <c r="Q40" s="18" t="n">
        <v>1.20383005</v>
      </c>
      <c r="R40" s="20" t="n">
        <v>0.57151271</v>
      </c>
    </row>
    <row r="41" spans="1:18">
      <c r="A41" s="15" t="s">
        <v>465</v>
      </c>
      <c r="B41" s="17" t="n">
        <v>2858</v>
      </c>
      <c r="C41" s="18">
        <f>(2507.0/B41*100)</f>
        <v/>
      </c>
      <c r="D41" s="19" t="n">
        <v>351</v>
      </c>
      <c r="E41" s="18" t="n">
        <v>22.90878688</v>
      </c>
      <c r="F41" s="20" t="n">
        <v>2.20547779</v>
      </c>
      <c r="G41" s="18" t="n">
        <v>76.59917185</v>
      </c>
      <c r="H41" s="20" t="n">
        <v>2.23590226</v>
      </c>
      <c r="I41" s="18" t="s">
        <v>431</v>
      </c>
      <c r="J41" s="20" t="s">
        <v>431</v>
      </c>
      <c r="K41" s="18" t="n">
        <v>0.23143744</v>
      </c>
      <c r="L41" s="20" t="n">
        <v>0.23599271</v>
      </c>
      <c r="M41" s="18" t="n">
        <v>0</v>
      </c>
      <c r="N41" s="20" t="n">
        <v>0</v>
      </c>
      <c r="O41" s="18" t="n">
        <v>0</v>
      </c>
      <c r="P41" s="20" t="n">
        <v>0</v>
      </c>
      <c r="Q41" s="18" t="n">
        <v>0.26060384</v>
      </c>
      <c r="R41" s="20" t="n">
        <v>0.26765019</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(4518.0/B48*100)</f>
        <v/>
      </c>
      <c r="D48" s="19" t="n">
        <v>641</v>
      </c>
      <c r="E48" s="18" t="n">
        <v>38.12213812</v>
      </c>
      <c r="F48" s="20" t="n">
        <v>2.63184815</v>
      </c>
      <c r="G48" s="18" t="n">
        <v>61.2631717</v>
      </c>
      <c r="H48" s="20" t="n">
        <v>2.62905362</v>
      </c>
      <c r="I48" s="18" t="s">
        <v>431</v>
      </c>
      <c r="J48" s="20" t="s">
        <v>431</v>
      </c>
      <c r="K48" s="18" t="n">
        <v>0.55646536</v>
      </c>
      <c r="L48" s="20" t="n">
        <v>0.34559497</v>
      </c>
      <c r="M48" s="18" t="n">
        <v>0</v>
      </c>
      <c r="N48" s="20" t="n">
        <v>0</v>
      </c>
      <c r="O48" s="18" t="n">
        <v>0</v>
      </c>
      <c r="P48" s="20" t="n">
        <v>0</v>
      </c>
      <c r="Q48" s="18" t="n">
        <v>0.05822481</v>
      </c>
      <c r="R48" s="20" t="n">
        <v>0.0572825</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(2462.0/B52*100)</f>
        <v/>
      </c>
      <c r="D52" s="19" t="n">
        <v>334</v>
      </c>
      <c r="E52" s="18" t="n">
        <v>30.06723648</v>
      </c>
      <c r="F52" s="20" t="n">
        <v>2.44836492</v>
      </c>
      <c r="G52" s="18" t="n">
        <v>69.07202922</v>
      </c>
      <c r="H52" s="20" t="n">
        <v>2.52012211</v>
      </c>
      <c r="I52" s="18" t="s">
        <v>431</v>
      </c>
      <c r="J52" s="20" t="s">
        <v>431</v>
      </c>
      <c r="K52" s="18" t="n">
        <v>0.27372714</v>
      </c>
      <c r="L52" s="20" t="n">
        <v>0.2746103</v>
      </c>
      <c r="M52" s="18" t="n">
        <v>0</v>
      </c>
      <c r="N52" s="20" t="n">
        <v>0</v>
      </c>
      <c r="O52" s="18" t="n">
        <v>0</v>
      </c>
      <c r="P52" s="20" t="n">
        <v>0</v>
      </c>
      <c r="Q52" s="18" t="n">
        <v>0.58700715</v>
      </c>
      <c r="R52" s="20" t="n">
        <v>0.42501415</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31.33722312</v>
      </c>
      <c r="F56" s="20" t="n">
        <v>2.5573241</v>
      </c>
      <c r="G56" s="18" t="n">
        <v>67.93194259000001</v>
      </c>
      <c r="H56" s="20" t="n">
        <v>2.64538187</v>
      </c>
      <c r="I56" s="18" t="s">
        <v>431</v>
      </c>
      <c r="J56" s="20" t="s">
        <v>431</v>
      </c>
      <c r="K56" s="18" t="n">
        <v>0.1886532</v>
      </c>
      <c r="L56" s="20" t="n">
        <v>0.18834262</v>
      </c>
      <c r="M56" s="18" t="n">
        <v>0</v>
      </c>
      <c r="N56" s="20" t="n">
        <v>0</v>
      </c>
      <c r="O56" s="18" t="n">
        <v>0</v>
      </c>
      <c r="P56" s="20" t="n">
        <v>0</v>
      </c>
      <c r="Q56" s="18" t="n">
        <v>0.54218109</v>
      </c>
      <c r="R56" s="20" t="n">
        <v>0.29949351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(2896.0/B61*100)</f>
        <v/>
      </c>
      <c r="D61" s="19" t="n">
        <v>428</v>
      </c>
      <c r="E61" s="18" t="n">
        <v>37.5303654</v>
      </c>
      <c r="F61" s="20" t="n">
        <v>2.21903776</v>
      </c>
      <c r="G61" s="18" t="n">
        <v>61.01420568</v>
      </c>
      <c r="H61" s="20" t="n">
        <v>2.36720492</v>
      </c>
      <c r="I61" s="18" t="s">
        <v>431</v>
      </c>
      <c r="J61" s="20" t="s">
        <v>431</v>
      </c>
      <c r="K61" s="18" t="n">
        <v>0.38277911</v>
      </c>
      <c r="L61" s="20" t="n">
        <v>0.32578905</v>
      </c>
      <c r="M61" s="18" t="n">
        <v>0</v>
      </c>
      <c r="N61" s="20" t="n">
        <v>0</v>
      </c>
      <c r="O61" s="18" t="n">
        <v>0</v>
      </c>
      <c r="P61" s="20" t="n">
        <v>0</v>
      </c>
      <c r="Q61" s="18" t="n">
        <v>1.07264982</v>
      </c>
      <c r="R61" s="20" t="n">
        <v>0.64911392</v>
      </c>
    </row>
    <row r="62" spans="1:18">
      <c r="A62" s="15" t="s">
        <v>486</v>
      </c>
      <c r="B62" s="17" t="n">
        <v>2246</v>
      </c>
      <c r="C62" s="18">
        <f>(1970.0/B62*100)</f>
        <v/>
      </c>
      <c r="D62" s="19" t="n">
        <v>276</v>
      </c>
      <c r="E62" s="18" t="n">
        <v>34.11519372</v>
      </c>
      <c r="F62" s="20" t="n">
        <v>2.73925803</v>
      </c>
      <c r="G62" s="18" t="n">
        <v>64.78710646</v>
      </c>
      <c r="H62" s="20" t="n">
        <v>2.83724683</v>
      </c>
      <c r="I62" s="18" t="s">
        <v>431</v>
      </c>
      <c r="J62" s="20" t="s">
        <v>431</v>
      </c>
      <c r="K62" s="18" t="n">
        <v>0.73218616</v>
      </c>
      <c r="L62" s="20" t="n">
        <v>0.5171894500000001</v>
      </c>
      <c r="M62" s="18" t="n">
        <v>0</v>
      </c>
      <c r="N62" s="20" t="n">
        <v>0</v>
      </c>
      <c r="O62" s="18" t="n">
        <v>0</v>
      </c>
      <c r="P62" s="20" t="n">
        <v>0</v>
      </c>
      <c r="Q62" s="18" t="n">
        <v>0.36551366</v>
      </c>
      <c r="R62" s="20" t="n">
        <v>0.36839162</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(2563.0/B66*100)</f>
        <v/>
      </c>
      <c r="D66" s="19" t="n">
        <v>331</v>
      </c>
      <c r="E66" s="18" t="n">
        <v>31.38752819</v>
      </c>
      <c r="F66" s="20" t="n">
        <v>2.79987201</v>
      </c>
      <c r="G66" s="18" t="n">
        <v>63.48899718</v>
      </c>
      <c r="H66" s="20" t="n">
        <v>2.62838073</v>
      </c>
      <c r="I66" s="18" t="s">
        <v>431</v>
      </c>
      <c r="J66" s="20" t="s">
        <v>431</v>
      </c>
      <c r="K66" s="18" t="n">
        <v>3.11364888</v>
      </c>
      <c r="L66" s="20" t="n">
        <v>0.94703631</v>
      </c>
      <c r="M66" s="18" t="n">
        <v>0</v>
      </c>
      <c r="N66" s="20" t="n">
        <v>0</v>
      </c>
      <c r="O66" s="18" t="n">
        <v>0</v>
      </c>
      <c r="P66" s="20" t="n">
        <v>0</v>
      </c>
      <c r="Q66" s="18" t="n">
        <v>2.00982574</v>
      </c>
      <c r="R66" s="20" t="n">
        <v>0.86945291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(2591.0/B70*100)</f>
        <v/>
      </c>
      <c r="D70" s="19" t="n">
        <v>338</v>
      </c>
      <c r="E70" s="18" t="n">
        <v>18.44763955</v>
      </c>
      <c r="F70" s="20" t="n">
        <v>2.54034908</v>
      </c>
      <c r="G70" s="18" t="n">
        <v>80.14527787999999</v>
      </c>
      <c r="H70" s="20" t="n">
        <v>2.71998918</v>
      </c>
      <c r="I70" s="18" t="s">
        <v>431</v>
      </c>
      <c r="J70" s="20" t="s">
        <v>431</v>
      </c>
      <c r="K70" s="18" t="n">
        <v>1.20741837</v>
      </c>
      <c r="L70" s="20" t="n">
        <v>0.6708243</v>
      </c>
      <c r="M70" s="18" t="n">
        <v>0</v>
      </c>
      <c r="N70" s="20" t="n">
        <v>0</v>
      </c>
      <c r="O70" s="18" t="n">
        <v>0</v>
      </c>
      <c r="P70" s="20" t="n">
        <v>0</v>
      </c>
      <c r="Q70" s="18" t="n">
        <v>0.1996642</v>
      </c>
      <c r="R70" s="20" t="n">
        <v>0.18288211</v>
      </c>
    </row>
    <row r="71" spans="1:18">
      <c r="A71" s="15" t="s">
        <v>495</v>
      </c>
      <c r="B71" s="17" t="n">
        <v>3142</v>
      </c>
      <c r="C71" s="18">
        <f>(2763.0/B71*100)</f>
        <v/>
      </c>
      <c r="D71" s="19" t="n">
        <v>379</v>
      </c>
      <c r="E71" s="18" t="n">
        <v>21.33282372</v>
      </c>
      <c r="F71" s="20" t="n">
        <v>2.20436913</v>
      </c>
      <c r="G71" s="18" t="n">
        <v>76.66813981999999</v>
      </c>
      <c r="H71" s="20" t="n">
        <v>2.28914063</v>
      </c>
      <c r="I71" s="18" t="s">
        <v>431</v>
      </c>
      <c r="J71" s="20" t="s">
        <v>431</v>
      </c>
      <c r="K71" s="18" t="n">
        <v>1.79031474</v>
      </c>
      <c r="L71" s="20" t="n">
        <v>0.66214524</v>
      </c>
      <c r="M71" s="18" t="n">
        <v>0</v>
      </c>
      <c r="N71" s="20" t="n">
        <v>0</v>
      </c>
      <c r="O71" s="18" t="n">
        <v>0</v>
      </c>
      <c r="P71" s="20" t="n">
        <v>0</v>
      </c>
      <c r="Q71" s="18" t="n">
        <v>0.20872172</v>
      </c>
      <c r="R71" s="20" t="n">
        <v>0.20907694</v>
      </c>
    </row>
    <row r="72" spans="1:18">
      <c r="A72" s="15" t="s">
        <v>496</v>
      </c>
      <c r="B72" s="17" t="n">
        <v>3889</v>
      </c>
      <c r="C72" s="18">
        <f>(3415.0/B72*100)</f>
        <v/>
      </c>
      <c r="D72" s="19" t="n">
        <v>474</v>
      </c>
      <c r="E72" s="18" t="n">
        <v>30.67005564</v>
      </c>
      <c r="F72" s="20" t="n">
        <v>2.30729213</v>
      </c>
      <c r="G72" s="18" t="n">
        <v>68.66286398</v>
      </c>
      <c r="H72" s="20" t="n">
        <v>2.30023693</v>
      </c>
      <c r="I72" s="18" t="s">
        <v>431</v>
      </c>
      <c r="J72" s="20" t="s">
        <v>431</v>
      </c>
      <c r="K72" s="18" t="n">
        <v>0.31186148</v>
      </c>
      <c r="L72" s="20" t="n">
        <v>0.2223452</v>
      </c>
      <c r="M72" s="18" t="n">
        <v>0</v>
      </c>
      <c r="N72" s="20" t="n">
        <v>0</v>
      </c>
      <c r="O72" s="18" t="n">
        <v>0</v>
      </c>
      <c r="P72" s="20" t="n">
        <v>0</v>
      </c>
      <c r="Q72" s="18" t="n">
        <v>0.3552189</v>
      </c>
      <c r="R72" s="20" t="n">
        <v>0.25650922</v>
      </c>
    </row>
    <row r="73" spans="1:18">
      <c r="A73" s="15" t="s">
        <v>497</v>
      </c>
      <c r="B73" s="17" t="n">
        <v>3597</v>
      </c>
      <c r="C73" s="18">
        <f>(3163.0/B73*100)</f>
        <v/>
      </c>
      <c r="D73" s="19" t="n">
        <v>434</v>
      </c>
      <c r="E73" s="18" t="n">
        <v>57.48454755</v>
      </c>
      <c r="F73" s="20" t="n">
        <v>3.13882399</v>
      </c>
      <c r="G73" s="18" t="n">
        <v>41.6914473</v>
      </c>
      <c r="H73" s="20" t="n">
        <v>3.15171907</v>
      </c>
      <c r="I73" s="18" t="s">
        <v>431</v>
      </c>
      <c r="J73" s="20" t="s">
        <v>431</v>
      </c>
      <c r="K73" s="18" t="n">
        <v>0.44997947</v>
      </c>
      <c r="L73" s="20" t="n">
        <v>0.37372491</v>
      </c>
      <c r="M73" s="18" t="n">
        <v>0</v>
      </c>
      <c r="N73" s="20" t="n">
        <v>0</v>
      </c>
      <c r="O73" s="18" t="n">
        <v>0</v>
      </c>
      <c r="P73" s="20" t="n">
        <v>0</v>
      </c>
      <c r="Q73" s="18" t="n">
        <v>0.37402567</v>
      </c>
      <c r="R73" s="20" t="n">
        <v>0.33871691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(6454.0/B7*100)</f>
        <v/>
      </c>
      <c r="D7" s="19" t="n">
        <v>913</v>
      </c>
      <c r="E7" s="18" t="n">
        <v>54.96306343</v>
      </c>
      <c r="F7" s="20" t="n">
        <v>1.79087136</v>
      </c>
      <c r="G7" s="18" t="n">
        <v>43.46922075</v>
      </c>
      <c r="H7" s="20" t="n">
        <v>1.73489927</v>
      </c>
      <c r="I7" s="18" t="s">
        <v>431</v>
      </c>
      <c r="J7" s="20" t="s">
        <v>431</v>
      </c>
      <c r="K7" s="18" t="n">
        <v>1.56771582</v>
      </c>
      <c r="L7" s="20" t="n">
        <v>0.49379597</v>
      </c>
      <c r="M7" s="18" t="n">
        <v>0</v>
      </c>
      <c r="N7" s="20" t="n">
        <v>0</v>
      </c>
      <c r="O7" s="18" t="n">
        <v>0</v>
      </c>
      <c r="P7" s="20" t="n">
        <v>0</v>
      </c>
      <c r="Q7" s="18" t="n">
        <v>0</v>
      </c>
      <c r="R7" s="20" t="n">
        <v>0</v>
      </c>
    </row>
    <row r="8" spans="1:18">
      <c r="A8" s="15" t="s">
        <v>432</v>
      </c>
      <c r="B8" s="17" t="n">
        <v>3564</v>
      </c>
      <c r="C8" s="18">
        <f>(3147.0/B8*100)</f>
        <v/>
      </c>
      <c r="D8" s="19" t="n">
        <v>417</v>
      </c>
      <c r="E8" s="18" t="n">
        <v>56.46244908</v>
      </c>
      <c r="F8" s="20" t="n">
        <v>2.1841968</v>
      </c>
      <c r="G8" s="18" t="n">
        <v>42.62327969</v>
      </c>
      <c r="H8" s="20" t="n">
        <v>2.25001007</v>
      </c>
      <c r="I8" s="18" t="s">
        <v>431</v>
      </c>
      <c r="J8" s="20" t="s">
        <v>431</v>
      </c>
      <c r="K8" s="18" t="n">
        <v>0.91427123</v>
      </c>
      <c r="L8" s="20" t="n">
        <v>0.6285725</v>
      </c>
      <c r="M8" s="18" t="n">
        <v>0</v>
      </c>
      <c r="N8" s="20" t="n">
        <v>0</v>
      </c>
      <c r="O8" s="18" t="n">
        <v>0</v>
      </c>
      <c r="P8" s="20" t="n">
        <v>0</v>
      </c>
      <c r="Q8" s="18" t="n">
        <v>0</v>
      </c>
      <c r="R8" s="20" t="n">
        <v>0</v>
      </c>
    </row>
    <row r="9" spans="1:18">
      <c r="A9" s="15" t="s">
        <v>433</v>
      </c>
      <c r="B9" s="17" t="n">
        <v>4899</v>
      </c>
      <c r="C9" s="18">
        <f>(4314.0/B9*100)</f>
        <v/>
      </c>
      <c r="D9" s="19" t="n">
        <v>585</v>
      </c>
      <c r="E9" s="18" t="n">
        <v>55.79276416</v>
      </c>
      <c r="F9" s="20" t="n">
        <v>2.5802819</v>
      </c>
      <c r="G9" s="18" t="n">
        <v>41.92765699</v>
      </c>
      <c r="H9" s="20" t="n">
        <v>2.62187833</v>
      </c>
      <c r="I9" s="18" t="s">
        <v>431</v>
      </c>
      <c r="J9" s="20" t="s">
        <v>431</v>
      </c>
      <c r="K9" s="18" t="n">
        <v>2.27957886</v>
      </c>
      <c r="L9" s="20" t="n">
        <v>0.67267951</v>
      </c>
      <c r="M9" s="18" t="n">
        <v>0</v>
      </c>
      <c r="N9" s="20" t="n">
        <v>0</v>
      </c>
      <c r="O9" s="18" t="n">
        <v>0</v>
      </c>
      <c r="P9" s="20" t="n">
        <v>0</v>
      </c>
      <c r="Q9" s="18" t="n">
        <v>0</v>
      </c>
      <c r="R9" s="20" t="n">
        <v>0</v>
      </c>
    </row>
    <row r="10" spans="1:18">
      <c r="A10" s="15" t="s">
        <v>434</v>
      </c>
      <c r="B10" s="17" t="n">
        <v>10036</v>
      </c>
      <c r="C10" s="18">
        <f>(8838.0/B10*100)</f>
        <v/>
      </c>
      <c r="D10" s="19" t="n">
        <v>1198</v>
      </c>
      <c r="E10" s="18" t="n">
        <v>51.1286634</v>
      </c>
      <c r="F10" s="20" t="n">
        <v>2.29184909</v>
      </c>
      <c r="G10" s="18" t="n">
        <v>46.86108214</v>
      </c>
      <c r="H10" s="20" t="n">
        <v>2.26624361</v>
      </c>
      <c r="I10" s="18" t="s">
        <v>431</v>
      </c>
      <c r="J10" s="20" t="s">
        <v>431</v>
      </c>
      <c r="K10" s="18" t="n">
        <v>2.01025446</v>
      </c>
      <c r="L10" s="20" t="n">
        <v>0.55936346</v>
      </c>
      <c r="M10" s="18" t="n">
        <v>0</v>
      </c>
      <c r="N10" s="20" t="n">
        <v>0</v>
      </c>
      <c r="O10" s="18" t="n">
        <v>0</v>
      </c>
      <c r="P10" s="20" t="n">
        <v>0</v>
      </c>
      <c r="Q10" s="18" t="n">
        <v>0</v>
      </c>
      <c r="R10" s="20" t="n">
        <v>0</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(3048.0/B12*100)</f>
        <v/>
      </c>
      <c r="D12" s="19" t="n">
        <v>424</v>
      </c>
      <c r="E12" s="18" t="n">
        <v>69.61464678</v>
      </c>
      <c r="F12" s="20" t="n">
        <v>2.64391084</v>
      </c>
      <c r="G12" s="18" t="n">
        <v>29.92293154</v>
      </c>
      <c r="H12" s="20" t="n">
        <v>2.64853012</v>
      </c>
      <c r="I12" s="18" t="s">
        <v>431</v>
      </c>
      <c r="J12" s="20" t="s">
        <v>431</v>
      </c>
      <c r="K12" s="18" t="n">
        <v>0.46242168</v>
      </c>
      <c r="L12" s="20" t="n">
        <v>0.33104441</v>
      </c>
      <c r="M12" s="18" t="n">
        <v>0</v>
      </c>
      <c r="N12" s="20" t="n">
        <v>0</v>
      </c>
      <c r="O12" s="18" t="n">
        <v>0</v>
      </c>
      <c r="P12" s="20" t="n">
        <v>0</v>
      </c>
      <c r="Q12" s="18" t="n">
        <v>0</v>
      </c>
      <c r="R12" s="20" t="n">
        <v>0</v>
      </c>
    </row>
    <row r="13" spans="1:18">
      <c r="A13" s="15" t="s">
        <v>437</v>
      </c>
      <c r="B13" s="17" t="n">
        <v>3559</v>
      </c>
      <c r="C13" s="18">
        <f>(3145.0/B13*100)</f>
        <v/>
      </c>
      <c r="D13" s="19" t="n">
        <v>414</v>
      </c>
      <c r="E13" s="18" t="n">
        <v>49.9710079</v>
      </c>
      <c r="F13" s="20" t="n">
        <v>2.61394194</v>
      </c>
      <c r="G13" s="18" t="n">
        <v>48.89290263</v>
      </c>
      <c r="H13" s="20" t="n">
        <v>2.70375241</v>
      </c>
      <c r="I13" s="18" t="s">
        <v>431</v>
      </c>
      <c r="J13" s="20" t="s">
        <v>431</v>
      </c>
      <c r="K13" s="18" t="n">
        <v>1.13608948</v>
      </c>
      <c r="L13" s="20" t="n">
        <v>0.51772503</v>
      </c>
      <c r="M13" s="18" t="n">
        <v>0</v>
      </c>
      <c r="N13" s="20" t="n">
        <v>0</v>
      </c>
      <c r="O13" s="18" t="n">
        <v>0</v>
      </c>
      <c r="P13" s="20" t="n">
        <v>0</v>
      </c>
      <c r="Q13" s="18" t="n">
        <v>0</v>
      </c>
      <c r="R13" s="20" t="n">
        <v>0</v>
      </c>
    </row>
    <row r="14" spans="1:18">
      <c r="A14" s="15" t="s">
        <v>438</v>
      </c>
      <c r="B14" s="17" t="n">
        <v>2799</v>
      </c>
      <c r="C14" s="18">
        <f>(2457.0/B14*100)</f>
        <v/>
      </c>
      <c r="D14" s="19" t="n">
        <v>342</v>
      </c>
      <c r="E14" s="18" t="n">
        <v>49.69020259</v>
      </c>
      <c r="F14" s="20" t="n">
        <v>2.87391481</v>
      </c>
      <c r="G14" s="18" t="n">
        <v>49.4659799</v>
      </c>
      <c r="H14" s="20" t="n">
        <v>2.86903362</v>
      </c>
      <c r="I14" s="18" t="s">
        <v>431</v>
      </c>
      <c r="J14" s="20" t="s">
        <v>431</v>
      </c>
      <c r="K14" s="18" t="n">
        <v>0.84381751</v>
      </c>
      <c r="L14" s="20" t="n">
        <v>0.48444971</v>
      </c>
      <c r="M14" s="18" t="n">
        <v>0</v>
      </c>
      <c r="N14" s="20" t="n">
        <v>0</v>
      </c>
      <c r="O14" s="18" t="n">
        <v>0</v>
      </c>
      <c r="P14" s="20" t="n">
        <v>0</v>
      </c>
      <c r="Q14" s="18" t="n">
        <v>0</v>
      </c>
      <c r="R14" s="20" t="n">
        <v>0</v>
      </c>
    </row>
    <row r="15" spans="1:18">
      <c r="A15" s="15" t="s">
        <v>439</v>
      </c>
      <c r="B15" s="17" t="n">
        <v>3019</v>
      </c>
      <c r="C15" s="18">
        <f>(2650.0/B15*100)</f>
        <v/>
      </c>
      <c r="D15" s="19" t="n">
        <v>369</v>
      </c>
      <c r="E15" s="18" t="n">
        <v>37.29849922</v>
      </c>
      <c r="F15" s="20" t="n">
        <v>2.58617163</v>
      </c>
      <c r="G15" s="18" t="n">
        <v>60.10361124</v>
      </c>
      <c r="H15" s="20" t="n">
        <v>2.83383666</v>
      </c>
      <c r="I15" s="18" t="s">
        <v>431</v>
      </c>
      <c r="J15" s="20" t="s">
        <v>431</v>
      </c>
      <c r="K15" s="18" t="n">
        <v>2.59788954</v>
      </c>
      <c r="L15" s="20" t="n">
        <v>1.02677202</v>
      </c>
      <c r="M15" s="18" t="n">
        <v>0</v>
      </c>
      <c r="N15" s="20" t="n">
        <v>0</v>
      </c>
      <c r="O15" s="18" t="n">
        <v>0</v>
      </c>
      <c r="P15" s="20" t="n">
        <v>0</v>
      </c>
      <c r="Q15" s="18" t="n">
        <v>0</v>
      </c>
      <c r="R15" s="20" t="n">
        <v>0</v>
      </c>
    </row>
    <row r="16" spans="1:18">
      <c r="A16" s="15" t="s">
        <v>440</v>
      </c>
      <c r="B16" s="17" t="n">
        <v>2997</v>
      </c>
      <c r="C16" s="18">
        <f>(2622.0/B16*100)</f>
        <v/>
      </c>
      <c r="D16" s="19" t="n">
        <v>375</v>
      </c>
      <c r="E16" s="18" t="n">
        <v>51.45501209</v>
      </c>
      <c r="F16" s="20" t="n">
        <v>2.84420528</v>
      </c>
      <c r="G16" s="18" t="n">
        <v>42.70362771</v>
      </c>
      <c r="H16" s="20" t="n">
        <v>2.80324753</v>
      </c>
      <c r="I16" s="18" t="s">
        <v>431</v>
      </c>
      <c r="J16" s="20" t="s">
        <v>431</v>
      </c>
      <c r="K16" s="18" t="n">
        <v>5.8413602</v>
      </c>
      <c r="L16" s="20" t="n">
        <v>1.26434001</v>
      </c>
      <c r="M16" s="18" t="n">
        <v>0</v>
      </c>
      <c r="N16" s="20" t="n">
        <v>0</v>
      </c>
      <c r="O16" s="18" t="n">
        <v>0</v>
      </c>
      <c r="P16" s="20" t="n">
        <v>0</v>
      </c>
      <c r="Q16" s="18" t="n">
        <v>0</v>
      </c>
      <c r="R16" s="20" t="n">
        <v>0</v>
      </c>
    </row>
    <row r="17" spans="1:18">
      <c r="A17" s="15" t="s">
        <v>441</v>
      </c>
      <c r="B17" s="17" t="n">
        <v>3307</v>
      </c>
      <c r="C17" s="18">
        <f>(2913.0/B17*100)</f>
        <v/>
      </c>
      <c r="D17" s="19" t="n">
        <v>394</v>
      </c>
      <c r="E17" s="18" t="n">
        <v>46.99171479</v>
      </c>
      <c r="F17" s="20" t="n">
        <v>3.007217</v>
      </c>
      <c r="G17" s="18" t="n">
        <v>50.9059394</v>
      </c>
      <c r="H17" s="20" t="n">
        <v>2.90459332</v>
      </c>
      <c r="I17" s="18" t="s">
        <v>431</v>
      </c>
      <c r="J17" s="20" t="s">
        <v>431</v>
      </c>
      <c r="K17" s="18" t="n">
        <v>2.10234581</v>
      </c>
      <c r="L17" s="20" t="n">
        <v>0.88956356</v>
      </c>
      <c r="M17" s="18" t="n">
        <v>0</v>
      </c>
      <c r="N17" s="20" t="n">
        <v>0</v>
      </c>
      <c r="O17" s="18" t="n">
        <v>0</v>
      </c>
      <c r="P17" s="20" t="n">
        <v>0</v>
      </c>
      <c r="Q17" s="18" t="n">
        <v>0</v>
      </c>
      <c r="R17" s="20" t="n">
        <v>0</v>
      </c>
    </row>
    <row r="18" spans="1:18">
      <c r="A18" s="15" t="s">
        <v>442</v>
      </c>
      <c r="B18" s="17" t="n">
        <v>2826</v>
      </c>
      <c r="C18" s="18">
        <f>(2476.0/B18*100)</f>
        <v/>
      </c>
      <c r="D18" s="19" t="n">
        <v>350</v>
      </c>
      <c r="E18" s="18" t="n">
        <v>63.34564459</v>
      </c>
      <c r="F18" s="20" t="n">
        <v>2.62939247</v>
      </c>
      <c r="G18" s="18" t="n">
        <v>35.39235216</v>
      </c>
      <c r="H18" s="20" t="n">
        <v>2.67709215</v>
      </c>
      <c r="I18" s="18" t="s">
        <v>431</v>
      </c>
      <c r="J18" s="20" t="s">
        <v>431</v>
      </c>
      <c r="K18" s="18" t="n">
        <v>1.26200324</v>
      </c>
      <c r="L18" s="20" t="n">
        <v>0.70024913</v>
      </c>
      <c r="M18" s="18" t="n">
        <v>0</v>
      </c>
      <c r="N18" s="20" t="n">
        <v>0</v>
      </c>
      <c r="O18" s="18" t="n">
        <v>0</v>
      </c>
      <c r="P18" s="20" t="n">
        <v>0</v>
      </c>
      <c r="Q18" s="18" t="n">
        <v>0</v>
      </c>
      <c r="R18" s="20" t="n">
        <v>0</v>
      </c>
    </row>
    <row r="19" spans="1:18">
      <c r="A19" s="15" t="s">
        <v>443</v>
      </c>
      <c r="B19" s="17" t="n">
        <v>2808</v>
      </c>
      <c r="C19" s="18">
        <f>(2469.0/B19*100)</f>
        <v/>
      </c>
      <c r="D19" s="19" t="n">
        <v>339</v>
      </c>
      <c r="E19" s="18" t="n">
        <v>50.65442366</v>
      </c>
      <c r="F19" s="20" t="n">
        <v>2.81361555</v>
      </c>
      <c r="G19" s="18" t="n">
        <v>48.78854207</v>
      </c>
      <c r="H19" s="20" t="n">
        <v>2.898264</v>
      </c>
      <c r="I19" s="18" t="s">
        <v>431</v>
      </c>
      <c r="J19" s="20" t="s">
        <v>431</v>
      </c>
      <c r="K19" s="18" t="n">
        <v>0.5570342700000001</v>
      </c>
      <c r="L19" s="20" t="n">
        <v>0.39642731</v>
      </c>
      <c r="M19" s="18" t="n">
        <v>0</v>
      </c>
      <c r="N19" s="20" t="n">
        <v>0</v>
      </c>
      <c r="O19" s="18" t="n">
        <v>0</v>
      </c>
      <c r="P19" s="20" t="n">
        <v>0</v>
      </c>
      <c r="Q19" s="18" t="n">
        <v>0</v>
      </c>
      <c r="R19" s="20" t="n">
        <v>0</v>
      </c>
    </row>
    <row r="20" spans="1:18">
      <c r="A20" s="15" t="s">
        <v>444</v>
      </c>
      <c r="B20" s="17" t="n">
        <v>1630</v>
      </c>
      <c r="C20" s="18">
        <f>(1445.0/B20*100)</f>
        <v/>
      </c>
      <c r="D20" s="19" t="n">
        <v>185</v>
      </c>
      <c r="E20" s="18" t="n">
        <v>62.77870923</v>
      </c>
      <c r="F20" s="20" t="n">
        <v>3.36885634</v>
      </c>
      <c r="G20" s="18" t="n">
        <v>33.69938327</v>
      </c>
      <c r="H20" s="20" t="n">
        <v>3.35387384</v>
      </c>
      <c r="I20" s="18" t="s">
        <v>431</v>
      </c>
      <c r="J20" s="20" t="s">
        <v>431</v>
      </c>
      <c r="K20" s="18" t="n">
        <v>3.5219075</v>
      </c>
      <c r="L20" s="20" t="n">
        <v>1.34334563</v>
      </c>
      <c r="M20" s="18" t="n">
        <v>0</v>
      </c>
      <c r="N20" s="20" t="n">
        <v>0</v>
      </c>
      <c r="O20" s="18" t="n">
        <v>0</v>
      </c>
      <c r="P20" s="20" t="n">
        <v>0</v>
      </c>
      <c r="Q20" s="18" t="n">
        <v>0</v>
      </c>
      <c r="R20" s="20" t="n">
        <v>0</v>
      </c>
    </row>
    <row r="21" spans="1:18">
      <c r="A21" s="15" t="s">
        <v>445</v>
      </c>
      <c r="B21" s="17" t="n">
        <v>2908</v>
      </c>
      <c r="C21" s="18">
        <f>(2425.0/B21*100)</f>
        <v/>
      </c>
      <c r="D21" s="19" t="n">
        <v>483</v>
      </c>
      <c r="E21" s="18" t="n">
        <v>56.87462201</v>
      </c>
      <c r="F21" s="20" t="n">
        <v>2.16324136</v>
      </c>
      <c r="G21" s="18" t="n">
        <v>42.17444871</v>
      </c>
      <c r="H21" s="20" t="n">
        <v>2.18976655</v>
      </c>
      <c r="I21" s="18" t="s">
        <v>431</v>
      </c>
      <c r="J21" s="20" t="s">
        <v>431</v>
      </c>
      <c r="K21" s="18" t="n">
        <v>0.95092928</v>
      </c>
      <c r="L21" s="20" t="n">
        <v>0.43454006</v>
      </c>
      <c r="M21" s="18" t="n">
        <v>0</v>
      </c>
      <c r="N21" s="20" t="n">
        <v>0</v>
      </c>
      <c r="O21" s="18" t="n">
        <v>0</v>
      </c>
      <c r="P21" s="20" t="n">
        <v>0</v>
      </c>
      <c r="Q21" s="18" t="n">
        <v>0</v>
      </c>
      <c r="R21" s="20" t="n">
        <v>0</v>
      </c>
    </row>
    <row r="22" spans="1:18">
      <c r="A22" s="15" t="s">
        <v>446</v>
      </c>
      <c r="B22" s="17" t="n">
        <v>2931</v>
      </c>
      <c r="C22" s="18">
        <f>(2598.0/B22*100)</f>
        <v/>
      </c>
      <c r="D22" s="19" t="n">
        <v>333</v>
      </c>
      <c r="E22" s="18" t="n">
        <v>57.9632994</v>
      </c>
      <c r="F22" s="20" t="n">
        <v>3.55901128</v>
      </c>
      <c r="G22" s="18" t="n">
        <v>37.72568647</v>
      </c>
      <c r="H22" s="20" t="n">
        <v>3.50015709</v>
      </c>
      <c r="I22" s="18" t="s">
        <v>431</v>
      </c>
      <c r="J22" s="20" t="s">
        <v>431</v>
      </c>
      <c r="K22" s="18" t="n">
        <v>4.31101413</v>
      </c>
      <c r="L22" s="20" t="n">
        <v>1.19522926</v>
      </c>
      <c r="M22" s="18" t="n">
        <v>0</v>
      </c>
      <c r="N22" s="20" t="n">
        <v>0</v>
      </c>
      <c r="O22" s="18" t="n">
        <v>0</v>
      </c>
      <c r="P22" s="20" t="n">
        <v>0</v>
      </c>
      <c r="Q22" s="18" t="n">
        <v>0</v>
      </c>
      <c r="R22" s="20" t="n">
        <v>0</v>
      </c>
    </row>
    <row r="23" spans="1:18">
      <c r="A23" s="15" t="s">
        <v>447</v>
      </c>
      <c r="B23" s="17" t="n">
        <v>5791</v>
      </c>
      <c r="C23" s="18">
        <f>(5122.0/B23*100)</f>
        <v/>
      </c>
      <c r="D23" s="19" t="n">
        <v>669</v>
      </c>
      <c r="E23" s="18" t="n">
        <v>59.20594439</v>
      </c>
      <c r="F23" s="20" t="n">
        <v>2.49895987</v>
      </c>
      <c r="G23" s="18" t="n">
        <v>38.68371607</v>
      </c>
      <c r="H23" s="20" t="n">
        <v>2.44396364</v>
      </c>
      <c r="I23" s="18" t="s">
        <v>431</v>
      </c>
      <c r="J23" s="20" t="s">
        <v>431</v>
      </c>
      <c r="K23" s="18" t="n">
        <v>2.11033954</v>
      </c>
      <c r="L23" s="20" t="n">
        <v>0.62507526</v>
      </c>
      <c r="M23" s="18" t="n">
        <v>0</v>
      </c>
      <c r="N23" s="20" t="n">
        <v>0</v>
      </c>
      <c r="O23" s="18" t="n">
        <v>0</v>
      </c>
      <c r="P23" s="20" t="n">
        <v>0</v>
      </c>
      <c r="Q23" s="18" t="n">
        <v>0</v>
      </c>
      <c r="R23" s="20" t="n">
        <v>0</v>
      </c>
    </row>
    <row r="24" spans="1:18">
      <c r="A24" s="15" t="s">
        <v>448</v>
      </c>
      <c r="B24" s="17" t="n">
        <v>3338</v>
      </c>
      <c r="C24" s="18">
        <f>(2933.0/B24*100)</f>
        <v/>
      </c>
      <c r="D24" s="19" t="n">
        <v>405</v>
      </c>
      <c r="E24" s="18" t="n">
        <v>61.98696958</v>
      </c>
      <c r="F24" s="20" t="n">
        <v>2.24604485</v>
      </c>
      <c r="G24" s="18" t="n">
        <v>35.48642871</v>
      </c>
      <c r="H24" s="20" t="n">
        <v>2.2983939</v>
      </c>
      <c r="I24" s="18" t="s">
        <v>431</v>
      </c>
      <c r="J24" s="20" t="s">
        <v>431</v>
      </c>
      <c r="K24" s="18" t="n">
        <v>2.5266017</v>
      </c>
      <c r="L24" s="20" t="n">
        <v>0.74349077</v>
      </c>
      <c r="M24" s="18" t="n">
        <v>0</v>
      </c>
      <c r="N24" s="20" t="n">
        <v>0</v>
      </c>
      <c r="O24" s="18" t="n">
        <v>0</v>
      </c>
      <c r="P24" s="20" t="n">
        <v>0</v>
      </c>
      <c r="Q24" s="18" t="n">
        <v>0</v>
      </c>
      <c r="R24" s="20" t="n">
        <v>0</v>
      </c>
    </row>
    <row r="25" spans="1:18">
      <c r="A25" s="15" t="s">
        <v>449</v>
      </c>
      <c r="B25" s="17" t="n">
        <v>2912</v>
      </c>
      <c r="C25" s="18">
        <f>(2547.0/B25*100)</f>
        <v/>
      </c>
      <c r="D25" s="19" t="n">
        <v>365</v>
      </c>
      <c r="E25" s="18" t="n">
        <v>54.7479098</v>
      </c>
      <c r="F25" s="20" t="n">
        <v>2.58782401</v>
      </c>
      <c r="G25" s="18" t="n">
        <v>44.39048345</v>
      </c>
      <c r="H25" s="20" t="n">
        <v>2.52452496</v>
      </c>
      <c r="I25" s="18" t="s">
        <v>431</v>
      </c>
      <c r="J25" s="20" t="s">
        <v>431</v>
      </c>
      <c r="K25" s="18" t="n">
        <v>0.86160675</v>
      </c>
      <c r="L25" s="20" t="n">
        <v>0.49342714</v>
      </c>
      <c r="M25" s="18" t="n">
        <v>0</v>
      </c>
      <c r="N25" s="20" t="n">
        <v>0</v>
      </c>
      <c r="O25" s="18" t="n">
        <v>0</v>
      </c>
      <c r="P25" s="20" t="n">
        <v>0</v>
      </c>
      <c r="Q25" s="18" t="n">
        <v>0</v>
      </c>
      <c r="R25" s="20" t="n">
        <v>0</v>
      </c>
    </row>
    <row r="26" spans="1:18">
      <c r="A26" s="15" t="s">
        <v>450</v>
      </c>
      <c r="B26" s="17" t="n">
        <v>2450</v>
      </c>
      <c r="C26" s="18">
        <f>(2156.0/B26*100)</f>
        <v/>
      </c>
      <c r="D26" s="19" t="n">
        <v>294</v>
      </c>
      <c r="E26" s="18" t="n">
        <v>50.61652104</v>
      </c>
      <c r="F26" s="20" t="n">
        <v>3.14469371</v>
      </c>
      <c r="G26" s="18" t="n">
        <v>49.09597728</v>
      </c>
      <c r="H26" s="20" t="n">
        <v>3.15873134</v>
      </c>
      <c r="I26" s="18" t="s">
        <v>431</v>
      </c>
      <c r="J26" s="20" t="s">
        <v>431</v>
      </c>
      <c r="K26" s="18" t="n">
        <v>0.28750168</v>
      </c>
      <c r="L26" s="20" t="n">
        <v>0.2888702</v>
      </c>
      <c r="M26" s="18" t="n">
        <v>0</v>
      </c>
      <c r="N26" s="20" t="n">
        <v>0</v>
      </c>
      <c r="O26" s="18" t="n">
        <v>0</v>
      </c>
      <c r="P26" s="20" t="n">
        <v>0</v>
      </c>
      <c r="Q26" s="18" t="n">
        <v>0</v>
      </c>
      <c r="R26" s="20" t="n">
        <v>0</v>
      </c>
    </row>
    <row r="27" spans="1:18">
      <c r="A27" s="15" t="s">
        <v>451</v>
      </c>
      <c r="B27" s="17" t="n">
        <v>2616</v>
      </c>
      <c r="C27" s="18">
        <f>(2294.0/B27*100)</f>
        <v/>
      </c>
      <c r="D27" s="19" t="n">
        <v>322</v>
      </c>
      <c r="E27" s="18" t="n">
        <v>56.49720754</v>
      </c>
      <c r="F27" s="20" t="n">
        <v>2.73619706</v>
      </c>
      <c r="G27" s="18" t="n">
        <v>42.87865649</v>
      </c>
      <c r="H27" s="20" t="n">
        <v>2.69564935</v>
      </c>
      <c r="I27" s="18" t="s">
        <v>431</v>
      </c>
      <c r="J27" s="20" t="s">
        <v>431</v>
      </c>
      <c r="K27" s="18" t="n">
        <v>0.62413597</v>
      </c>
      <c r="L27" s="20" t="n">
        <v>0.44617994</v>
      </c>
      <c r="M27" s="18" t="n">
        <v>0</v>
      </c>
      <c r="N27" s="20" t="n">
        <v>0</v>
      </c>
      <c r="O27" s="18" t="n">
        <v>0</v>
      </c>
      <c r="P27" s="20" t="n">
        <v>0</v>
      </c>
      <c r="Q27" s="18" t="n">
        <v>0</v>
      </c>
      <c r="R27" s="20" t="n">
        <v>0</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(2377.0/B29*100)</f>
        <v/>
      </c>
      <c r="D29" s="19" t="n">
        <v>308</v>
      </c>
      <c r="E29" s="18" t="n">
        <v>65.60481253</v>
      </c>
      <c r="F29" s="20" t="n">
        <v>3.12452893</v>
      </c>
      <c r="G29" s="18" t="n">
        <v>33.36971023</v>
      </c>
      <c r="H29" s="20" t="n">
        <v>3.05624595</v>
      </c>
      <c r="I29" s="18" t="s">
        <v>431</v>
      </c>
      <c r="J29" s="20" t="s">
        <v>431</v>
      </c>
      <c r="K29" s="18" t="n">
        <v>1.02547724</v>
      </c>
      <c r="L29" s="20" t="n">
        <v>0.59831875</v>
      </c>
      <c r="M29" s="18" t="n">
        <v>0</v>
      </c>
      <c r="N29" s="20" t="n">
        <v>0</v>
      </c>
      <c r="O29" s="18" t="n">
        <v>0</v>
      </c>
      <c r="P29" s="20" t="n">
        <v>0</v>
      </c>
      <c r="Q29" s="18" t="n">
        <v>0</v>
      </c>
      <c r="R29" s="20" t="n">
        <v>0</v>
      </c>
    </row>
    <row r="30" spans="1:18">
      <c r="A30" s="15" t="s">
        <v>454</v>
      </c>
      <c r="B30" s="17" t="n">
        <v>2263</v>
      </c>
      <c r="C30" s="18">
        <f>(1999.0/B30*100)</f>
        <v/>
      </c>
      <c r="D30" s="19" t="n">
        <v>264</v>
      </c>
      <c r="E30" s="18" t="n">
        <v>51.87698815</v>
      </c>
      <c r="F30" s="20" t="n">
        <v>3.07092917</v>
      </c>
      <c r="G30" s="18" t="n">
        <v>47.2929954</v>
      </c>
      <c r="H30" s="20" t="n">
        <v>3.05029126</v>
      </c>
      <c r="I30" s="18" t="s">
        <v>431</v>
      </c>
      <c r="J30" s="20" t="s">
        <v>431</v>
      </c>
      <c r="K30" s="18" t="n">
        <v>0.83001644</v>
      </c>
      <c r="L30" s="20" t="n">
        <v>0.58480492</v>
      </c>
      <c r="M30" s="18" t="n">
        <v>0</v>
      </c>
      <c r="N30" s="20" t="n">
        <v>0</v>
      </c>
      <c r="O30" s="18" t="n">
        <v>0</v>
      </c>
      <c r="P30" s="20" t="n">
        <v>0</v>
      </c>
      <c r="Q30" s="18" t="n">
        <v>0</v>
      </c>
      <c r="R30" s="20" t="n">
        <v>0</v>
      </c>
    </row>
    <row r="31" spans="1:18">
      <c r="A31" s="15" t="s">
        <v>455</v>
      </c>
      <c r="B31" s="17" t="n">
        <v>2750</v>
      </c>
      <c r="C31" s="18">
        <f>(2411.0/B31*100)</f>
        <v/>
      </c>
      <c r="D31" s="19" t="n">
        <v>339</v>
      </c>
      <c r="E31" s="18" t="n">
        <v>51.56412579</v>
      </c>
      <c r="F31" s="20" t="n">
        <v>2.72988375</v>
      </c>
      <c r="G31" s="18" t="n">
        <v>47.07917816</v>
      </c>
      <c r="H31" s="20" t="n">
        <v>2.70382828</v>
      </c>
      <c r="I31" s="18" t="s">
        <v>431</v>
      </c>
      <c r="J31" s="20" t="s">
        <v>431</v>
      </c>
      <c r="K31" s="18" t="n">
        <v>1.35669605</v>
      </c>
      <c r="L31" s="20" t="n">
        <v>0.61078355</v>
      </c>
      <c r="M31" s="18" t="n">
        <v>0</v>
      </c>
      <c r="N31" s="20" t="n">
        <v>0</v>
      </c>
      <c r="O31" s="18" t="n">
        <v>0</v>
      </c>
      <c r="P31" s="20" t="n">
        <v>0</v>
      </c>
      <c r="Q31" s="18" t="n">
        <v>0</v>
      </c>
      <c r="R31" s="20" t="n">
        <v>0</v>
      </c>
    </row>
    <row r="32" spans="1:18">
      <c r="A32" s="15" t="s">
        <v>456</v>
      </c>
      <c r="B32" s="17" t="n">
        <v>2269</v>
      </c>
      <c r="C32" s="18">
        <f>(1893.0/B32*100)</f>
        <v/>
      </c>
      <c r="D32" s="19" t="n">
        <v>376</v>
      </c>
      <c r="E32" s="18" t="n">
        <v>58.70027971</v>
      </c>
      <c r="F32" s="20" t="n">
        <v>3.04972752</v>
      </c>
      <c r="G32" s="18" t="n">
        <v>40.09486132</v>
      </c>
      <c r="H32" s="20" t="n">
        <v>3.07180189</v>
      </c>
      <c r="I32" s="18" t="s">
        <v>431</v>
      </c>
      <c r="J32" s="20" t="s">
        <v>431</v>
      </c>
      <c r="K32" s="18" t="n">
        <v>1.20485897</v>
      </c>
      <c r="L32" s="20" t="n">
        <v>0.51867579</v>
      </c>
      <c r="M32" s="18" t="n">
        <v>0</v>
      </c>
      <c r="N32" s="20" t="n">
        <v>0</v>
      </c>
      <c r="O32" s="18" t="n">
        <v>0</v>
      </c>
      <c r="P32" s="20" t="n">
        <v>0</v>
      </c>
      <c r="Q32" s="18" t="n">
        <v>0</v>
      </c>
      <c r="R32" s="20" t="n">
        <v>0</v>
      </c>
    </row>
    <row r="33" spans="1:18">
      <c r="A33" s="15" t="s">
        <v>457</v>
      </c>
      <c r="B33" s="17" t="n">
        <v>3674</v>
      </c>
      <c r="C33" s="18">
        <f>(3252.0/B33*100)</f>
        <v/>
      </c>
      <c r="D33" s="19" t="n">
        <v>422</v>
      </c>
      <c r="E33" s="18" t="n">
        <v>52.16077045</v>
      </c>
      <c r="F33" s="20" t="n">
        <v>3.17326072</v>
      </c>
      <c r="G33" s="18" t="n">
        <v>47.50425652</v>
      </c>
      <c r="H33" s="20" t="n">
        <v>3.19095884</v>
      </c>
      <c r="I33" s="18" t="s">
        <v>431</v>
      </c>
      <c r="J33" s="20" t="s">
        <v>431</v>
      </c>
      <c r="K33" s="18" t="n">
        <v>0.33497303</v>
      </c>
      <c r="L33" s="20" t="n">
        <v>0.31828818</v>
      </c>
      <c r="M33" s="18" t="n">
        <v>0</v>
      </c>
      <c r="N33" s="20" t="n">
        <v>0</v>
      </c>
      <c r="O33" s="18" t="n">
        <v>0</v>
      </c>
      <c r="P33" s="20" t="n">
        <v>0</v>
      </c>
      <c r="Q33" s="18" t="n">
        <v>0</v>
      </c>
      <c r="R33" s="20" t="n">
        <v>0</v>
      </c>
    </row>
    <row r="34" spans="1:18">
      <c r="A34" s="15" t="s">
        <v>458</v>
      </c>
      <c r="B34" s="17" t="n">
        <v>3315</v>
      </c>
      <c r="C34" s="18">
        <f>(2915.0/B34*100)</f>
        <v/>
      </c>
      <c r="D34" s="19" t="n">
        <v>400</v>
      </c>
      <c r="E34" s="18" t="n">
        <v>65.78719679</v>
      </c>
      <c r="F34" s="20" t="n">
        <v>2.07841597</v>
      </c>
      <c r="G34" s="18" t="n">
        <v>32.7581081</v>
      </c>
      <c r="H34" s="20" t="n">
        <v>2.08321852</v>
      </c>
      <c r="I34" s="18" t="s">
        <v>431</v>
      </c>
      <c r="J34" s="20" t="s">
        <v>431</v>
      </c>
      <c r="K34" s="18" t="n">
        <v>1.45469511</v>
      </c>
      <c r="L34" s="20" t="n">
        <v>0.62406077</v>
      </c>
      <c r="M34" s="18" t="n">
        <v>0</v>
      </c>
      <c r="N34" s="20" t="n">
        <v>0</v>
      </c>
      <c r="O34" s="18" t="n">
        <v>0</v>
      </c>
      <c r="P34" s="20" t="n">
        <v>0</v>
      </c>
      <c r="Q34" s="18" t="n">
        <v>0</v>
      </c>
      <c r="R34" s="20" t="n">
        <v>0</v>
      </c>
    </row>
    <row r="35" spans="1:18">
      <c r="A35" s="15" t="s">
        <v>459</v>
      </c>
      <c r="B35" s="17" t="n">
        <v>3505</v>
      </c>
      <c r="C35" s="18">
        <f>(3084.0/B35*100)</f>
        <v/>
      </c>
      <c r="D35" s="19" t="n">
        <v>421</v>
      </c>
      <c r="E35" s="18" t="n">
        <v>51.33644171</v>
      </c>
      <c r="F35" s="20" t="n">
        <v>2.89828982</v>
      </c>
      <c r="G35" s="18" t="n">
        <v>48.02938839</v>
      </c>
      <c r="H35" s="20" t="n">
        <v>2.9232029</v>
      </c>
      <c r="I35" s="18" t="s">
        <v>431</v>
      </c>
      <c r="J35" s="20" t="s">
        <v>431</v>
      </c>
      <c r="K35" s="18" t="n">
        <v>0.63416989</v>
      </c>
      <c r="L35" s="20" t="n">
        <v>0.28795678</v>
      </c>
      <c r="M35" s="18" t="n">
        <v>0</v>
      </c>
      <c r="N35" s="20" t="n">
        <v>0</v>
      </c>
      <c r="O35" s="18" t="n">
        <v>0</v>
      </c>
      <c r="P35" s="20" t="n">
        <v>0</v>
      </c>
      <c r="Q35" s="18" t="n">
        <v>0</v>
      </c>
      <c r="R35" s="20" t="n">
        <v>0</v>
      </c>
    </row>
    <row r="36" spans="1:18">
      <c r="A36" s="15" t="s">
        <v>460</v>
      </c>
      <c r="B36" s="17" t="n">
        <v>3332</v>
      </c>
      <c r="C36" s="18">
        <f>(2925.0/B36*100)</f>
        <v/>
      </c>
      <c r="D36" s="19" t="n">
        <v>407</v>
      </c>
      <c r="E36" s="18" t="n">
        <v>74.21785531</v>
      </c>
      <c r="F36" s="20" t="n">
        <v>2.13691482</v>
      </c>
      <c r="G36" s="18" t="n">
        <v>24.62573281</v>
      </c>
      <c r="H36" s="20" t="n">
        <v>2.08026408</v>
      </c>
      <c r="I36" s="18" t="s">
        <v>431</v>
      </c>
      <c r="J36" s="20" t="s">
        <v>431</v>
      </c>
      <c r="K36" s="18" t="n">
        <v>1.15641187</v>
      </c>
      <c r="L36" s="20" t="n">
        <v>0.39201381</v>
      </c>
      <c r="M36" s="18" t="n">
        <v>0</v>
      </c>
      <c r="N36" s="20" t="n">
        <v>0</v>
      </c>
      <c r="O36" s="18" t="n">
        <v>0</v>
      </c>
      <c r="P36" s="20" t="n">
        <v>0</v>
      </c>
      <c r="Q36" s="18" t="n">
        <v>0</v>
      </c>
      <c r="R36" s="20" t="n">
        <v>0</v>
      </c>
    </row>
    <row r="37" spans="1:18">
      <c r="A37" s="15" t="s">
        <v>461</v>
      </c>
      <c r="B37" s="17" t="n">
        <v>2727</v>
      </c>
      <c r="C37" s="18">
        <f>(2405.0/B37*100)</f>
        <v/>
      </c>
      <c r="D37" s="19" t="n">
        <v>322</v>
      </c>
      <c r="E37" s="18" t="n">
        <v>58.63733185</v>
      </c>
      <c r="F37" s="20" t="n">
        <v>2.4416292</v>
      </c>
      <c r="G37" s="18" t="n">
        <v>38.31648399</v>
      </c>
      <c r="H37" s="20" t="n">
        <v>2.33088064</v>
      </c>
      <c r="I37" s="18" t="s">
        <v>431</v>
      </c>
      <c r="J37" s="20" t="s">
        <v>431</v>
      </c>
      <c r="K37" s="18" t="n">
        <v>3.04618416</v>
      </c>
      <c r="L37" s="20" t="n">
        <v>1.06433822</v>
      </c>
      <c r="M37" s="18" t="n">
        <v>0</v>
      </c>
      <c r="N37" s="20" t="n">
        <v>0</v>
      </c>
      <c r="O37" s="18" t="n">
        <v>0</v>
      </c>
      <c r="P37" s="20" t="n">
        <v>0</v>
      </c>
      <c r="Q37" s="18" t="n">
        <v>0</v>
      </c>
      <c r="R37" s="20" t="n">
        <v>0</v>
      </c>
    </row>
    <row r="38" spans="1:18">
      <c r="A38" s="15" t="s">
        <v>462</v>
      </c>
      <c r="B38" s="17" t="n">
        <v>3053</v>
      </c>
      <c r="C38" s="18">
        <f>(2523.0/B38*100)</f>
        <v/>
      </c>
      <c r="D38" s="19" t="n">
        <v>530</v>
      </c>
      <c r="E38" s="18" t="n">
        <v>53.36471304</v>
      </c>
      <c r="F38" s="20" t="n">
        <v>2.36367619</v>
      </c>
      <c r="G38" s="18" t="n">
        <v>43.35243269</v>
      </c>
      <c r="H38" s="20" t="n">
        <v>2.34119566</v>
      </c>
      <c r="I38" s="18" t="s">
        <v>431</v>
      </c>
      <c r="J38" s="20" t="s">
        <v>431</v>
      </c>
      <c r="K38" s="18" t="n">
        <v>3.28285427</v>
      </c>
      <c r="L38" s="20" t="n">
        <v>0.99623565</v>
      </c>
      <c r="M38" s="18" t="n">
        <v>0</v>
      </c>
      <c r="N38" s="20" t="n">
        <v>0</v>
      </c>
      <c r="O38" s="18" t="n">
        <v>0</v>
      </c>
      <c r="P38" s="20" t="n">
        <v>0</v>
      </c>
      <c r="Q38" s="18" t="n">
        <v>0</v>
      </c>
      <c r="R38" s="20" t="n">
        <v>0</v>
      </c>
    </row>
    <row r="39" spans="1:18">
      <c r="A39" s="15" t="s">
        <v>463</v>
      </c>
      <c r="B39" s="17" t="n">
        <v>2957</v>
      </c>
      <c r="C39" s="18">
        <f>(2585.0/B39*100)</f>
        <v/>
      </c>
      <c r="D39" s="19" t="n">
        <v>372</v>
      </c>
      <c r="E39" s="18" t="n">
        <v>69.76209308999999</v>
      </c>
      <c r="F39" s="20" t="n">
        <v>2.61926263</v>
      </c>
      <c r="G39" s="18" t="n">
        <v>29.78873549</v>
      </c>
      <c r="H39" s="20" t="n">
        <v>2.62769998</v>
      </c>
      <c r="I39" s="18" t="s">
        <v>431</v>
      </c>
      <c r="J39" s="20" t="s">
        <v>431</v>
      </c>
      <c r="K39" s="18" t="n">
        <v>0.44917142</v>
      </c>
      <c r="L39" s="20" t="n">
        <v>0.35811362</v>
      </c>
      <c r="M39" s="18" t="n">
        <v>0</v>
      </c>
      <c r="N39" s="20" t="n">
        <v>0</v>
      </c>
      <c r="O39" s="18" t="n">
        <v>0</v>
      </c>
      <c r="P39" s="20" t="n">
        <v>0</v>
      </c>
      <c r="Q39" s="18" t="n">
        <v>0</v>
      </c>
      <c r="R39" s="20" t="n">
        <v>0</v>
      </c>
    </row>
    <row r="40" spans="1:18">
      <c r="A40" s="15" t="s">
        <v>464</v>
      </c>
      <c r="B40" s="17" t="n">
        <v>7235</v>
      </c>
      <c r="C40" s="18">
        <f>(6338.0/B40*100)</f>
        <v/>
      </c>
      <c r="D40" s="19" t="n">
        <v>897</v>
      </c>
      <c r="E40" s="18" t="n">
        <v>57.65055853</v>
      </c>
      <c r="F40" s="20" t="n">
        <v>2.86116515</v>
      </c>
      <c r="G40" s="18" t="n">
        <v>40.76386542</v>
      </c>
      <c r="H40" s="20" t="n">
        <v>2.88605613</v>
      </c>
      <c r="I40" s="18" t="s">
        <v>431</v>
      </c>
      <c r="J40" s="20" t="s">
        <v>431</v>
      </c>
      <c r="K40" s="18" t="n">
        <v>1.58557605</v>
      </c>
      <c r="L40" s="20" t="n">
        <v>0.63748823</v>
      </c>
      <c r="M40" s="18" t="n">
        <v>0</v>
      </c>
      <c r="N40" s="20" t="n">
        <v>0</v>
      </c>
      <c r="O40" s="18" t="n">
        <v>0</v>
      </c>
      <c r="P40" s="20" t="n">
        <v>0</v>
      </c>
      <c r="Q40" s="18" t="n">
        <v>0</v>
      </c>
      <c r="R40" s="20" t="n">
        <v>0</v>
      </c>
    </row>
    <row r="41" spans="1:18">
      <c r="A41" s="15" t="s">
        <v>465</v>
      </c>
      <c r="B41" s="17" t="n">
        <v>2858</v>
      </c>
      <c r="C41" s="18">
        <f>(2508.0/B41*100)</f>
        <v/>
      </c>
      <c r="D41" s="19" t="n">
        <v>350</v>
      </c>
      <c r="E41" s="18" t="n">
        <v>54.43847453</v>
      </c>
      <c r="F41" s="20" t="n">
        <v>2.79611718</v>
      </c>
      <c r="G41" s="18" t="n">
        <v>44.68441145</v>
      </c>
      <c r="H41" s="20" t="n">
        <v>2.85467393</v>
      </c>
      <c r="I41" s="18" t="s">
        <v>431</v>
      </c>
      <c r="J41" s="20" t="s">
        <v>431</v>
      </c>
      <c r="K41" s="18" t="n">
        <v>0.87711402</v>
      </c>
      <c r="L41" s="20" t="n">
        <v>0.50700639</v>
      </c>
      <c r="M41" s="18" t="n">
        <v>0</v>
      </c>
      <c r="N41" s="20" t="n">
        <v>0</v>
      </c>
      <c r="O41" s="18" t="n">
        <v>0</v>
      </c>
      <c r="P41" s="20" t="n">
        <v>0</v>
      </c>
      <c r="Q41" s="18" t="n">
        <v>0</v>
      </c>
      <c r="R41" s="20" t="n">
        <v>0</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(4519.0/B48*100)</f>
        <v/>
      </c>
      <c r="D48" s="19" t="n">
        <v>640</v>
      </c>
      <c r="E48" s="18" t="n">
        <v>46.00539611</v>
      </c>
      <c r="F48" s="20" t="n">
        <v>2.52758968</v>
      </c>
      <c r="G48" s="18" t="n">
        <v>53.43683382</v>
      </c>
      <c r="H48" s="20" t="n">
        <v>2.46539238</v>
      </c>
      <c r="I48" s="18" t="s">
        <v>431</v>
      </c>
      <c r="J48" s="20" t="s">
        <v>431</v>
      </c>
      <c r="K48" s="18" t="n">
        <v>0.55777007</v>
      </c>
      <c r="L48" s="20" t="n">
        <v>0.34640205</v>
      </c>
      <c r="M48" s="18" t="n">
        <v>0</v>
      </c>
      <c r="N48" s="20" t="n">
        <v>0</v>
      </c>
      <c r="O48" s="18" t="n">
        <v>0</v>
      </c>
      <c r="P48" s="20" t="n">
        <v>0</v>
      </c>
      <c r="Q48" s="18" t="n">
        <v>0</v>
      </c>
      <c r="R48" s="20" t="n">
        <v>0</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(2463.0/B52*100)</f>
        <v/>
      </c>
      <c r="D52" s="19" t="n">
        <v>333</v>
      </c>
      <c r="E52" s="18" t="n">
        <v>58.90050784</v>
      </c>
      <c r="F52" s="20" t="n">
        <v>2.82320182</v>
      </c>
      <c r="G52" s="18" t="n">
        <v>39.74570189</v>
      </c>
      <c r="H52" s="20" t="n">
        <v>2.91554228</v>
      </c>
      <c r="I52" s="18" t="s">
        <v>431</v>
      </c>
      <c r="J52" s="20" t="s">
        <v>431</v>
      </c>
      <c r="K52" s="18" t="n">
        <v>1.35379027</v>
      </c>
      <c r="L52" s="20" t="n">
        <v>0.60871658</v>
      </c>
      <c r="M52" s="18" t="n">
        <v>0</v>
      </c>
      <c r="N52" s="20" t="n">
        <v>0</v>
      </c>
      <c r="O52" s="18" t="n">
        <v>0</v>
      </c>
      <c r="P52" s="20" t="n">
        <v>0</v>
      </c>
      <c r="Q52" s="18" t="n">
        <v>0</v>
      </c>
      <c r="R52" s="20" t="n">
        <v>0</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(2363.0/B56*100)</f>
        <v/>
      </c>
      <c r="D56" s="19" t="n">
        <v>321</v>
      </c>
      <c r="E56" s="18" t="n">
        <v>53.60555974</v>
      </c>
      <c r="F56" s="20" t="n">
        <v>2.66020427</v>
      </c>
      <c r="G56" s="18" t="n">
        <v>44.68548426</v>
      </c>
      <c r="H56" s="20" t="n">
        <v>2.62884626</v>
      </c>
      <c r="I56" s="18" t="s">
        <v>431</v>
      </c>
      <c r="J56" s="20" t="s">
        <v>431</v>
      </c>
      <c r="K56" s="18" t="n">
        <v>1.708956</v>
      </c>
      <c r="L56" s="20" t="n">
        <v>0.82806118</v>
      </c>
      <c r="M56" s="18" t="n">
        <v>0</v>
      </c>
      <c r="N56" s="20" t="n">
        <v>0</v>
      </c>
      <c r="O56" s="18" t="n">
        <v>0</v>
      </c>
      <c r="P56" s="20" t="n">
        <v>0</v>
      </c>
      <c r="Q56" s="18" t="n">
        <v>0</v>
      </c>
      <c r="R56" s="20" t="n">
        <v>0</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(2896.0/B61*100)</f>
        <v/>
      </c>
      <c r="D61" s="19" t="n">
        <v>428</v>
      </c>
      <c r="E61" s="18" t="n">
        <v>55.71713734</v>
      </c>
      <c r="F61" s="20" t="n">
        <v>2.79231582</v>
      </c>
      <c r="G61" s="18" t="n">
        <v>43.47990243</v>
      </c>
      <c r="H61" s="20" t="n">
        <v>2.82160697</v>
      </c>
      <c r="I61" s="18" t="s">
        <v>431</v>
      </c>
      <c r="J61" s="20" t="s">
        <v>431</v>
      </c>
      <c r="K61" s="18" t="n">
        <v>0.80296024</v>
      </c>
      <c r="L61" s="20" t="n">
        <v>0.42946987</v>
      </c>
      <c r="M61" s="18" t="n">
        <v>0</v>
      </c>
      <c r="N61" s="20" t="n">
        <v>0</v>
      </c>
      <c r="O61" s="18" t="n">
        <v>0</v>
      </c>
      <c r="P61" s="20" t="n">
        <v>0</v>
      </c>
      <c r="Q61" s="18" t="n">
        <v>0</v>
      </c>
      <c r="R61" s="20" t="n">
        <v>0</v>
      </c>
    </row>
    <row r="62" spans="1:18">
      <c r="A62" s="15" t="s">
        <v>486</v>
      </c>
      <c r="B62" s="17" t="n">
        <v>2246</v>
      </c>
      <c r="C62" s="18">
        <f>(1974.0/B62*100)</f>
        <v/>
      </c>
      <c r="D62" s="19" t="n">
        <v>272</v>
      </c>
      <c r="E62" s="18" t="n">
        <v>58.42931788</v>
      </c>
      <c r="F62" s="20" t="n">
        <v>2.94545484</v>
      </c>
      <c r="G62" s="18" t="n">
        <v>40.82777293</v>
      </c>
      <c r="H62" s="20" t="n">
        <v>2.9998873</v>
      </c>
      <c r="I62" s="18" t="s">
        <v>431</v>
      </c>
      <c r="J62" s="20" t="s">
        <v>431</v>
      </c>
      <c r="K62" s="18" t="n">
        <v>0.74290919</v>
      </c>
      <c r="L62" s="20" t="n">
        <v>0.52456294</v>
      </c>
      <c r="M62" s="18" t="n">
        <v>0</v>
      </c>
      <c r="N62" s="20" t="n">
        <v>0</v>
      </c>
      <c r="O62" s="18" t="n">
        <v>0</v>
      </c>
      <c r="P62" s="20" t="n">
        <v>0</v>
      </c>
      <c r="Q62" s="18" t="n">
        <v>0</v>
      </c>
      <c r="R62" s="20" t="n">
        <v>0</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(2563.0/B66*100)</f>
        <v/>
      </c>
      <c r="D66" s="19" t="n">
        <v>331</v>
      </c>
      <c r="E66" s="18" t="n">
        <v>67.72205239</v>
      </c>
      <c r="F66" s="20" t="n">
        <v>2.65563589</v>
      </c>
      <c r="G66" s="18" t="n">
        <v>27.172452</v>
      </c>
      <c r="H66" s="20" t="n">
        <v>2.40411838</v>
      </c>
      <c r="I66" s="18" t="s">
        <v>431</v>
      </c>
      <c r="J66" s="20" t="s">
        <v>431</v>
      </c>
      <c r="K66" s="18" t="n">
        <v>5.10549561</v>
      </c>
      <c r="L66" s="20" t="n">
        <v>1.26254642</v>
      </c>
      <c r="M66" s="18" t="n">
        <v>0</v>
      </c>
      <c r="N66" s="20" t="n">
        <v>0</v>
      </c>
      <c r="O66" s="18" t="n">
        <v>0</v>
      </c>
      <c r="P66" s="20" t="n">
        <v>0</v>
      </c>
      <c r="Q66" s="18" t="n">
        <v>0</v>
      </c>
      <c r="R66" s="20" t="n">
        <v>0</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(2594.0/B70*100)</f>
        <v/>
      </c>
      <c r="D70" s="19" t="n">
        <v>335</v>
      </c>
      <c r="E70" s="18" t="n">
        <v>52.74164082</v>
      </c>
      <c r="F70" s="20" t="n">
        <v>2.07281681</v>
      </c>
      <c r="G70" s="18" t="n">
        <v>45.4970065</v>
      </c>
      <c r="H70" s="20" t="n">
        <v>2.18103489</v>
      </c>
      <c r="I70" s="18" t="s">
        <v>431</v>
      </c>
      <c r="J70" s="20" t="s">
        <v>431</v>
      </c>
      <c r="K70" s="18" t="n">
        <v>1.76135268</v>
      </c>
      <c r="L70" s="20" t="n">
        <v>0.77659835</v>
      </c>
      <c r="M70" s="18" t="n">
        <v>0</v>
      </c>
      <c r="N70" s="20" t="n">
        <v>0</v>
      </c>
      <c r="O70" s="18" t="n">
        <v>0</v>
      </c>
      <c r="P70" s="20" t="n">
        <v>0</v>
      </c>
      <c r="Q70" s="18" t="n">
        <v>0</v>
      </c>
      <c r="R70" s="20" t="n">
        <v>0</v>
      </c>
    </row>
    <row r="71" spans="1:18">
      <c r="A71" s="15" t="s">
        <v>495</v>
      </c>
      <c r="B71" s="17" t="n">
        <v>3142</v>
      </c>
      <c r="C71" s="18">
        <f>(2763.0/B71*100)</f>
        <v/>
      </c>
      <c r="D71" s="19" t="n">
        <v>379</v>
      </c>
      <c r="E71" s="18" t="n">
        <v>43.29443728</v>
      </c>
      <c r="F71" s="20" t="n">
        <v>2.67903005</v>
      </c>
      <c r="G71" s="18" t="n">
        <v>54.91524799</v>
      </c>
      <c r="H71" s="20" t="n">
        <v>2.79815388</v>
      </c>
      <c r="I71" s="18" t="s">
        <v>431</v>
      </c>
      <c r="J71" s="20" t="s">
        <v>431</v>
      </c>
      <c r="K71" s="18" t="n">
        <v>1.79031474</v>
      </c>
      <c r="L71" s="20" t="n">
        <v>0.66214524</v>
      </c>
      <c r="M71" s="18" t="n">
        <v>0</v>
      </c>
      <c r="N71" s="20" t="n">
        <v>0</v>
      </c>
      <c r="O71" s="18" t="n">
        <v>0</v>
      </c>
      <c r="P71" s="20" t="n">
        <v>0</v>
      </c>
      <c r="Q71" s="18" t="n">
        <v>0</v>
      </c>
      <c r="R71" s="20" t="n">
        <v>0</v>
      </c>
    </row>
    <row r="72" spans="1:18">
      <c r="A72" s="15" t="s">
        <v>496</v>
      </c>
      <c r="B72" s="17" t="n">
        <v>3889</v>
      </c>
      <c r="C72" s="18">
        <f>(3416.0/B72*100)</f>
        <v/>
      </c>
      <c r="D72" s="19" t="n">
        <v>473</v>
      </c>
      <c r="E72" s="18" t="n">
        <v>62.77370324</v>
      </c>
      <c r="F72" s="20" t="n">
        <v>2.21364677</v>
      </c>
      <c r="G72" s="18" t="n">
        <v>36.9135615</v>
      </c>
      <c r="H72" s="20" t="n">
        <v>2.18841118</v>
      </c>
      <c r="I72" s="18" t="s">
        <v>431</v>
      </c>
      <c r="J72" s="20" t="s">
        <v>431</v>
      </c>
      <c r="K72" s="18" t="n">
        <v>0.31273527</v>
      </c>
      <c r="L72" s="20" t="n">
        <v>0.22295431</v>
      </c>
      <c r="M72" s="18" t="n">
        <v>0</v>
      </c>
      <c r="N72" s="20" t="n">
        <v>0</v>
      </c>
      <c r="O72" s="18" t="n">
        <v>0</v>
      </c>
      <c r="P72" s="20" t="n">
        <v>0</v>
      </c>
      <c r="Q72" s="18" t="n">
        <v>0</v>
      </c>
      <c r="R72" s="20" t="n">
        <v>0</v>
      </c>
    </row>
    <row r="73" spans="1:18">
      <c r="A73" s="15" t="s">
        <v>497</v>
      </c>
      <c r="B73" s="17" t="n">
        <v>3597</v>
      </c>
      <c r="C73" s="18">
        <f>(3166.0/B73*100)</f>
        <v/>
      </c>
      <c r="D73" s="19" t="n">
        <v>431</v>
      </c>
      <c r="E73" s="18" t="n">
        <v>66.61473255999999</v>
      </c>
      <c r="F73" s="20" t="n">
        <v>2.83237903</v>
      </c>
      <c r="G73" s="18" t="n">
        <v>32.93206182</v>
      </c>
      <c r="H73" s="20" t="n">
        <v>2.75994328</v>
      </c>
      <c r="I73" s="18" t="s">
        <v>431</v>
      </c>
      <c r="J73" s="20" t="s">
        <v>431</v>
      </c>
      <c r="K73" s="18" t="n">
        <v>0.45320562</v>
      </c>
      <c r="L73" s="20" t="n">
        <v>0.37637423</v>
      </c>
      <c r="M73" s="18" t="n">
        <v>0</v>
      </c>
      <c r="N73" s="20" t="n">
        <v>0</v>
      </c>
      <c r="O73" s="18" t="n">
        <v>0</v>
      </c>
      <c r="P73" s="20" t="n">
        <v>0</v>
      </c>
      <c r="Q73" s="18" t="n">
        <v>0</v>
      </c>
      <c r="R73" s="20" t="n">
        <v>0</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(3123.0/B11*100)</f>
        <v/>
      </c>
      <c r="D11" s="19" t="n">
        <v>430</v>
      </c>
      <c r="E11" s="18" t="n">
        <v>7.84126619</v>
      </c>
      <c r="F11" s="20" t="n">
        <v>1.80577644</v>
      </c>
      <c r="G11" s="18" t="n">
        <v>90.57330236</v>
      </c>
      <c r="H11" s="20" t="n">
        <v>1.91254655</v>
      </c>
      <c r="I11" s="18" t="s">
        <v>431</v>
      </c>
      <c r="J11" s="20" t="s">
        <v>431</v>
      </c>
      <c r="K11" s="18" t="n">
        <v>0.91422409</v>
      </c>
      <c r="L11" s="20" t="n">
        <v>0.73418446</v>
      </c>
      <c r="M11" s="18" t="n">
        <v>0</v>
      </c>
      <c r="N11" s="20" t="n">
        <v>0</v>
      </c>
      <c r="O11" s="18" t="n">
        <v>0</v>
      </c>
      <c r="P11" s="20" t="n">
        <v>0</v>
      </c>
      <c r="Q11" s="18" t="n">
        <v>0.67120736</v>
      </c>
      <c r="R11" s="20" t="n">
        <v>0.47557975</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(3330.0/B28*100)</f>
        <v/>
      </c>
      <c r="D28" s="19" t="n">
        <v>435</v>
      </c>
      <c r="E28" s="18" t="n">
        <v>19.55554656</v>
      </c>
      <c r="F28" s="20" t="n">
        <v>2.23260532</v>
      </c>
      <c r="G28" s="18" t="n">
        <v>80.01607853</v>
      </c>
      <c r="H28" s="20" t="n">
        <v>2.33519506</v>
      </c>
      <c r="I28" s="18" t="s">
        <v>431</v>
      </c>
      <c r="J28" s="20" t="s">
        <v>431</v>
      </c>
      <c r="K28" s="18" t="n">
        <v>0.42837491</v>
      </c>
      <c r="L28" s="20" t="n">
        <v>0.4327255</v>
      </c>
      <c r="M28" s="18" t="n">
        <v>0</v>
      </c>
      <c r="N28" s="20" t="n">
        <v>0</v>
      </c>
      <c r="O28" s="18" t="n">
        <v>0</v>
      </c>
      <c r="P28" s="20" t="n">
        <v>0</v>
      </c>
      <c r="Q28" s="18" t="n">
        <v>0</v>
      </c>
      <c r="R28" s="20" t="n">
        <v>0</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(9716.0/B46*100)</f>
        <v/>
      </c>
      <c r="D46" s="19" t="n">
        <v>1352</v>
      </c>
      <c r="E46" s="18" t="n">
        <v>32.35137722</v>
      </c>
      <c r="F46" s="20" t="n">
        <v>1.99608773</v>
      </c>
      <c r="G46" s="18" t="n">
        <v>66.68930207</v>
      </c>
      <c r="H46" s="20" t="n">
        <v>1.9740201</v>
      </c>
      <c r="I46" s="18" t="s">
        <v>431</v>
      </c>
      <c r="J46" s="20" t="s">
        <v>431</v>
      </c>
      <c r="K46" s="18" t="n">
        <v>0.2427919</v>
      </c>
      <c r="L46" s="20" t="n">
        <v>0.2028462</v>
      </c>
      <c r="M46" s="18" t="n">
        <v>0</v>
      </c>
      <c r="N46" s="20" t="n">
        <v>0</v>
      </c>
      <c r="O46" s="18" t="n">
        <v>0</v>
      </c>
      <c r="P46" s="20" t="n">
        <v>0</v>
      </c>
      <c r="Q46" s="18" t="n">
        <v>0.71652882</v>
      </c>
      <c r="R46" s="20" t="n">
        <v>0.22022991</v>
      </c>
    </row>
    <row r="47" spans="1:18">
      <c r="A47" s="15" t="s">
        <v>471</v>
      </c>
      <c r="B47" s="17" t="n">
        <v>3105</v>
      </c>
      <c r="C47" s="18">
        <f>(2736.0/B47*100)</f>
        <v/>
      </c>
      <c r="D47" s="19" t="n">
        <v>369</v>
      </c>
      <c r="E47" s="18" t="n">
        <v>14.79853358</v>
      </c>
      <c r="F47" s="20" t="n">
        <v>2.07414393</v>
      </c>
      <c r="G47" s="18" t="n">
        <v>83.05362008</v>
      </c>
      <c r="H47" s="20" t="n">
        <v>2.20798001</v>
      </c>
      <c r="I47" s="18" t="s">
        <v>431</v>
      </c>
      <c r="J47" s="20" t="s">
        <v>431</v>
      </c>
      <c r="K47" s="18" t="n">
        <v>0</v>
      </c>
      <c r="L47" s="20" t="n">
        <v>0</v>
      </c>
      <c r="M47" s="18" t="n">
        <v>0</v>
      </c>
      <c r="N47" s="20" t="n">
        <v>0</v>
      </c>
      <c r="O47" s="18" t="n">
        <v>0</v>
      </c>
      <c r="P47" s="20" t="n">
        <v>0</v>
      </c>
      <c r="Q47" s="18" t="n">
        <v>2.14784633</v>
      </c>
      <c r="R47" s="20" t="n">
        <v>0.81638384</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(4946.0/B50*100)</f>
        <v/>
      </c>
      <c r="D50" s="19" t="n">
        <v>691</v>
      </c>
      <c r="E50" s="18" t="n">
        <v>20.63700151</v>
      </c>
      <c r="F50" s="20" t="n">
        <v>2.21370048</v>
      </c>
      <c r="G50" s="18" t="n">
        <v>77.65407995</v>
      </c>
      <c r="H50" s="20" t="n">
        <v>2.17769603</v>
      </c>
      <c r="I50" s="18" t="s">
        <v>431</v>
      </c>
      <c r="J50" s="20" t="s">
        <v>431</v>
      </c>
      <c r="K50" s="18" t="n">
        <v>0.34811197</v>
      </c>
      <c r="L50" s="20" t="n">
        <v>0.34590824</v>
      </c>
      <c r="M50" s="18" t="n">
        <v>0</v>
      </c>
      <c r="N50" s="20" t="n">
        <v>0</v>
      </c>
      <c r="O50" s="18" t="n">
        <v>0</v>
      </c>
      <c r="P50" s="20" t="n">
        <v>0</v>
      </c>
      <c r="Q50" s="18" t="n">
        <v>1.36080657</v>
      </c>
      <c r="R50" s="20" t="n">
        <v>0.47281363</v>
      </c>
    </row>
    <row r="51" spans="1:18">
      <c r="A51" s="15" t="s">
        <v>475</v>
      </c>
      <c r="B51" s="17" t="n">
        <v>3372</v>
      </c>
      <c r="C51" s="18">
        <f>(3020.0/B51*100)</f>
        <v/>
      </c>
      <c r="D51" s="19" t="n">
        <v>352</v>
      </c>
      <c r="E51" s="18" t="n">
        <v>19.72193477</v>
      </c>
      <c r="F51" s="20" t="n">
        <v>2.59624476</v>
      </c>
      <c r="G51" s="18" t="n">
        <v>78.24494344999999</v>
      </c>
      <c r="H51" s="20" t="n">
        <v>2.59678669</v>
      </c>
      <c r="I51" s="18" t="s">
        <v>431</v>
      </c>
      <c r="J51" s="20" t="s">
        <v>431</v>
      </c>
      <c r="K51" s="18" t="n">
        <v>0</v>
      </c>
      <c r="L51" s="20" t="n">
        <v>0</v>
      </c>
      <c r="M51" s="18" t="n">
        <v>0</v>
      </c>
      <c r="N51" s="20" t="n">
        <v>0</v>
      </c>
      <c r="O51" s="18" t="n">
        <v>0</v>
      </c>
      <c r="P51" s="20" t="n">
        <v>0</v>
      </c>
      <c r="Q51" s="18" t="n">
        <v>2.03312178</v>
      </c>
      <c r="R51" s="20" t="n">
        <v>0.95714303</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(2476.0/B53*100)</f>
        <v/>
      </c>
      <c r="D53" s="19" t="n">
        <v>335</v>
      </c>
      <c r="E53" s="18" t="n">
        <v>15.74186093</v>
      </c>
      <c r="F53" s="20" t="n">
        <v>2.15280741</v>
      </c>
      <c r="G53" s="18" t="n">
        <v>83.2055447</v>
      </c>
      <c r="H53" s="20" t="n">
        <v>2.13404792</v>
      </c>
      <c r="I53" s="18" t="s">
        <v>431</v>
      </c>
      <c r="J53" s="20" t="s">
        <v>431</v>
      </c>
      <c r="K53" s="18" t="n">
        <v>0</v>
      </c>
      <c r="L53" s="20" t="n">
        <v>0</v>
      </c>
      <c r="M53" s="18" t="n">
        <v>0</v>
      </c>
      <c r="N53" s="20" t="n">
        <v>0</v>
      </c>
      <c r="O53" s="18" t="n">
        <v>0</v>
      </c>
      <c r="P53" s="20" t="n">
        <v>0</v>
      </c>
      <c r="Q53" s="18" t="n">
        <v>1.05259437</v>
      </c>
      <c r="R53" s="20" t="n">
        <v>0.52094532</v>
      </c>
    </row>
    <row r="54" spans="1:18">
      <c r="A54" s="15" t="s">
        <v>478</v>
      </c>
      <c r="B54" s="17" t="n">
        <v>2266</v>
      </c>
      <c r="C54" s="18">
        <f>(1901.0/B54*100)</f>
        <v/>
      </c>
      <c r="D54" s="19" t="n">
        <v>365</v>
      </c>
      <c r="E54" s="18" t="n">
        <v>26.8486193</v>
      </c>
      <c r="F54" s="20" t="n">
        <v>2.86316532</v>
      </c>
      <c r="G54" s="18" t="n">
        <v>69.19265325000001</v>
      </c>
      <c r="H54" s="20" t="n">
        <v>2.88750056</v>
      </c>
      <c r="I54" s="18" t="s">
        <v>431</v>
      </c>
      <c r="J54" s="20" t="s">
        <v>431</v>
      </c>
      <c r="K54" s="18" t="n">
        <v>1.51430507</v>
      </c>
      <c r="L54" s="20" t="n">
        <v>0.43992507</v>
      </c>
      <c r="M54" s="18" t="n">
        <v>0</v>
      </c>
      <c r="N54" s="20" t="n">
        <v>0</v>
      </c>
      <c r="O54" s="18" t="n">
        <v>0</v>
      </c>
      <c r="P54" s="20" t="n">
        <v>0</v>
      </c>
      <c r="Q54" s="18" t="n">
        <v>2.44442238</v>
      </c>
      <c r="R54" s="20" t="n">
        <v>0.99291223</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(3084.0/B67*100)</f>
        <v/>
      </c>
      <c r="D67" s="19" t="n">
        <v>427</v>
      </c>
      <c r="E67" s="18" t="n">
        <v>22.12181535</v>
      </c>
      <c r="F67" s="20" t="n">
        <v>1.77885904</v>
      </c>
      <c r="G67" s="18" t="n">
        <v>77.03869285</v>
      </c>
      <c r="H67" s="20" t="n">
        <v>1.72621037</v>
      </c>
      <c r="I67" s="18" t="s">
        <v>431</v>
      </c>
      <c r="J67" s="20" t="s">
        <v>431</v>
      </c>
      <c r="K67" s="18" t="n">
        <v>0</v>
      </c>
      <c r="L67" s="20" t="n">
        <v>0</v>
      </c>
      <c r="M67" s="18" t="n">
        <v>0</v>
      </c>
      <c r="N67" s="20" t="n">
        <v>0</v>
      </c>
      <c r="O67" s="18" t="n">
        <v>0</v>
      </c>
      <c r="P67" s="20" t="n">
        <v>0</v>
      </c>
      <c r="Q67" s="18" t="n">
        <v>0.8394918</v>
      </c>
      <c r="R67" s="20" t="n">
        <v>0.43344731</v>
      </c>
    </row>
    <row r="68" spans="1:18">
      <c r="A68" s="15" t="s">
        <v>492</v>
      </c>
      <c r="B68" s="17" t="n">
        <v>6049</v>
      </c>
      <c r="C68" s="18">
        <f>(5025.0/B68*100)</f>
        <v/>
      </c>
      <c r="D68" s="19" t="n">
        <v>1024</v>
      </c>
      <c r="E68" s="18" t="n">
        <v>29.29352414</v>
      </c>
      <c r="F68" s="20" t="n">
        <v>1.3343612</v>
      </c>
      <c r="G68" s="18" t="n">
        <v>66.76026570000001</v>
      </c>
      <c r="H68" s="20" t="n">
        <v>1.43557763</v>
      </c>
      <c r="I68" s="18" t="s">
        <v>431</v>
      </c>
      <c r="J68" s="20" t="s">
        <v>431</v>
      </c>
      <c r="K68" s="18" t="n">
        <v>2.43069117</v>
      </c>
      <c r="L68" s="20" t="n">
        <v>0.48889896</v>
      </c>
      <c r="M68" s="18" t="n">
        <v>0</v>
      </c>
      <c r="N68" s="20" t="n">
        <v>0</v>
      </c>
      <c r="O68" s="18" t="n">
        <v>0</v>
      </c>
      <c r="P68" s="20" t="n">
        <v>0</v>
      </c>
      <c r="Q68" s="18" t="n">
        <v>1.51551899</v>
      </c>
      <c r="R68" s="20" t="n">
        <v>0.37194973</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(2137.0/B75*100)</f>
        <v/>
      </c>
      <c r="D75" s="19" t="n">
        <v>269</v>
      </c>
      <c r="E75" s="18" t="n">
        <v>26.54744856</v>
      </c>
      <c r="F75" s="20" t="n">
        <v>3.25689302</v>
      </c>
      <c r="G75" s="18" t="n">
        <v>71.00341723</v>
      </c>
      <c r="H75" s="20" t="n">
        <v>3.23648481</v>
      </c>
      <c r="I75" s="18" t="s">
        <v>431</v>
      </c>
      <c r="J75" s="20" t="s">
        <v>431</v>
      </c>
      <c r="K75" s="18" t="n">
        <v>0.6555987599999999</v>
      </c>
      <c r="L75" s="20" t="n">
        <v>0.38779046</v>
      </c>
      <c r="M75" s="18" t="n">
        <v>0</v>
      </c>
      <c r="N75" s="20" t="n">
        <v>0</v>
      </c>
      <c r="O75" s="18" t="n">
        <v>0</v>
      </c>
      <c r="P75" s="20" t="n">
        <v>0</v>
      </c>
      <c r="Q75" s="18" t="n">
        <v>1.79353546</v>
      </c>
      <c r="R75" s="20" t="n">
        <v>0.74222228</v>
      </c>
    </row>
    <row r="76" spans="1:18">
      <c r="A76" s="15" t="s">
        <v>500</v>
      </c>
      <c r="B76" s="17" t="n">
        <v>7052</v>
      </c>
      <c r="C76" s="18">
        <f>(6200.0/B76*100)</f>
        <v/>
      </c>
      <c r="D76" s="19" t="n">
        <v>852</v>
      </c>
      <c r="E76" s="18" t="n">
        <v>17.04637101</v>
      </c>
      <c r="F76" s="20" t="n">
        <v>1.57350887</v>
      </c>
      <c r="G76" s="18" t="n">
        <v>80.36023507</v>
      </c>
      <c r="H76" s="20" t="n">
        <v>1.77552002</v>
      </c>
      <c r="I76" s="18" t="s">
        <v>431</v>
      </c>
      <c r="J76" s="20" t="s">
        <v>431</v>
      </c>
      <c r="K76" s="18" t="n">
        <v>0.7347737</v>
      </c>
      <c r="L76" s="20" t="n">
        <v>0.2699937</v>
      </c>
      <c r="M76" s="18" t="n">
        <v>0</v>
      </c>
      <c r="N76" s="20" t="n">
        <v>0</v>
      </c>
      <c r="O76" s="18" t="n">
        <v>0</v>
      </c>
      <c r="P76" s="20" t="n">
        <v>0</v>
      </c>
      <c r="Q76" s="18" t="n">
        <v>1.85862022</v>
      </c>
      <c r="R76" s="20" t="n">
        <v>0.68855402</v>
      </c>
    </row>
    <row r="77" spans="1:18">
      <c r="A77" s="15" t="s">
        <v>501</v>
      </c>
      <c r="B77" s="17" t="n">
        <v>2908</v>
      </c>
      <c r="C77" s="18">
        <f>(2580.0/B77*100)</f>
        <v/>
      </c>
      <c r="D77" s="19" t="n">
        <v>328</v>
      </c>
      <c r="E77" s="18" t="n">
        <v>16.68353584</v>
      </c>
      <c r="F77" s="20" t="n">
        <v>2.14269244</v>
      </c>
      <c r="G77" s="18" t="n">
        <v>82.48692182000001</v>
      </c>
      <c r="H77" s="20" t="n">
        <v>2.17903602</v>
      </c>
      <c r="I77" s="18" t="s">
        <v>431</v>
      </c>
      <c r="J77" s="20" t="s">
        <v>431</v>
      </c>
      <c r="K77" s="18" t="n">
        <v>0</v>
      </c>
      <c r="L77" s="20" t="n">
        <v>0</v>
      </c>
      <c r="M77" s="18" t="n">
        <v>0</v>
      </c>
      <c r="N77" s="20" t="n">
        <v>0</v>
      </c>
      <c r="O77" s="18" t="n">
        <v>0</v>
      </c>
      <c r="P77" s="20" t="n">
        <v>0</v>
      </c>
      <c r="Q77" s="18" t="n">
        <v>0.82954234</v>
      </c>
      <c r="R77" s="20" t="n">
        <v>0.60461237</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(3669.0/B81*100)</f>
        <v/>
      </c>
      <c r="D81" s="19" t="n">
        <v>494</v>
      </c>
      <c r="E81" s="18" t="n">
        <v>9.352143939999999</v>
      </c>
      <c r="F81" s="20" t="n">
        <v>1.82911161</v>
      </c>
      <c r="G81" s="18" t="n">
        <v>89.43949418</v>
      </c>
      <c r="H81" s="20" t="n">
        <v>1.92693353</v>
      </c>
      <c r="I81" s="18" t="s">
        <v>431</v>
      </c>
      <c r="J81" s="20" t="s">
        <v>431</v>
      </c>
      <c r="K81" s="18" t="n">
        <v>0.71125667</v>
      </c>
      <c r="L81" s="20" t="n">
        <v>0.51263748</v>
      </c>
      <c r="M81" s="18" t="n">
        <v>0</v>
      </c>
      <c r="N81" s="20" t="n">
        <v>0</v>
      </c>
      <c r="O81" s="18" t="n">
        <v>0</v>
      </c>
      <c r="P81" s="20" t="n">
        <v>0</v>
      </c>
      <c r="Q81" s="18" t="n">
        <v>0.49710522</v>
      </c>
      <c r="R81" s="20" t="n">
        <v>0.32377491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(3124.0/B11*100)</f>
        <v/>
      </c>
      <c r="D11" s="19" t="n">
        <v>429</v>
      </c>
      <c r="E11" s="18" t="n">
        <v>20.26452413</v>
      </c>
      <c r="F11" s="20" t="n">
        <v>2.10862269</v>
      </c>
      <c r="G11" s="18" t="n">
        <v>78.01002622999999</v>
      </c>
      <c r="H11" s="20" t="n">
        <v>2.23904424</v>
      </c>
      <c r="I11" s="18" t="s">
        <v>431</v>
      </c>
      <c r="J11" s="20" t="s">
        <v>431</v>
      </c>
      <c r="K11" s="18" t="n">
        <v>0.91757836</v>
      </c>
      <c r="L11" s="20" t="n">
        <v>0.73693133</v>
      </c>
      <c r="M11" s="18" t="n">
        <v>0</v>
      </c>
      <c r="N11" s="20" t="n">
        <v>0</v>
      </c>
      <c r="O11" s="18" t="n">
        <v>0</v>
      </c>
      <c r="P11" s="20" t="n">
        <v>0</v>
      </c>
      <c r="Q11" s="18" t="n">
        <v>0.80787128</v>
      </c>
      <c r="R11" s="20" t="n">
        <v>0.51827988</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(3332.0/B28*100)</f>
        <v/>
      </c>
      <c r="D28" s="19" t="n">
        <v>433</v>
      </c>
      <c r="E28" s="18" t="n">
        <v>20.96645233</v>
      </c>
      <c r="F28" s="20" t="n">
        <v>1.86948319</v>
      </c>
      <c r="G28" s="18" t="n">
        <v>77.31207857</v>
      </c>
      <c r="H28" s="20" t="n">
        <v>2.06075755</v>
      </c>
      <c r="I28" s="18" t="s">
        <v>431</v>
      </c>
      <c r="J28" s="20" t="s">
        <v>431</v>
      </c>
      <c r="K28" s="18" t="n">
        <v>0.43136686</v>
      </c>
      <c r="L28" s="20" t="n">
        <v>0.43577028</v>
      </c>
      <c r="M28" s="18" t="n">
        <v>0.36615052</v>
      </c>
      <c r="N28" s="20" t="n">
        <v>0.3646677</v>
      </c>
      <c r="O28" s="18" t="n">
        <v>0</v>
      </c>
      <c r="P28" s="20" t="n">
        <v>0</v>
      </c>
      <c r="Q28" s="18" t="n">
        <v>0.92395171</v>
      </c>
      <c r="R28" s="20" t="n">
        <v>0.47677114</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(9742.0/B46*100)</f>
        <v/>
      </c>
      <c r="D46" s="19" t="n">
        <v>1326</v>
      </c>
      <c r="E46" s="18" t="n">
        <v>28.21636544</v>
      </c>
      <c r="F46" s="20" t="n">
        <v>1.98321515</v>
      </c>
      <c r="G46" s="18" t="n">
        <v>65.13693730999999</v>
      </c>
      <c r="H46" s="20" t="n">
        <v>2.23106881</v>
      </c>
      <c r="I46" s="18" t="s">
        <v>431</v>
      </c>
      <c r="J46" s="20" t="s">
        <v>431</v>
      </c>
      <c r="K46" s="18" t="n">
        <v>0.24608507</v>
      </c>
      <c r="L46" s="20" t="n">
        <v>0.20558629</v>
      </c>
      <c r="M46" s="18" t="n">
        <v>0.15822423</v>
      </c>
      <c r="N46" s="20" t="n">
        <v>0.12767243</v>
      </c>
      <c r="O46" s="18" t="n">
        <v>0</v>
      </c>
      <c r="P46" s="20" t="n">
        <v>0</v>
      </c>
      <c r="Q46" s="18" t="n">
        <v>6.24238795</v>
      </c>
      <c r="R46" s="20" t="n">
        <v>0.8297804</v>
      </c>
    </row>
    <row r="47" spans="1:18">
      <c r="A47" s="15" t="s">
        <v>471</v>
      </c>
      <c r="B47" s="17" t="n">
        <v>3105</v>
      </c>
      <c r="C47" s="18">
        <f>(2737.0/B47*100)</f>
        <v/>
      </c>
      <c r="D47" s="19" t="n">
        <v>368</v>
      </c>
      <c r="E47" s="18" t="n">
        <v>30.33521802</v>
      </c>
      <c r="F47" s="20" t="n">
        <v>2.07226077</v>
      </c>
      <c r="G47" s="18" t="n">
        <v>57.51992091</v>
      </c>
      <c r="H47" s="20" t="n">
        <v>2.6288077</v>
      </c>
      <c r="I47" s="18" t="s">
        <v>431</v>
      </c>
      <c r="J47" s="20" t="s">
        <v>431</v>
      </c>
      <c r="K47" s="18" t="n">
        <v>0</v>
      </c>
      <c r="L47" s="20" t="n">
        <v>0</v>
      </c>
      <c r="M47" s="18" t="n">
        <v>0</v>
      </c>
      <c r="N47" s="20" t="n">
        <v>0</v>
      </c>
      <c r="O47" s="18" t="n">
        <v>0</v>
      </c>
      <c r="P47" s="20" t="n">
        <v>0</v>
      </c>
      <c r="Q47" s="18" t="n">
        <v>12.14486107</v>
      </c>
      <c r="R47" s="20" t="n">
        <v>1.84114418</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(4949.0/B50*100)</f>
        <v/>
      </c>
      <c r="D50" s="19" t="n">
        <v>688</v>
      </c>
      <c r="E50" s="18" t="n">
        <v>23.0138556</v>
      </c>
      <c r="F50" s="20" t="n">
        <v>2.17538862</v>
      </c>
      <c r="G50" s="18" t="n">
        <v>75.17126288</v>
      </c>
      <c r="H50" s="20" t="n">
        <v>2.15806995</v>
      </c>
      <c r="I50" s="18" t="s">
        <v>431</v>
      </c>
      <c r="J50" s="20" t="s">
        <v>431</v>
      </c>
      <c r="K50" s="18" t="n">
        <v>0.35052551</v>
      </c>
      <c r="L50" s="20" t="n">
        <v>0.34829443</v>
      </c>
      <c r="M50" s="18" t="n">
        <v>0.007814</v>
      </c>
      <c r="N50" s="20" t="n">
        <v>0.0074585</v>
      </c>
      <c r="O50" s="18" t="n">
        <v>0</v>
      </c>
      <c r="P50" s="20" t="n">
        <v>0</v>
      </c>
      <c r="Q50" s="18" t="n">
        <v>1.456542</v>
      </c>
      <c r="R50" s="20" t="n">
        <v>0.59942398</v>
      </c>
    </row>
    <row r="51" spans="1:18">
      <c r="A51" s="15" t="s">
        <v>475</v>
      </c>
      <c r="B51" s="17" t="n">
        <v>3372</v>
      </c>
      <c r="C51" s="18">
        <f>(3020.0/B51*100)</f>
        <v/>
      </c>
      <c r="D51" s="19" t="n">
        <v>352</v>
      </c>
      <c r="E51" s="18" t="n">
        <v>46.90513488</v>
      </c>
      <c r="F51" s="20" t="n">
        <v>2.71936811</v>
      </c>
      <c r="G51" s="18" t="n">
        <v>50.81418695</v>
      </c>
      <c r="H51" s="20" t="n">
        <v>2.63182253</v>
      </c>
      <c r="I51" s="18" t="s">
        <v>431</v>
      </c>
      <c r="J51" s="20" t="s">
        <v>431</v>
      </c>
      <c r="K51" s="18" t="n">
        <v>0</v>
      </c>
      <c r="L51" s="20" t="n">
        <v>0</v>
      </c>
      <c r="M51" s="18" t="n">
        <v>0</v>
      </c>
      <c r="N51" s="20" t="n">
        <v>0</v>
      </c>
      <c r="O51" s="18" t="n">
        <v>0</v>
      </c>
      <c r="P51" s="20" t="n">
        <v>0</v>
      </c>
      <c r="Q51" s="18" t="n">
        <v>2.28067817</v>
      </c>
      <c r="R51" s="20" t="n">
        <v>0.8093161800000001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(2476.0/B53*100)</f>
        <v/>
      </c>
      <c r="D53" s="19" t="n">
        <v>335</v>
      </c>
      <c r="E53" s="18" t="n">
        <v>23.17845596</v>
      </c>
      <c r="F53" s="20" t="n">
        <v>2.47518263</v>
      </c>
      <c r="G53" s="18" t="n">
        <v>72.33922607</v>
      </c>
      <c r="H53" s="20" t="n">
        <v>2.70368621</v>
      </c>
      <c r="I53" s="18" t="s">
        <v>431</v>
      </c>
      <c r="J53" s="20" t="s">
        <v>431</v>
      </c>
      <c r="K53" s="18" t="n">
        <v>0.219845</v>
      </c>
      <c r="L53" s="20" t="n">
        <v>0.22219962</v>
      </c>
      <c r="M53" s="18" t="n">
        <v>0</v>
      </c>
      <c r="N53" s="20" t="n">
        <v>0</v>
      </c>
      <c r="O53" s="18" t="n">
        <v>0</v>
      </c>
      <c r="P53" s="20" t="n">
        <v>0</v>
      </c>
      <c r="Q53" s="18" t="n">
        <v>4.26247297</v>
      </c>
      <c r="R53" s="20" t="n">
        <v>1.02510779</v>
      </c>
    </row>
    <row r="54" spans="1:18">
      <c r="A54" s="15" t="s">
        <v>478</v>
      </c>
      <c r="B54" s="17" t="n">
        <v>2266</v>
      </c>
      <c r="C54" s="18">
        <f>(1901.0/B54*100)</f>
        <v/>
      </c>
      <c r="D54" s="19" t="n">
        <v>365</v>
      </c>
      <c r="E54" s="18" t="n">
        <v>37.88362254</v>
      </c>
      <c r="F54" s="20" t="n">
        <v>2.88649515</v>
      </c>
      <c r="G54" s="18" t="n">
        <v>52.32185722</v>
      </c>
      <c r="H54" s="20" t="n">
        <v>2.96020587</v>
      </c>
      <c r="I54" s="18" t="s">
        <v>431</v>
      </c>
      <c r="J54" s="20" t="s">
        <v>431</v>
      </c>
      <c r="K54" s="18" t="n">
        <v>1.6878445</v>
      </c>
      <c r="L54" s="20" t="n">
        <v>0.4713314</v>
      </c>
      <c r="M54" s="18" t="n">
        <v>1.09362804</v>
      </c>
      <c r="N54" s="20" t="n">
        <v>0.89929875</v>
      </c>
      <c r="O54" s="18" t="n">
        <v>0</v>
      </c>
      <c r="P54" s="20" t="n">
        <v>0</v>
      </c>
      <c r="Q54" s="18" t="n">
        <v>7.0130477</v>
      </c>
      <c r="R54" s="20" t="n">
        <v>1.78102456</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(3085.0/B67*100)</f>
        <v/>
      </c>
      <c r="D67" s="19" t="n">
        <v>426</v>
      </c>
      <c r="E67" s="18" t="n">
        <v>28.56661487</v>
      </c>
      <c r="F67" s="20" t="n">
        <v>2.13409053</v>
      </c>
      <c r="G67" s="18" t="n">
        <v>70.14597012</v>
      </c>
      <c r="H67" s="20" t="n">
        <v>2.14542339</v>
      </c>
      <c r="I67" s="18" t="s">
        <v>431</v>
      </c>
      <c r="J67" s="20" t="s">
        <v>431</v>
      </c>
      <c r="K67" s="18" t="n">
        <v>0</v>
      </c>
      <c r="L67" s="20" t="n">
        <v>0</v>
      </c>
      <c r="M67" s="18" t="n">
        <v>0</v>
      </c>
      <c r="N67" s="20" t="n">
        <v>0</v>
      </c>
      <c r="O67" s="18" t="n">
        <v>0</v>
      </c>
      <c r="P67" s="20" t="n">
        <v>0</v>
      </c>
      <c r="Q67" s="18" t="n">
        <v>1.28741501</v>
      </c>
      <c r="R67" s="20" t="n">
        <v>0.43988189</v>
      </c>
    </row>
    <row r="68" spans="1:18">
      <c r="A68" s="15" t="s">
        <v>492</v>
      </c>
      <c r="B68" s="17" t="n">
        <v>6049</v>
      </c>
      <c r="C68" s="18">
        <f>(5025.0/B68*100)</f>
        <v/>
      </c>
      <c r="D68" s="19" t="n">
        <v>1024</v>
      </c>
      <c r="E68" s="18" t="n">
        <v>42.9403484</v>
      </c>
      <c r="F68" s="20" t="n">
        <v>1.37337741</v>
      </c>
      <c r="G68" s="18" t="n">
        <v>47.10544089</v>
      </c>
      <c r="H68" s="20" t="n">
        <v>1.47081746</v>
      </c>
      <c r="I68" s="18" t="s">
        <v>431</v>
      </c>
      <c r="J68" s="20" t="s">
        <v>431</v>
      </c>
      <c r="K68" s="18" t="n">
        <v>2.62423561</v>
      </c>
      <c r="L68" s="20" t="n">
        <v>0.46938041</v>
      </c>
      <c r="M68" s="18" t="n">
        <v>0.09416162</v>
      </c>
      <c r="N68" s="20" t="n">
        <v>0.09420777</v>
      </c>
      <c r="O68" s="18" t="n">
        <v>0</v>
      </c>
      <c r="P68" s="20" t="n">
        <v>0</v>
      </c>
      <c r="Q68" s="18" t="n">
        <v>7.23581347</v>
      </c>
      <c r="R68" s="20" t="n">
        <v>0.8250888</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(2137.0/B75*100)</f>
        <v/>
      </c>
      <c r="D75" s="19" t="n">
        <v>269</v>
      </c>
      <c r="E75" s="18" t="n">
        <v>36.29883153</v>
      </c>
      <c r="F75" s="20" t="n">
        <v>3.35360083</v>
      </c>
      <c r="G75" s="18" t="n">
        <v>47.97801963</v>
      </c>
      <c r="H75" s="20" t="n">
        <v>3.89374676</v>
      </c>
      <c r="I75" s="18" t="s">
        <v>431</v>
      </c>
      <c r="J75" s="20" t="s">
        <v>431</v>
      </c>
      <c r="K75" s="18" t="n">
        <v>0.65541329</v>
      </c>
      <c r="L75" s="20" t="n">
        <v>0.3877342</v>
      </c>
      <c r="M75" s="18" t="n">
        <v>0</v>
      </c>
      <c r="N75" s="20" t="n">
        <v>0</v>
      </c>
      <c r="O75" s="18" t="n">
        <v>0</v>
      </c>
      <c r="P75" s="20" t="n">
        <v>0</v>
      </c>
      <c r="Q75" s="18" t="n">
        <v>15.06773555</v>
      </c>
      <c r="R75" s="20" t="n">
        <v>3.05663258</v>
      </c>
    </row>
    <row r="76" spans="1:18">
      <c r="A76" s="15" t="s">
        <v>500</v>
      </c>
      <c r="B76" s="17" t="n">
        <v>7052</v>
      </c>
      <c r="C76" s="18">
        <f>(6199.0/B76*100)</f>
        <v/>
      </c>
      <c r="D76" s="19" t="n">
        <v>853</v>
      </c>
      <c r="E76" s="18" t="n">
        <v>37.35732761</v>
      </c>
      <c r="F76" s="20" t="n">
        <v>2.32790739</v>
      </c>
      <c r="G76" s="18" t="n">
        <v>57.20979769</v>
      </c>
      <c r="H76" s="20" t="n">
        <v>2.20730758</v>
      </c>
      <c r="I76" s="18" t="s">
        <v>431</v>
      </c>
      <c r="J76" s="20" t="s">
        <v>431</v>
      </c>
      <c r="K76" s="18" t="n">
        <v>0.73449036</v>
      </c>
      <c r="L76" s="20" t="n">
        <v>0.26989217</v>
      </c>
      <c r="M76" s="18" t="n">
        <v>0.27512615</v>
      </c>
      <c r="N76" s="20" t="n">
        <v>0.17817956</v>
      </c>
      <c r="O76" s="18" t="n">
        <v>0</v>
      </c>
      <c r="P76" s="20" t="n">
        <v>0</v>
      </c>
      <c r="Q76" s="18" t="n">
        <v>4.4232582</v>
      </c>
      <c r="R76" s="20" t="n">
        <v>1.04638946</v>
      </c>
    </row>
    <row r="77" spans="1:18">
      <c r="A77" s="15" t="s">
        <v>501</v>
      </c>
      <c r="B77" s="17" t="n">
        <v>2908</v>
      </c>
      <c r="C77" s="18">
        <f>(2581.0/B77*100)</f>
        <v/>
      </c>
      <c r="D77" s="19" t="n">
        <v>327</v>
      </c>
      <c r="E77" s="18" t="n">
        <v>19.92965744</v>
      </c>
      <c r="F77" s="20" t="n">
        <v>1.94009865</v>
      </c>
      <c r="G77" s="18" t="n">
        <v>75.61873998</v>
      </c>
      <c r="H77" s="20" t="n">
        <v>2.4477952</v>
      </c>
      <c r="I77" s="18" t="s">
        <v>431</v>
      </c>
      <c r="J77" s="20" t="s">
        <v>431</v>
      </c>
      <c r="K77" s="18" t="n">
        <v>0</v>
      </c>
      <c r="L77" s="20" t="n">
        <v>0</v>
      </c>
      <c r="M77" s="18" t="n">
        <v>0</v>
      </c>
      <c r="N77" s="20" t="n">
        <v>0</v>
      </c>
      <c r="O77" s="18" t="n">
        <v>0</v>
      </c>
      <c r="P77" s="20" t="n">
        <v>0</v>
      </c>
      <c r="Q77" s="18" t="n">
        <v>4.45160257</v>
      </c>
      <c r="R77" s="20" t="n">
        <v>1.31190685</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(3668.0/B81*100)</f>
        <v/>
      </c>
      <c r="D81" s="19" t="n">
        <v>495</v>
      </c>
      <c r="E81" s="18" t="n">
        <v>28.41460447</v>
      </c>
      <c r="F81" s="20" t="n">
        <v>2.27204506</v>
      </c>
      <c r="G81" s="18" t="n">
        <v>67.98460188999999</v>
      </c>
      <c r="H81" s="20" t="n">
        <v>2.56149361</v>
      </c>
      <c r="I81" s="18" t="s">
        <v>431</v>
      </c>
      <c r="J81" s="20" t="s">
        <v>431</v>
      </c>
      <c r="K81" s="18" t="n">
        <v>0.7097358499999999</v>
      </c>
      <c r="L81" s="20" t="n">
        <v>0.51155624</v>
      </c>
      <c r="M81" s="18" t="n">
        <v>0</v>
      </c>
      <c r="N81" s="20" t="n">
        <v>0</v>
      </c>
      <c r="O81" s="18" t="n">
        <v>0</v>
      </c>
      <c r="P81" s="20" t="n">
        <v>0</v>
      </c>
      <c r="Q81" s="18" t="n">
        <v>2.89105779</v>
      </c>
      <c r="R81" s="20" t="n">
        <v>0.98746587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(3124.0/B11*100)</f>
        <v/>
      </c>
      <c r="D11" s="19" t="n">
        <v>429</v>
      </c>
      <c r="E11" s="18" t="n">
        <v>7.19354081</v>
      </c>
      <c r="F11" s="20" t="n">
        <v>1.42727117</v>
      </c>
      <c r="G11" s="18" t="n">
        <v>91.26104657</v>
      </c>
      <c r="H11" s="20" t="n">
        <v>1.6010456</v>
      </c>
      <c r="I11" s="18" t="s">
        <v>431</v>
      </c>
      <c r="J11" s="20" t="s">
        <v>431</v>
      </c>
      <c r="K11" s="18" t="n">
        <v>0.91757836</v>
      </c>
      <c r="L11" s="20" t="n">
        <v>0.73693133</v>
      </c>
      <c r="M11" s="18" t="n">
        <v>0</v>
      </c>
      <c r="N11" s="20" t="n">
        <v>0</v>
      </c>
      <c r="O11" s="18" t="n">
        <v>0</v>
      </c>
      <c r="P11" s="20" t="n">
        <v>0</v>
      </c>
      <c r="Q11" s="18" t="n">
        <v>0.62783427</v>
      </c>
      <c r="R11" s="20" t="n">
        <v>0.39317769</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(3332.0/B28*100)</f>
        <v/>
      </c>
      <c r="D28" s="19" t="n">
        <v>433</v>
      </c>
      <c r="E28" s="18" t="n">
        <v>18.16843787</v>
      </c>
      <c r="F28" s="20" t="n">
        <v>1.85441864</v>
      </c>
      <c r="G28" s="18" t="n">
        <v>81.19476229</v>
      </c>
      <c r="H28" s="20" t="n">
        <v>1.78212774</v>
      </c>
      <c r="I28" s="18" t="s">
        <v>431</v>
      </c>
      <c r="J28" s="20" t="s">
        <v>431</v>
      </c>
      <c r="K28" s="18" t="n">
        <v>0.43136686</v>
      </c>
      <c r="L28" s="20" t="n">
        <v>0.43577028</v>
      </c>
      <c r="M28" s="18" t="n">
        <v>0</v>
      </c>
      <c r="N28" s="20" t="n">
        <v>0</v>
      </c>
      <c r="O28" s="18" t="n">
        <v>0</v>
      </c>
      <c r="P28" s="20" t="n">
        <v>0</v>
      </c>
      <c r="Q28" s="18" t="n">
        <v>0.20543298</v>
      </c>
      <c r="R28" s="20" t="n">
        <v>0.20123055</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(9734.0/B46*100)</f>
        <v/>
      </c>
      <c r="D46" s="19" t="n">
        <v>1334</v>
      </c>
      <c r="E46" s="18" t="n">
        <v>19.26256819</v>
      </c>
      <c r="F46" s="20" t="n">
        <v>1.27055989</v>
      </c>
      <c r="G46" s="18" t="n">
        <v>79.60214019999999</v>
      </c>
      <c r="H46" s="20" t="n">
        <v>1.39017874</v>
      </c>
      <c r="I46" s="18" t="s">
        <v>431</v>
      </c>
      <c r="J46" s="20" t="s">
        <v>431</v>
      </c>
      <c r="K46" s="18" t="n">
        <v>0.24444862</v>
      </c>
      <c r="L46" s="20" t="n">
        <v>0.20422758</v>
      </c>
      <c r="M46" s="18" t="n">
        <v>0</v>
      </c>
      <c r="N46" s="20" t="n">
        <v>0</v>
      </c>
      <c r="O46" s="18" t="n">
        <v>0</v>
      </c>
      <c r="P46" s="20" t="n">
        <v>0</v>
      </c>
      <c r="Q46" s="18" t="n">
        <v>0.89084299</v>
      </c>
      <c r="R46" s="20" t="n">
        <v>0.30057019</v>
      </c>
    </row>
    <row r="47" spans="1:18">
      <c r="A47" s="15" t="s">
        <v>471</v>
      </c>
      <c r="B47" s="17" t="n">
        <v>3105</v>
      </c>
      <c r="C47" s="18">
        <f>(2737.0/B47*100)</f>
        <v/>
      </c>
      <c r="D47" s="19" t="n">
        <v>368</v>
      </c>
      <c r="E47" s="18" t="n">
        <v>24.46367436</v>
      </c>
      <c r="F47" s="20" t="n">
        <v>2.43265478</v>
      </c>
      <c r="G47" s="18" t="n">
        <v>73.97571958</v>
      </c>
      <c r="H47" s="20" t="n">
        <v>2.4047982</v>
      </c>
      <c r="I47" s="18" t="s">
        <v>431</v>
      </c>
      <c r="J47" s="20" t="s">
        <v>431</v>
      </c>
      <c r="K47" s="18" t="n">
        <v>0</v>
      </c>
      <c r="L47" s="20" t="n">
        <v>0</v>
      </c>
      <c r="M47" s="18" t="n">
        <v>0</v>
      </c>
      <c r="N47" s="20" t="n">
        <v>0</v>
      </c>
      <c r="O47" s="18" t="n">
        <v>0</v>
      </c>
      <c r="P47" s="20" t="n">
        <v>0</v>
      </c>
      <c r="Q47" s="18" t="n">
        <v>1.56060606</v>
      </c>
      <c r="R47" s="20" t="n">
        <v>0.69818406</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(4947.0/B50*100)</f>
        <v/>
      </c>
      <c r="D50" s="19" t="n">
        <v>690</v>
      </c>
      <c r="E50" s="18" t="n">
        <v>13.08857807</v>
      </c>
      <c r="F50" s="20" t="n">
        <v>1.65670157</v>
      </c>
      <c r="G50" s="18" t="n">
        <v>85.89538783</v>
      </c>
      <c r="H50" s="20" t="n">
        <v>1.8228332</v>
      </c>
      <c r="I50" s="18" t="s">
        <v>431</v>
      </c>
      <c r="J50" s="20" t="s">
        <v>431</v>
      </c>
      <c r="K50" s="18" t="n">
        <v>0.34898569</v>
      </c>
      <c r="L50" s="20" t="n">
        <v>0.34676963</v>
      </c>
      <c r="M50" s="18" t="n">
        <v>0</v>
      </c>
      <c r="N50" s="20" t="n">
        <v>0</v>
      </c>
      <c r="O50" s="18" t="n">
        <v>0</v>
      </c>
      <c r="P50" s="20" t="n">
        <v>0</v>
      </c>
      <c r="Q50" s="18" t="n">
        <v>0.66704841</v>
      </c>
      <c r="R50" s="20" t="n">
        <v>0.41624586</v>
      </c>
    </row>
    <row r="51" spans="1:18">
      <c r="A51" s="15" t="s">
        <v>475</v>
      </c>
      <c r="B51" s="17" t="n">
        <v>3372</v>
      </c>
      <c r="C51" s="18">
        <f>(3020.0/B51*100)</f>
        <v/>
      </c>
      <c r="D51" s="19" t="n">
        <v>352</v>
      </c>
      <c r="E51" s="18" t="n">
        <v>8.167814010000001</v>
      </c>
      <c r="F51" s="20" t="n">
        <v>1.52796224</v>
      </c>
      <c r="G51" s="18" t="n">
        <v>90.36273642</v>
      </c>
      <c r="H51" s="20" t="n">
        <v>1.6512995</v>
      </c>
      <c r="I51" s="18" t="s">
        <v>431</v>
      </c>
      <c r="J51" s="20" t="s">
        <v>431</v>
      </c>
      <c r="K51" s="18" t="n">
        <v>0</v>
      </c>
      <c r="L51" s="20" t="n">
        <v>0</v>
      </c>
      <c r="M51" s="18" t="n">
        <v>0</v>
      </c>
      <c r="N51" s="20" t="n">
        <v>0</v>
      </c>
      <c r="O51" s="18" t="n">
        <v>0</v>
      </c>
      <c r="P51" s="20" t="n">
        <v>0</v>
      </c>
      <c r="Q51" s="18" t="n">
        <v>1.46944957</v>
      </c>
      <c r="R51" s="20" t="n">
        <v>0.65215436</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(2476.0/B53*100)</f>
        <v/>
      </c>
      <c r="D53" s="19" t="n">
        <v>335</v>
      </c>
      <c r="E53" s="18" t="n">
        <v>17.44877289</v>
      </c>
      <c r="F53" s="20" t="n">
        <v>2.02947076</v>
      </c>
      <c r="G53" s="18" t="n">
        <v>81.56972193999999</v>
      </c>
      <c r="H53" s="20" t="n">
        <v>2.09461023</v>
      </c>
      <c r="I53" s="18" t="s">
        <v>431</v>
      </c>
      <c r="J53" s="20" t="s">
        <v>431</v>
      </c>
      <c r="K53" s="18" t="n">
        <v>0.219845</v>
      </c>
      <c r="L53" s="20" t="n">
        <v>0.22219962</v>
      </c>
      <c r="M53" s="18" t="n">
        <v>0</v>
      </c>
      <c r="N53" s="20" t="n">
        <v>0</v>
      </c>
      <c r="O53" s="18" t="n">
        <v>0</v>
      </c>
      <c r="P53" s="20" t="n">
        <v>0</v>
      </c>
      <c r="Q53" s="18" t="n">
        <v>0.76166016</v>
      </c>
      <c r="R53" s="20" t="n">
        <v>0.45207168</v>
      </c>
    </row>
    <row r="54" spans="1:18">
      <c r="A54" s="15" t="s">
        <v>478</v>
      </c>
      <c r="B54" s="17" t="n">
        <v>2266</v>
      </c>
      <c r="C54" s="18">
        <f>(1901.0/B54*100)</f>
        <v/>
      </c>
      <c r="D54" s="19" t="n">
        <v>365</v>
      </c>
      <c r="E54" s="18" t="n">
        <v>24.68770538</v>
      </c>
      <c r="F54" s="20" t="n">
        <v>2.56699933</v>
      </c>
      <c r="G54" s="18" t="n">
        <v>69.11183991</v>
      </c>
      <c r="H54" s="20" t="n">
        <v>2.97685238</v>
      </c>
      <c r="I54" s="18" t="s">
        <v>431</v>
      </c>
      <c r="J54" s="20" t="s">
        <v>431</v>
      </c>
      <c r="K54" s="18" t="n">
        <v>2.22928603</v>
      </c>
      <c r="L54" s="20" t="n">
        <v>0.73177249</v>
      </c>
      <c r="M54" s="18" t="n">
        <v>0</v>
      </c>
      <c r="N54" s="20" t="n">
        <v>0</v>
      </c>
      <c r="O54" s="18" t="n">
        <v>0</v>
      </c>
      <c r="P54" s="20" t="n">
        <v>0</v>
      </c>
      <c r="Q54" s="18" t="n">
        <v>3.97116869</v>
      </c>
      <c r="R54" s="20" t="n">
        <v>1.2521508</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(3085.0/B67*100)</f>
        <v/>
      </c>
      <c r="D67" s="19" t="n">
        <v>426</v>
      </c>
      <c r="E67" s="18" t="n">
        <v>19.13332592</v>
      </c>
      <c r="F67" s="20" t="n">
        <v>2.06243528</v>
      </c>
      <c r="G67" s="18" t="n">
        <v>80.50881142999999</v>
      </c>
      <c r="H67" s="20" t="n">
        <v>2.10024401</v>
      </c>
      <c r="I67" s="18" t="s">
        <v>431</v>
      </c>
      <c r="J67" s="20" t="s">
        <v>431</v>
      </c>
      <c r="K67" s="18" t="n">
        <v>0</v>
      </c>
      <c r="L67" s="20" t="n">
        <v>0</v>
      </c>
      <c r="M67" s="18" t="n">
        <v>0</v>
      </c>
      <c r="N67" s="20" t="n">
        <v>0</v>
      </c>
      <c r="O67" s="18" t="n">
        <v>0</v>
      </c>
      <c r="P67" s="20" t="n">
        <v>0</v>
      </c>
      <c r="Q67" s="18" t="n">
        <v>0.35786264</v>
      </c>
      <c r="R67" s="20" t="n">
        <v>0.25914482</v>
      </c>
    </row>
    <row r="68" spans="1:18">
      <c r="A68" s="15" t="s">
        <v>492</v>
      </c>
      <c r="B68" s="17" t="n">
        <v>6049</v>
      </c>
      <c r="C68" s="18">
        <f>(5025.0/B68*100)</f>
        <v/>
      </c>
      <c r="D68" s="19" t="n">
        <v>1024</v>
      </c>
      <c r="E68" s="18" t="n">
        <v>24.79589632</v>
      </c>
      <c r="F68" s="20" t="n">
        <v>1.44307232</v>
      </c>
      <c r="G68" s="18" t="n">
        <v>71.15130737</v>
      </c>
      <c r="H68" s="20" t="n">
        <v>1.4988035</v>
      </c>
      <c r="I68" s="18" t="s">
        <v>431</v>
      </c>
      <c r="J68" s="20" t="s">
        <v>431</v>
      </c>
      <c r="K68" s="18" t="n">
        <v>2.62423561</v>
      </c>
      <c r="L68" s="20" t="n">
        <v>0.46938041</v>
      </c>
      <c r="M68" s="18" t="n">
        <v>0</v>
      </c>
      <c r="N68" s="20" t="n">
        <v>0</v>
      </c>
      <c r="O68" s="18" t="n">
        <v>0</v>
      </c>
      <c r="P68" s="20" t="n">
        <v>0</v>
      </c>
      <c r="Q68" s="18" t="n">
        <v>1.4285607</v>
      </c>
      <c r="R68" s="20" t="n">
        <v>0.36865524</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(2138.0/B75*100)</f>
        <v/>
      </c>
      <c r="D75" s="19" t="n">
        <v>268</v>
      </c>
      <c r="E75" s="18" t="n">
        <v>33.92721464</v>
      </c>
      <c r="F75" s="20" t="n">
        <v>2.98182198</v>
      </c>
      <c r="G75" s="18" t="n">
        <v>63.27690712</v>
      </c>
      <c r="H75" s="20" t="n">
        <v>2.93526994</v>
      </c>
      <c r="I75" s="18" t="s">
        <v>431</v>
      </c>
      <c r="J75" s="20" t="s">
        <v>431</v>
      </c>
      <c r="K75" s="18" t="n">
        <v>0.6579762300000001</v>
      </c>
      <c r="L75" s="20" t="n">
        <v>0.38855533</v>
      </c>
      <c r="M75" s="18" t="n">
        <v>0</v>
      </c>
      <c r="N75" s="20" t="n">
        <v>0</v>
      </c>
      <c r="O75" s="18" t="n">
        <v>0</v>
      </c>
      <c r="P75" s="20" t="n">
        <v>0</v>
      </c>
      <c r="Q75" s="18" t="n">
        <v>2.13790201</v>
      </c>
      <c r="R75" s="20" t="n">
        <v>0.92339802</v>
      </c>
    </row>
    <row r="76" spans="1:18">
      <c r="A76" s="15" t="s">
        <v>500</v>
      </c>
      <c r="B76" s="17" t="n">
        <v>7052</v>
      </c>
      <c r="C76" s="18">
        <f>(6201.0/B76*100)</f>
        <v/>
      </c>
      <c r="D76" s="19" t="n">
        <v>851</v>
      </c>
      <c r="E76" s="18" t="n">
        <v>17.15901445</v>
      </c>
      <c r="F76" s="20" t="n">
        <v>1.48495964</v>
      </c>
      <c r="G76" s="18" t="n">
        <v>80.45238356</v>
      </c>
      <c r="H76" s="20" t="n">
        <v>1.56601948</v>
      </c>
      <c r="I76" s="18" t="s">
        <v>431</v>
      </c>
      <c r="J76" s="20" t="s">
        <v>431</v>
      </c>
      <c r="K76" s="18" t="n">
        <v>0.73592927</v>
      </c>
      <c r="L76" s="20" t="n">
        <v>0.2703959</v>
      </c>
      <c r="M76" s="18" t="n">
        <v>0</v>
      </c>
      <c r="N76" s="20" t="n">
        <v>0</v>
      </c>
      <c r="O76" s="18" t="n">
        <v>0</v>
      </c>
      <c r="P76" s="20" t="n">
        <v>0</v>
      </c>
      <c r="Q76" s="18" t="n">
        <v>1.65267272</v>
      </c>
      <c r="R76" s="20" t="n">
        <v>0.67013635</v>
      </c>
    </row>
    <row r="77" spans="1:18">
      <c r="A77" s="15" t="s">
        <v>501</v>
      </c>
      <c r="B77" s="17" t="n">
        <v>2908</v>
      </c>
      <c r="C77" s="18">
        <f>(2580.0/B77*100)</f>
        <v/>
      </c>
      <c r="D77" s="19" t="n">
        <v>328</v>
      </c>
      <c r="E77" s="18" t="n">
        <v>16.39117772</v>
      </c>
      <c r="F77" s="20" t="n">
        <v>2.6413385</v>
      </c>
      <c r="G77" s="18" t="n">
        <v>82.22531121999999</v>
      </c>
      <c r="H77" s="20" t="n">
        <v>2.5805428</v>
      </c>
      <c r="I77" s="18" t="s">
        <v>431</v>
      </c>
      <c r="J77" s="20" t="s">
        <v>431</v>
      </c>
      <c r="K77" s="18" t="n">
        <v>0</v>
      </c>
      <c r="L77" s="20" t="n">
        <v>0</v>
      </c>
      <c r="M77" s="18" t="n">
        <v>0</v>
      </c>
      <c r="N77" s="20" t="n">
        <v>0</v>
      </c>
      <c r="O77" s="18" t="n">
        <v>0</v>
      </c>
      <c r="P77" s="20" t="n">
        <v>0</v>
      </c>
      <c r="Q77" s="18" t="n">
        <v>1.38351107</v>
      </c>
      <c r="R77" s="20" t="n">
        <v>0.69672176</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(3668.0/B81*100)</f>
        <v/>
      </c>
      <c r="D81" s="19" t="n">
        <v>495</v>
      </c>
      <c r="E81" s="18" t="n">
        <v>10.01177581</v>
      </c>
      <c r="F81" s="20" t="n">
        <v>2.00671258</v>
      </c>
      <c r="G81" s="18" t="n">
        <v>88.21089852</v>
      </c>
      <c r="H81" s="20" t="n">
        <v>2.24978293</v>
      </c>
      <c r="I81" s="18" t="s">
        <v>431</v>
      </c>
      <c r="J81" s="20" t="s">
        <v>431</v>
      </c>
      <c r="K81" s="18" t="n">
        <v>0.7097358499999999</v>
      </c>
      <c r="L81" s="20" t="n">
        <v>0.51155624</v>
      </c>
      <c r="M81" s="18" t="n">
        <v>0</v>
      </c>
      <c r="N81" s="20" t="n">
        <v>0</v>
      </c>
      <c r="O81" s="18" t="n">
        <v>0</v>
      </c>
      <c r="P81" s="20" t="n">
        <v>0</v>
      </c>
      <c r="Q81" s="18" t="n">
        <v>1.06758982</v>
      </c>
      <c r="R81" s="20" t="n">
        <v>0.53611471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(3124.0/B11*100)</f>
        <v/>
      </c>
      <c r="D11" s="19" t="n">
        <v>429</v>
      </c>
      <c r="E11" s="18" t="n">
        <v>24.97880885</v>
      </c>
      <c r="F11" s="20" t="n">
        <v>2.35078837</v>
      </c>
      <c r="G11" s="18" t="n">
        <v>73.02716365000001</v>
      </c>
      <c r="H11" s="20" t="n">
        <v>2.28121161</v>
      </c>
      <c r="I11" s="18" t="s">
        <v>431</v>
      </c>
      <c r="J11" s="20" t="s">
        <v>431</v>
      </c>
      <c r="K11" s="18" t="n">
        <v>0.91757836</v>
      </c>
      <c r="L11" s="20" t="n">
        <v>0.73693133</v>
      </c>
      <c r="M11" s="18" t="n">
        <v>0</v>
      </c>
      <c r="N11" s="20" t="n">
        <v>0</v>
      </c>
      <c r="O11" s="18" t="n">
        <v>0</v>
      </c>
      <c r="P11" s="20" t="n">
        <v>0</v>
      </c>
      <c r="Q11" s="18" t="n">
        <v>1.07644914</v>
      </c>
      <c r="R11" s="20" t="n">
        <v>0.58282784</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(3332.0/B28*100)</f>
        <v/>
      </c>
      <c r="D28" s="19" t="n">
        <v>433</v>
      </c>
      <c r="E28" s="18" t="n">
        <v>41.49990063</v>
      </c>
      <c r="F28" s="20" t="n">
        <v>2.37871028</v>
      </c>
      <c r="G28" s="18" t="n">
        <v>57.80870901</v>
      </c>
      <c r="H28" s="20" t="n">
        <v>2.47066222</v>
      </c>
      <c r="I28" s="18" t="s">
        <v>431</v>
      </c>
      <c r="J28" s="20" t="s">
        <v>431</v>
      </c>
      <c r="K28" s="18" t="n">
        <v>0.43136686</v>
      </c>
      <c r="L28" s="20" t="n">
        <v>0.43577028</v>
      </c>
      <c r="M28" s="18" t="n">
        <v>0</v>
      </c>
      <c r="N28" s="20" t="n">
        <v>0</v>
      </c>
      <c r="O28" s="18" t="n">
        <v>0</v>
      </c>
      <c r="P28" s="20" t="n">
        <v>0</v>
      </c>
      <c r="Q28" s="18" t="n">
        <v>0.2600235</v>
      </c>
      <c r="R28" s="20" t="n">
        <v>0.27911059</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(9742.0/B46*100)</f>
        <v/>
      </c>
      <c r="D46" s="19" t="n">
        <v>1326</v>
      </c>
      <c r="E46" s="18" t="n">
        <v>47.94047389</v>
      </c>
      <c r="F46" s="20" t="n">
        <v>1.82697617</v>
      </c>
      <c r="G46" s="18" t="n">
        <v>50.53219528</v>
      </c>
      <c r="H46" s="20" t="n">
        <v>1.76735879</v>
      </c>
      <c r="I46" s="18" t="s">
        <v>431</v>
      </c>
      <c r="J46" s="20" t="s">
        <v>431</v>
      </c>
      <c r="K46" s="18" t="n">
        <v>0.24608507</v>
      </c>
      <c r="L46" s="20" t="n">
        <v>0.20558629</v>
      </c>
      <c r="M46" s="18" t="n">
        <v>0</v>
      </c>
      <c r="N46" s="20" t="n">
        <v>0</v>
      </c>
      <c r="O46" s="18" t="n">
        <v>0</v>
      </c>
      <c r="P46" s="20" t="n">
        <v>0</v>
      </c>
      <c r="Q46" s="18" t="n">
        <v>1.28124576</v>
      </c>
      <c r="R46" s="20" t="n">
        <v>0.39834549</v>
      </c>
    </row>
    <row r="47" spans="1:18">
      <c r="A47" s="15" t="s">
        <v>471</v>
      </c>
      <c r="B47" s="17" t="n">
        <v>3105</v>
      </c>
      <c r="C47" s="18">
        <f>(2737.0/B47*100)</f>
        <v/>
      </c>
      <c r="D47" s="19" t="n">
        <v>368</v>
      </c>
      <c r="E47" s="18" t="n">
        <v>38.71705685</v>
      </c>
      <c r="F47" s="20" t="n">
        <v>2.92838384</v>
      </c>
      <c r="G47" s="18" t="n">
        <v>59.74766395</v>
      </c>
      <c r="H47" s="20" t="n">
        <v>2.91351419</v>
      </c>
      <c r="I47" s="18" t="s">
        <v>431</v>
      </c>
      <c r="J47" s="20" t="s">
        <v>431</v>
      </c>
      <c r="K47" s="18" t="n">
        <v>0</v>
      </c>
      <c r="L47" s="20" t="n">
        <v>0</v>
      </c>
      <c r="M47" s="18" t="n">
        <v>0</v>
      </c>
      <c r="N47" s="20" t="n">
        <v>0</v>
      </c>
      <c r="O47" s="18" t="n">
        <v>0</v>
      </c>
      <c r="P47" s="20" t="n">
        <v>0</v>
      </c>
      <c r="Q47" s="18" t="n">
        <v>1.5352792</v>
      </c>
      <c r="R47" s="20" t="n">
        <v>0.6203473900000001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(4948.0/B50*100)</f>
        <v/>
      </c>
      <c r="D50" s="19" t="n">
        <v>689</v>
      </c>
      <c r="E50" s="18" t="n">
        <v>36.26285687</v>
      </c>
      <c r="F50" s="20" t="n">
        <v>2.6019697</v>
      </c>
      <c r="G50" s="18" t="n">
        <v>62.34019302</v>
      </c>
      <c r="H50" s="20" t="n">
        <v>2.65194395</v>
      </c>
      <c r="I50" s="18" t="s">
        <v>431</v>
      </c>
      <c r="J50" s="20" t="s">
        <v>431</v>
      </c>
      <c r="K50" s="18" t="n">
        <v>0.3497229</v>
      </c>
      <c r="L50" s="20" t="n">
        <v>0.34751502</v>
      </c>
      <c r="M50" s="18" t="n">
        <v>0</v>
      </c>
      <c r="N50" s="20" t="n">
        <v>0</v>
      </c>
      <c r="O50" s="18" t="n">
        <v>0</v>
      </c>
      <c r="P50" s="20" t="n">
        <v>0</v>
      </c>
      <c r="Q50" s="18" t="n">
        <v>1.04722722</v>
      </c>
      <c r="R50" s="20" t="n">
        <v>0.43637167</v>
      </c>
    </row>
    <row r="51" spans="1:18">
      <c r="A51" s="15" t="s">
        <v>475</v>
      </c>
      <c r="B51" s="17" t="n">
        <v>3372</v>
      </c>
      <c r="C51" s="18">
        <f>(3020.0/B51*100)</f>
        <v/>
      </c>
      <c r="D51" s="19" t="n">
        <v>352</v>
      </c>
      <c r="E51" s="18" t="n">
        <v>39.09689974</v>
      </c>
      <c r="F51" s="20" t="n">
        <v>2.50343468</v>
      </c>
      <c r="G51" s="18" t="n">
        <v>58.74006325</v>
      </c>
      <c r="H51" s="20" t="n">
        <v>2.61845284</v>
      </c>
      <c r="I51" s="18" t="s">
        <v>431</v>
      </c>
      <c r="J51" s="20" t="s">
        <v>431</v>
      </c>
      <c r="K51" s="18" t="n">
        <v>0</v>
      </c>
      <c r="L51" s="20" t="n">
        <v>0</v>
      </c>
      <c r="M51" s="18" t="n">
        <v>0</v>
      </c>
      <c r="N51" s="20" t="n">
        <v>0</v>
      </c>
      <c r="O51" s="18" t="n">
        <v>0</v>
      </c>
      <c r="P51" s="20" t="n">
        <v>0</v>
      </c>
      <c r="Q51" s="18" t="n">
        <v>2.16303701</v>
      </c>
      <c r="R51" s="20" t="n">
        <v>0.9161598399999999</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(2476.0/B53*100)</f>
        <v/>
      </c>
      <c r="D53" s="19" t="n">
        <v>335</v>
      </c>
      <c r="E53" s="18" t="n">
        <v>40.89357023</v>
      </c>
      <c r="F53" s="20" t="n">
        <v>3.07451084</v>
      </c>
      <c r="G53" s="18" t="n">
        <v>58.05410778</v>
      </c>
      <c r="H53" s="20" t="n">
        <v>2.90899505</v>
      </c>
      <c r="I53" s="18" t="s">
        <v>431</v>
      </c>
      <c r="J53" s="20" t="s">
        <v>431</v>
      </c>
      <c r="K53" s="18" t="n">
        <v>0.219845</v>
      </c>
      <c r="L53" s="20" t="n">
        <v>0.22219962</v>
      </c>
      <c r="M53" s="18" t="n">
        <v>0</v>
      </c>
      <c r="N53" s="20" t="n">
        <v>0</v>
      </c>
      <c r="O53" s="18" t="n">
        <v>0</v>
      </c>
      <c r="P53" s="20" t="n">
        <v>0</v>
      </c>
      <c r="Q53" s="18" t="n">
        <v>0.83247698</v>
      </c>
      <c r="R53" s="20" t="n">
        <v>0.49971993</v>
      </c>
    </row>
    <row r="54" spans="1:18">
      <c r="A54" s="15" t="s">
        <v>478</v>
      </c>
      <c r="B54" s="17" t="n">
        <v>2266</v>
      </c>
      <c r="C54" s="18">
        <f>(1901.0/B54*100)</f>
        <v/>
      </c>
      <c r="D54" s="19" t="n">
        <v>365</v>
      </c>
      <c r="E54" s="18" t="n">
        <v>50.31802056</v>
      </c>
      <c r="F54" s="20" t="n">
        <v>2.60179331</v>
      </c>
      <c r="G54" s="18" t="n">
        <v>43.53063788</v>
      </c>
      <c r="H54" s="20" t="n">
        <v>2.48170923</v>
      </c>
      <c r="I54" s="18" t="s">
        <v>431</v>
      </c>
      <c r="J54" s="20" t="s">
        <v>431</v>
      </c>
      <c r="K54" s="18" t="n">
        <v>2.48599705</v>
      </c>
      <c r="L54" s="20" t="n">
        <v>0.76563126</v>
      </c>
      <c r="M54" s="18" t="n">
        <v>0</v>
      </c>
      <c r="N54" s="20" t="n">
        <v>0</v>
      </c>
      <c r="O54" s="18" t="n">
        <v>0</v>
      </c>
      <c r="P54" s="20" t="n">
        <v>0</v>
      </c>
      <c r="Q54" s="18" t="n">
        <v>3.66534452</v>
      </c>
      <c r="R54" s="20" t="n">
        <v>1.20375941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(3085.0/B67*100)</f>
        <v/>
      </c>
      <c r="D67" s="19" t="n">
        <v>426</v>
      </c>
      <c r="E67" s="18" t="n">
        <v>52.7440784</v>
      </c>
      <c r="F67" s="20" t="n">
        <v>3.01550804</v>
      </c>
      <c r="G67" s="18" t="n">
        <v>46.46091915</v>
      </c>
      <c r="H67" s="20" t="n">
        <v>2.99215762</v>
      </c>
      <c r="I67" s="18" t="s">
        <v>431</v>
      </c>
      <c r="J67" s="20" t="s">
        <v>431</v>
      </c>
      <c r="K67" s="18" t="n">
        <v>0</v>
      </c>
      <c r="L67" s="20" t="n">
        <v>0</v>
      </c>
      <c r="M67" s="18" t="n">
        <v>0</v>
      </c>
      <c r="N67" s="20" t="n">
        <v>0</v>
      </c>
      <c r="O67" s="18" t="n">
        <v>0</v>
      </c>
      <c r="P67" s="20" t="n">
        <v>0</v>
      </c>
      <c r="Q67" s="18" t="n">
        <v>0.79500245</v>
      </c>
      <c r="R67" s="20" t="n">
        <v>0.40100431</v>
      </c>
    </row>
    <row r="68" spans="1:18">
      <c r="A68" s="15" t="s">
        <v>492</v>
      </c>
      <c r="B68" s="17" t="n">
        <v>6049</v>
      </c>
      <c r="C68" s="18">
        <f>(5025.0/B68*100)</f>
        <v/>
      </c>
      <c r="D68" s="19" t="n">
        <v>1024</v>
      </c>
      <c r="E68" s="18" t="n">
        <v>46.24603366</v>
      </c>
      <c r="F68" s="20" t="n">
        <v>1.50046086</v>
      </c>
      <c r="G68" s="18" t="n">
        <v>49.31659854</v>
      </c>
      <c r="H68" s="20" t="n">
        <v>1.50181522</v>
      </c>
      <c r="I68" s="18" t="s">
        <v>431</v>
      </c>
      <c r="J68" s="20" t="s">
        <v>431</v>
      </c>
      <c r="K68" s="18" t="n">
        <v>2.62423561</v>
      </c>
      <c r="L68" s="20" t="n">
        <v>0.46938041</v>
      </c>
      <c r="M68" s="18" t="n">
        <v>0</v>
      </c>
      <c r="N68" s="20" t="n">
        <v>0</v>
      </c>
      <c r="O68" s="18" t="n">
        <v>0</v>
      </c>
      <c r="P68" s="20" t="n">
        <v>0</v>
      </c>
      <c r="Q68" s="18" t="n">
        <v>1.81313219</v>
      </c>
      <c r="R68" s="20" t="n">
        <v>0.4057735</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(2138.0/B75*100)</f>
        <v/>
      </c>
      <c r="D75" s="19" t="n">
        <v>268</v>
      </c>
      <c r="E75" s="18" t="n">
        <v>49.02089451</v>
      </c>
      <c r="F75" s="20" t="n">
        <v>3.63409839</v>
      </c>
      <c r="G75" s="18" t="n">
        <v>47.96028309</v>
      </c>
      <c r="H75" s="20" t="n">
        <v>3.67408937</v>
      </c>
      <c r="I75" s="18" t="s">
        <v>431</v>
      </c>
      <c r="J75" s="20" t="s">
        <v>431</v>
      </c>
      <c r="K75" s="18" t="n">
        <v>0.86069639</v>
      </c>
      <c r="L75" s="20" t="n">
        <v>0.43960855</v>
      </c>
      <c r="M75" s="18" t="n">
        <v>0</v>
      </c>
      <c r="N75" s="20" t="n">
        <v>0</v>
      </c>
      <c r="O75" s="18" t="n">
        <v>0</v>
      </c>
      <c r="P75" s="20" t="n">
        <v>0</v>
      </c>
      <c r="Q75" s="18" t="n">
        <v>2.15812601</v>
      </c>
      <c r="R75" s="20" t="n">
        <v>0.96556643</v>
      </c>
    </row>
    <row r="76" spans="1:18">
      <c r="A76" s="15" t="s">
        <v>500</v>
      </c>
      <c r="B76" s="17" t="n">
        <v>7052</v>
      </c>
      <c r="C76" s="18">
        <f>(6200.0/B76*100)</f>
        <v/>
      </c>
      <c r="D76" s="19" t="n">
        <v>852</v>
      </c>
      <c r="E76" s="18" t="n">
        <v>45.65917425</v>
      </c>
      <c r="F76" s="20" t="n">
        <v>2.04393595</v>
      </c>
      <c r="G76" s="18" t="n">
        <v>51.90267407</v>
      </c>
      <c r="H76" s="20" t="n">
        <v>2.18597001</v>
      </c>
      <c r="I76" s="18" t="s">
        <v>431</v>
      </c>
      <c r="J76" s="20" t="s">
        <v>431</v>
      </c>
      <c r="K76" s="18" t="n">
        <v>0.7347737</v>
      </c>
      <c r="L76" s="20" t="n">
        <v>0.2699937</v>
      </c>
      <c r="M76" s="18" t="n">
        <v>0</v>
      </c>
      <c r="N76" s="20" t="n">
        <v>0</v>
      </c>
      <c r="O76" s="18" t="n">
        <v>0</v>
      </c>
      <c r="P76" s="20" t="n">
        <v>0</v>
      </c>
      <c r="Q76" s="18" t="n">
        <v>1.70337798</v>
      </c>
      <c r="R76" s="20" t="n">
        <v>0.66933908</v>
      </c>
    </row>
    <row r="77" spans="1:18">
      <c r="A77" s="15" t="s">
        <v>501</v>
      </c>
      <c r="B77" s="17" t="n">
        <v>2908</v>
      </c>
      <c r="C77" s="18">
        <f>(2581.0/B77*100)</f>
        <v/>
      </c>
      <c r="D77" s="19" t="n">
        <v>327</v>
      </c>
      <c r="E77" s="18" t="n">
        <v>28.33903671</v>
      </c>
      <c r="F77" s="20" t="n">
        <v>3.14114591</v>
      </c>
      <c r="G77" s="18" t="n">
        <v>70.22377865999999</v>
      </c>
      <c r="H77" s="20" t="n">
        <v>3.23137325</v>
      </c>
      <c r="I77" s="18" t="s">
        <v>431</v>
      </c>
      <c r="J77" s="20" t="s">
        <v>431</v>
      </c>
      <c r="K77" s="18" t="n">
        <v>0.3325512</v>
      </c>
      <c r="L77" s="20" t="n">
        <v>0.33444732</v>
      </c>
      <c r="M77" s="18" t="n">
        <v>0</v>
      </c>
      <c r="N77" s="20" t="n">
        <v>0</v>
      </c>
      <c r="O77" s="18" t="n">
        <v>0</v>
      </c>
      <c r="P77" s="20" t="n">
        <v>0</v>
      </c>
      <c r="Q77" s="18" t="n">
        <v>1.10463343</v>
      </c>
      <c r="R77" s="20" t="n">
        <v>0.6193437899999999</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(3668.0/B81*100)</f>
        <v/>
      </c>
      <c r="D81" s="19" t="n">
        <v>495</v>
      </c>
      <c r="E81" s="18" t="n">
        <v>35.61020388</v>
      </c>
      <c r="F81" s="20" t="n">
        <v>2.51923189</v>
      </c>
      <c r="G81" s="18" t="n">
        <v>61.34852781</v>
      </c>
      <c r="H81" s="20" t="n">
        <v>2.72915379</v>
      </c>
      <c r="I81" s="18" t="s">
        <v>431</v>
      </c>
      <c r="J81" s="20" t="s">
        <v>431</v>
      </c>
      <c r="K81" s="18" t="n">
        <v>0.7097358499999999</v>
      </c>
      <c r="L81" s="20" t="n">
        <v>0.51155624</v>
      </c>
      <c r="M81" s="18" t="n">
        <v>0</v>
      </c>
      <c r="N81" s="20" t="n">
        <v>0</v>
      </c>
      <c r="O81" s="18" t="n">
        <v>0</v>
      </c>
      <c r="P81" s="20" t="n">
        <v>0</v>
      </c>
      <c r="Q81" s="18" t="n">
        <v>2.33153246</v>
      </c>
      <c r="R81" s="20" t="n">
        <v>0.63733083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(3125.0/B11*100)</f>
        <v/>
      </c>
      <c r="D11" s="19" t="n">
        <v>428</v>
      </c>
      <c r="E11" s="18" t="n">
        <v>38.89598596</v>
      </c>
      <c r="F11" s="20" t="n">
        <v>2.89241232</v>
      </c>
      <c r="G11" s="18" t="n">
        <v>50.23466282</v>
      </c>
      <c r="H11" s="20" t="n">
        <v>2.76035502</v>
      </c>
      <c r="I11" s="18" t="s">
        <v>431</v>
      </c>
      <c r="J11" s="20" t="s">
        <v>431</v>
      </c>
      <c r="K11" s="18" t="n">
        <v>0.920538</v>
      </c>
      <c r="L11" s="20" t="n">
        <v>0.73948979</v>
      </c>
      <c r="M11" s="18" t="n">
        <v>0</v>
      </c>
      <c r="N11" s="20" t="n">
        <v>0</v>
      </c>
      <c r="O11" s="18" t="n">
        <v>0</v>
      </c>
      <c r="P11" s="20" t="n">
        <v>0</v>
      </c>
      <c r="Q11" s="18" t="n">
        <v>9.948813210000001</v>
      </c>
      <c r="R11" s="20" t="n">
        <v>1.67145322</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(3334.0/B28*100)</f>
        <v/>
      </c>
      <c r="D28" s="19" t="n">
        <v>431</v>
      </c>
      <c r="E28" s="18" t="n">
        <v>59.7274686</v>
      </c>
      <c r="F28" s="20" t="n">
        <v>2.86125026</v>
      </c>
      <c r="G28" s="18" t="n">
        <v>35.85124407</v>
      </c>
      <c r="H28" s="20" t="n">
        <v>2.58571039</v>
      </c>
      <c r="I28" s="18" t="s">
        <v>431</v>
      </c>
      <c r="J28" s="20" t="s">
        <v>431</v>
      </c>
      <c r="K28" s="18" t="n">
        <v>0.43455072</v>
      </c>
      <c r="L28" s="20" t="n">
        <v>0.43899582</v>
      </c>
      <c r="M28" s="18" t="n">
        <v>0.36885303</v>
      </c>
      <c r="N28" s="20" t="n">
        <v>0.36731568</v>
      </c>
      <c r="O28" s="18" t="n">
        <v>0</v>
      </c>
      <c r="P28" s="20" t="n">
        <v>0</v>
      </c>
      <c r="Q28" s="18" t="n">
        <v>3.61788358</v>
      </c>
      <c r="R28" s="20" t="n">
        <v>0.85433032</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(9804.0/B46*100)</f>
        <v/>
      </c>
      <c r="D46" s="19" t="n">
        <v>1264</v>
      </c>
      <c r="E46" s="18" t="n">
        <v>41.75676807</v>
      </c>
      <c r="F46" s="20" t="n">
        <v>1.89015282</v>
      </c>
      <c r="G46" s="18" t="n">
        <v>45.82117316</v>
      </c>
      <c r="H46" s="20" t="n">
        <v>1.78676076</v>
      </c>
      <c r="I46" s="18" t="s">
        <v>431</v>
      </c>
      <c r="J46" s="20" t="s">
        <v>431</v>
      </c>
      <c r="K46" s="18" t="n">
        <v>0.32300484</v>
      </c>
      <c r="L46" s="20" t="n">
        <v>0.22451448</v>
      </c>
      <c r="M46" s="18" t="n">
        <v>0.03637719</v>
      </c>
      <c r="N46" s="20" t="n">
        <v>0.03351568</v>
      </c>
      <c r="O46" s="18" t="n">
        <v>0</v>
      </c>
      <c r="P46" s="20" t="n">
        <v>0</v>
      </c>
      <c r="Q46" s="18" t="n">
        <v>12.06267675</v>
      </c>
      <c r="R46" s="20" t="n">
        <v>1.13855201</v>
      </c>
    </row>
    <row r="47" spans="1:18">
      <c r="A47" s="15" t="s">
        <v>471</v>
      </c>
      <c r="B47" s="17" t="n">
        <v>3105</v>
      </c>
      <c r="C47" s="18">
        <f>(2738.0/B47*100)</f>
        <v/>
      </c>
      <c r="D47" s="19" t="n">
        <v>367</v>
      </c>
      <c r="E47" s="18" t="n">
        <v>44.24819383</v>
      </c>
      <c r="F47" s="20" t="n">
        <v>2.45902929</v>
      </c>
      <c r="G47" s="18" t="n">
        <v>43.01851564</v>
      </c>
      <c r="H47" s="20" t="n">
        <v>2.83721668</v>
      </c>
      <c r="I47" s="18" t="s">
        <v>431</v>
      </c>
      <c r="J47" s="20" t="s">
        <v>431</v>
      </c>
      <c r="K47" s="18" t="n">
        <v>0</v>
      </c>
      <c r="L47" s="20" t="n">
        <v>0</v>
      </c>
      <c r="M47" s="18" t="n">
        <v>0</v>
      </c>
      <c r="N47" s="20" t="n">
        <v>0</v>
      </c>
      <c r="O47" s="18" t="n">
        <v>0</v>
      </c>
      <c r="P47" s="20" t="n">
        <v>0</v>
      </c>
      <c r="Q47" s="18" t="n">
        <v>12.73329053</v>
      </c>
      <c r="R47" s="20" t="n">
        <v>1.87326538</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(4950.0/B50*100)</f>
        <v/>
      </c>
      <c r="D50" s="19" t="n">
        <v>687</v>
      </c>
      <c r="E50" s="18" t="n">
        <v>50.97257958</v>
      </c>
      <c r="F50" s="20" t="n">
        <v>2.89325165</v>
      </c>
      <c r="G50" s="18" t="n">
        <v>43.94702978</v>
      </c>
      <c r="H50" s="20" t="n">
        <v>2.72891916</v>
      </c>
      <c r="I50" s="18" t="s">
        <v>431</v>
      </c>
      <c r="J50" s="20" t="s">
        <v>431</v>
      </c>
      <c r="K50" s="18" t="n">
        <v>0.93116831</v>
      </c>
      <c r="L50" s="20" t="n">
        <v>0.49770521</v>
      </c>
      <c r="M50" s="18" t="n">
        <v>0.007850279999999999</v>
      </c>
      <c r="N50" s="20" t="n">
        <v>0.00749147</v>
      </c>
      <c r="O50" s="18" t="n">
        <v>0</v>
      </c>
      <c r="P50" s="20" t="n">
        <v>0</v>
      </c>
      <c r="Q50" s="18" t="n">
        <v>4.14137205</v>
      </c>
      <c r="R50" s="20" t="n">
        <v>1.10049726</v>
      </c>
    </row>
    <row r="51" spans="1:18">
      <c r="A51" s="15" t="s">
        <v>475</v>
      </c>
      <c r="B51" s="17" t="n">
        <v>3372</v>
      </c>
      <c r="C51" s="18">
        <f>(3022.0/B51*100)</f>
        <v/>
      </c>
      <c r="D51" s="19" t="n">
        <v>350</v>
      </c>
      <c r="E51" s="18" t="n">
        <v>57.96022416</v>
      </c>
      <c r="F51" s="20" t="n">
        <v>3.13569678</v>
      </c>
      <c r="G51" s="18" t="n">
        <v>38.41871662</v>
      </c>
      <c r="H51" s="20" t="n">
        <v>3.07662827</v>
      </c>
      <c r="I51" s="18" t="s">
        <v>431</v>
      </c>
      <c r="J51" s="20" t="s">
        <v>431</v>
      </c>
      <c r="K51" s="18" t="n">
        <v>0</v>
      </c>
      <c r="L51" s="20" t="n">
        <v>0</v>
      </c>
      <c r="M51" s="18" t="n">
        <v>0</v>
      </c>
      <c r="N51" s="20" t="n">
        <v>0</v>
      </c>
      <c r="O51" s="18" t="n">
        <v>0</v>
      </c>
      <c r="P51" s="20" t="n">
        <v>0</v>
      </c>
      <c r="Q51" s="18" t="n">
        <v>3.62105923</v>
      </c>
      <c r="R51" s="20" t="n">
        <v>1.20843144</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(2479.0/B53*100)</f>
        <v/>
      </c>
      <c r="D53" s="19" t="n">
        <v>332</v>
      </c>
      <c r="E53" s="18" t="n">
        <v>57.94354531</v>
      </c>
      <c r="F53" s="20" t="n">
        <v>2.71043953</v>
      </c>
      <c r="G53" s="18" t="n">
        <v>34.28892497</v>
      </c>
      <c r="H53" s="20" t="n">
        <v>2.59248455</v>
      </c>
      <c r="I53" s="18" t="s">
        <v>431</v>
      </c>
      <c r="J53" s="20" t="s">
        <v>431</v>
      </c>
      <c r="K53" s="18" t="n">
        <v>0.66309849</v>
      </c>
      <c r="L53" s="20" t="n">
        <v>0.5018626</v>
      </c>
      <c r="M53" s="18" t="n">
        <v>0</v>
      </c>
      <c r="N53" s="20" t="n">
        <v>0</v>
      </c>
      <c r="O53" s="18" t="n">
        <v>0</v>
      </c>
      <c r="P53" s="20" t="n">
        <v>0</v>
      </c>
      <c r="Q53" s="18" t="n">
        <v>7.10443124</v>
      </c>
      <c r="R53" s="20" t="n">
        <v>1.18291945</v>
      </c>
    </row>
    <row r="54" spans="1:18">
      <c r="A54" s="15" t="s">
        <v>478</v>
      </c>
      <c r="B54" s="17" t="n">
        <v>2266</v>
      </c>
      <c r="C54" s="18">
        <f>(1901.0/B54*100)</f>
        <v/>
      </c>
      <c r="D54" s="19" t="n">
        <v>365</v>
      </c>
      <c r="E54" s="18" t="n">
        <v>62.7752932</v>
      </c>
      <c r="F54" s="20" t="n">
        <v>3.30083189</v>
      </c>
      <c r="G54" s="18" t="n">
        <v>20.14679337</v>
      </c>
      <c r="H54" s="20" t="n">
        <v>2.55869341</v>
      </c>
      <c r="I54" s="18" t="s">
        <v>431</v>
      </c>
      <c r="J54" s="20" t="s">
        <v>431</v>
      </c>
      <c r="K54" s="18" t="n">
        <v>2.93841173</v>
      </c>
      <c r="L54" s="20" t="n">
        <v>0.8327528</v>
      </c>
      <c r="M54" s="18" t="n">
        <v>1.09362804</v>
      </c>
      <c r="N54" s="20" t="n">
        <v>0.89929875</v>
      </c>
      <c r="O54" s="18" t="n">
        <v>0</v>
      </c>
      <c r="P54" s="20" t="n">
        <v>0</v>
      </c>
      <c r="Q54" s="18" t="n">
        <v>13.04587366</v>
      </c>
      <c r="R54" s="20" t="n">
        <v>2.22427139</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(3095.0/B67*100)</f>
        <v/>
      </c>
      <c r="D67" s="19" t="n">
        <v>416</v>
      </c>
      <c r="E67" s="18" t="n">
        <v>57.16759672</v>
      </c>
      <c r="F67" s="20" t="n">
        <v>2.35791526</v>
      </c>
      <c r="G67" s="18" t="n">
        <v>32.74938222</v>
      </c>
      <c r="H67" s="20" t="n">
        <v>2.44677366</v>
      </c>
      <c r="I67" s="18" t="s">
        <v>431</v>
      </c>
      <c r="J67" s="20" t="s">
        <v>431</v>
      </c>
      <c r="K67" s="18" t="n">
        <v>0.31117898</v>
      </c>
      <c r="L67" s="20" t="n">
        <v>0.31033115</v>
      </c>
      <c r="M67" s="18" t="n">
        <v>0</v>
      </c>
      <c r="N67" s="20" t="n">
        <v>0</v>
      </c>
      <c r="O67" s="18" t="n">
        <v>0</v>
      </c>
      <c r="P67" s="20" t="n">
        <v>0</v>
      </c>
      <c r="Q67" s="18" t="n">
        <v>9.771842080000001</v>
      </c>
      <c r="R67" s="20" t="n">
        <v>1.53982726</v>
      </c>
    </row>
    <row r="68" spans="1:18">
      <c r="A68" s="15" t="s">
        <v>492</v>
      </c>
      <c r="B68" s="17" t="n">
        <v>6049</v>
      </c>
      <c r="C68" s="18">
        <f>(5024.0/B68*100)</f>
        <v/>
      </c>
      <c r="D68" s="19" t="n">
        <v>1025</v>
      </c>
      <c r="E68" s="18" t="n">
        <v>61.26436165</v>
      </c>
      <c r="F68" s="20" t="n">
        <v>1.56402871</v>
      </c>
      <c r="G68" s="18" t="n">
        <v>26.41458883</v>
      </c>
      <c r="H68" s="20" t="n">
        <v>1.3990184</v>
      </c>
      <c r="I68" s="18" t="s">
        <v>431</v>
      </c>
      <c r="J68" s="20" t="s">
        <v>431</v>
      </c>
      <c r="K68" s="18" t="n">
        <v>3.00461212</v>
      </c>
      <c r="L68" s="20" t="n">
        <v>0.5049735400000001</v>
      </c>
      <c r="M68" s="18" t="n">
        <v>0.0940777</v>
      </c>
      <c r="N68" s="20" t="n">
        <v>0.09412439</v>
      </c>
      <c r="O68" s="18" t="n">
        <v>0</v>
      </c>
      <c r="P68" s="20" t="n">
        <v>0</v>
      </c>
      <c r="Q68" s="18" t="n">
        <v>9.2223597</v>
      </c>
      <c r="R68" s="20" t="n">
        <v>0.92370539</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(2140.0/B75*100)</f>
        <v/>
      </c>
      <c r="D75" s="19" t="n">
        <v>266</v>
      </c>
      <c r="E75" s="18" t="n">
        <v>66.99815524</v>
      </c>
      <c r="F75" s="20" t="n">
        <v>3.41852054</v>
      </c>
      <c r="G75" s="18" t="n">
        <v>17.49343111</v>
      </c>
      <c r="H75" s="20" t="n">
        <v>2.81598601</v>
      </c>
      <c r="I75" s="18" t="s">
        <v>431</v>
      </c>
      <c r="J75" s="20" t="s">
        <v>431</v>
      </c>
      <c r="K75" s="18" t="n">
        <v>0.8663434800000001</v>
      </c>
      <c r="L75" s="20" t="n">
        <v>0.44242571</v>
      </c>
      <c r="M75" s="18" t="n">
        <v>0</v>
      </c>
      <c r="N75" s="20" t="n">
        <v>0</v>
      </c>
      <c r="O75" s="18" t="n">
        <v>0</v>
      </c>
      <c r="P75" s="20" t="n">
        <v>0</v>
      </c>
      <c r="Q75" s="18" t="n">
        <v>14.64207018</v>
      </c>
      <c r="R75" s="20" t="n">
        <v>2.93024175</v>
      </c>
    </row>
    <row r="76" spans="1:18">
      <c r="A76" s="15" t="s">
        <v>500</v>
      </c>
      <c r="B76" s="17" t="n">
        <v>7052</v>
      </c>
      <c r="C76" s="18">
        <f>(6199.0/B76*100)</f>
        <v/>
      </c>
      <c r="D76" s="19" t="n">
        <v>853</v>
      </c>
      <c r="E76" s="18" t="n">
        <v>54.92323197</v>
      </c>
      <c r="F76" s="20" t="n">
        <v>2.33814711</v>
      </c>
      <c r="G76" s="18" t="n">
        <v>37.07196565</v>
      </c>
      <c r="H76" s="20" t="n">
        <v>2.49559741</v>
      </c>
      <c r="I76" s="18" t="s">
        <v>431</v>
      </c>
      <c r="J76" s="20" t="s">
        <v>431</v>
      </c>
      <c r="K76" s="18" t="n">
        <v>0.73449036</v>
      </c>
      <c r="L76" s="20" t="n">
        <v>0.26989217</v>
      </c>
      <c r="M76" s="18" t="n">
        <v>0.27512615</v>
      </c>
      <c r="N76" s="20" t="n">
        <v>0.17817956</v>
      </c>
      <c r="O76" s="18" t="n">
        <v>0</v>
      </c>
      <c r="P76" s="20" t="n">
        <v>0</v>
      </c>
      <c r="Q76" s="18" t="n">
        <v>6.99518587</v>
      </c>
      <c r="R76" s="20" t="n">
        <v>1.26919789</v>
      </c>
    </row>
    <row r="77" spans="1:18">
      <c r="A77" s="15" t="s">
        <v>501</v>
      </c>
      <c r="B77" s="17" t="n">
        <v>2908</v>
      </c>
      <c r="C77" s="18">
        <f>(2582.0/B77*100)</f>
        <v/>
      </c>
      <c r="D77" s="19" t="n">
        <v>326</v>
      </c>
      <c r="E77" s="18" t="n">
        <v>45.95409588</v>
      </c>
      <c r="F77" s="20" t="n">
        <v>3.01614381</v>
      </c>
      <c r="G77" s="18" t="n">
        <v>42.69884218</v>
      </c>
      <c r="H77" s="20" t="n">
        <v>2.61936897</v>
      </c>
      <c r="I77" s="18" t="s">
        <v>431</v>
      </c>
      <c r="J77" s="20" t="s">
        <v>431</v>
      </c>
      <c r="K77" s="18" t="n">
        <v>0.33365912</v>
      </c>
      <c r="L77" s="20" t="n">
        <v>0.33557517</v>
      </c>
      <c r="M77" s="18" t="n">
        <v>0</v>
      </c>
      <c r="N77" s="20" t="n">
        <v>0</v>
      </c>
      <c r="O77" s="18" t="n">
        <v>0</v>
      </c>
      <c r="P77" s="20" t="n">
        <v>0</v>
      </c>
      <c r="Q77" s="18" t="n">
        <v>11.01340281</v>
      </c>
      <c r="R77" s="20" t="n">
        <v>1.97999899</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(3668.0/B81*100)</f>
        <v/>
      </c>
      <c r="D81" s="19" t="n">
        <v>495</v>
      </c>
      <c r="E81" s="18" t="n">
        <v>77.60113996</v>
      </c>
      <c r="F81" s="20" t="n">
        <v>2.63674129</v>
      </c>
      <c r="G81" s="18" t="n">
        <v>19.27048846</v>
      </c>
      <c r="H81" s="20" t="n">
        <v>2.44423103</v>
      </c>
      <c r="I81" s="18" t="s">
        <v>431</v>
      </c>
      <c r="J81" s="20" t="s">
        <v>431</v>
      </c>
      <c r="K81" s="18" t="n">
        <v>0.7097358499999999</v>
      </c>
      <c r="L81" s="20" t="n">
        <v>0.51155624</v>
      </c>
      <c r="M81" s="18" t="n">
        <v>0</v>
      </c>
      <c r="N81" s="20" t="n">
        <v>0</v>
      </c>
      <c r="O81" s="18" t="n">
        <v>0</v>
      </c>
      <c r="P81" s="20" t="n">
        <v>0</v>
      </c>
      <c r="Q81" s="18" t="n">
        <v>2.41863573</v>
      </c>
      <c r="R81" s="20" t="n">
        <v>0.80343443</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(3125.0/B11*100)</f>
        <v/>
      </c>
      <c r="D11" s="19" t="n">
        <v>428</v>
      </c>
      <c r="E11" s="18" t="n">
        <v>51.60954869</v>
      </c>
      <c r="F11" s="20" t="n">
        <v>2.35439087</v>
      </c>
      <c r="G11" s="18" t="n">
        <v>37.41250184</v>
      </c>
      <c r="H11" s="20" t="n">
        <v>2.56773953</v>
      </c>
      <c r="I11" s="18" t="s">
        <v>431</v>
      </c>
      <c r="J11" s="20" t="s">
        <v>431</v>
      </c>
      <c r="K11" s="18" t="n">
        <v>0.920538</v>
      </c>
      <c r="L11" s="20" t="n">
        <v>0.73948979</v>
      </c>
      <c r="M11" s="18" t="n">
        <v>0</v>
      </c>
      <c r="N11" s="20" t="n">
        <v>0</v>
      </c>
      <c r="O11" s="18" t="n">
        <v>0</v>
      </c>
      <c r="P11" s="20" t="n">
        <v>0</v>
      </c>
      <c r="Q11" s="18" t="n">
        <v>10.05741146</v>
      </c>
      <c r="R11" s="20" t="n">
        <v>1.45685738</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(3334.0/B28*100)</f>
        <v/>
      </c>
      <c r="D28" s="19" t="n">
        <v>431</v>
      </c>
      <c r="E28" s="18" t="n">
        <v>68.75853981</v>
      </c>
      <c r="F28" s="20" t="n">
        <v>2.5421054</v>
      </c>
      <c r="G28" s="18" t="n">
        <v>29.49300839</v>
      </c>
      <c r="H28" s="20" t="n">
        <v>2.51163012</v>
      </c>
      <c r="I28" s="18" t="s">
        <v>431</v>
      </c>
      <c r="J28" s="20" t="s">
        <v>431</v>
      </c>
      <c r="K28" s="18" t="n">
        <v>0.43455072</v>
      </c>
      <c r="L28" s="20" t="n">
        <v>0.43899582</v>
      </c>
      <c r="M28" s="18" t="n">
        <v>0.36885303</v>
      </c>
      <c r="N28" s="20" t="n">
        <v>0.36731568</v>
      </c>
      <c r="O28" s="18" t="n">
        <v>0</v>
      </c>
      <c r="P28" s="20" t="n">
        <v>0</v>
      </c>
      <c r="Q28" s="18" t="n">
        <v>0.94504805</v>
      </c>
      <c r="R28" s="20" t="n">
        <v>0.57442629</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(9802.0/B46*100)</f>
        <v/>
      </c>
      <c r="D46" s="19" t="n">
        <v>1266</v>
      </c>
      <c r="E46" s="18" t="n">
        <v>56.51978658</v>
      </c>
      <c r="F46" s="20" t="n">
        <v>2.09579041</v>
      </c>
      <c r="G46" s="18" t="n">
        <v>24.54892523</v>
      </c>
      <c r="H46" s="20" t="n">
        <v>1.90879726</v>
      </c>
      <c r="I46" s="18" t="s">
        <v>431</v>
      </c>
      <c r="J46" s="20" t="s">
        <v>431</v>
      </c>
      <c r="K46" s="18" t="n">
        <v>0.44335494</v>
      </c>
      <c r="L46" s="20" t="n">
        <v>0.24173485</v>
      </c>
      <c r="M46" s="18" t="n">
        <v>0.036325</v>
      </c>
      <c r="N46" s="20" t="n">
        <v>0.03346907</v>
      </c>
      <c r="O46" s="18" t="n">
        <v>0</v>
      </c>
      <c r="P46" s="20" t="n">
        <v>0</v>
      </c>
      <c r="Q46" s="18" t="n">
        <v>18.45160825</v>
      </c>
      <c r="R46" s="20" t="n">
        <v>1.47267338</v>
      </c>
    </row>
    <row r="47" spans="1:18">
      <c r="A47" s="15" t="s">
        <v>471</v>
      </c>
      <c r="B47" s="17" t="n">
        <v>3105</v>
      </c>
      <c r="C47" s="18">
        <f>(2737.0/B47*100)</f>
        <v/>
      </c>
      <c r="D47" s="19" t="n">
        <v>368</v>
      </c>
      <c r="E47" s="18" t="n">
        <v>48.80887241</v>
      </c>
      <c r="F47" s="20" t="n">
        <v>3.03993394</v>
      </c>
      <c r="G47" s="18" t="n">
        <v>42.23243303</v>
      </c>
      <c r="H47" s="20" t="n">
        <v>3.09224936</v>
      </c>
      <c r="I47" s="18" t="s">
        <v>431</v>
      </c>
      <c r="J47" s="20" t="s">
        <v>431</v>
      </c>
      <c r="K47" s="18" t="n">
        <v>0</v>
      </c>
      <c r="L47" s="20" t="n">
        <v>0</v>
      </c>
      <c r="M47" s="18" t="n">
        <v>0</v>
      </c>
      <c r="N47" s="20" t="n">
        <v>0</v>
      </c>
      <c r="O47" s="18" t="n">
        <v>0</v>
      </c>
      <c r="P47" s="20" t="n">
        <v>0</v>
      </c>
      <c r="Q47" s="18" t="n">
        <v>8.95869456</v>
      </c>
      <c r="R47" s="20" t="n">
        <v>1.42507471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(4950.0/B50*100)</f>
        <v/>
      </c>
      <c r="D50" s="19" t="n">
        <v>687</v>
      </c>
      <c r="E50" s="18" t="n">
        <v>60.61399535</v>
      </c>
      <c r="F50" s="20" t="n">
        <v>2.57329242</v>
      </c>
      <c r="G50" s="18" t="n">
        <v>37.34817753</v>
      </c>
      <c r="H50" s="20" t="n">
        <v>2.56460898</v>
      </c>
      <c r="I50" s="18" t="s">
        <v>431</v>
      </c>
      <c r="J50" s="20" t="s">
        <v>431</v>
      </c>
      <c r="K50" s="18" t="n">
        <v>0.93116831</v>
      </c>
      <c r="L50" s="20" t="n">
        <v>0.49770521</v>
      </c>
      <c r="M50" s="18" t="n">
        <v>0.007850279999999999</v>
      </c>
      <c r="N50" s="20" t="n">
        <v>0.00749147</v>
      </c>
      <c r="O50" s="18" t="n">
        <v>0</v>
      </c>
      <c r="P50" s="20" t="n">
        <v>0</v>
      </c>
      <c r="Q50" s="18" t="n">
        <v>1.09880854</v>
      </c>
      <c r="R50" s="20" t="n">
        <v>0.57131446</v>
      </c>
    </row>
    <row r="51" spans="1:18">
      <c r="A51" s="15" t="s">
        <v>475</v>
      </c>
      <c r="B51" s="17" t="n">
        <v>3372</v>
      </c>
      <c r="C51" s="18">
        <f>(3022.0/B51*100)</f>
        <v/>
      </c>
      <c r="D51" s="19" t="n">
        <v>350</v>
      </c>
      <c r="E51" s="18" t="n">
        <v>46.43128383</v>
      </c>
      <c r="F51" s="20" t="n">
        <v>2.77790222</v>
      </c>
      <c r="G51" s="18" t="n">
        <v>33.85712052</v>
      </c>
      <c r="H51" s="20" t="n">
        <v>2.69665015</v>
      </c>
      <c r="I51" s="18" t="s">
        <v>431</v>
      </c>
      <c r="J51" s="20" t="s">
        <v>431</v>
      </c>
      <c r="K51" s="18" t="n">
        <v>0.41758579</v>
      </c>
      <c r="L51" s="20" t="n">
        <v>0.37553825</v>
      </c>
      <c r="M51" s="18" t="n">
        <v>0</v>
      </c>
      <c r="N51" s="20" t="n">
        <v>0</v>
      </c>
      <c r="O51" s="18" t="n">
        <v>0</v>
      </c>
      <c r="P51" s="20" t="n">
        <v>0</v>
      </c>
      <c r="Q51" s="18" t="n">
        <v>19.29400985</v>
      </c>
      <c r="R51" s="20" t="n">
        <v>2.04175248</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(2479.0/B53*100)</f>
        <v/>
      </c>
      <c r="D53" s="19" t="n">
        <v>332</v>
      </c>
      <c r="E53" s="18" t="n">
        <v>61.7222238</v>
      </c>
      <c r="F53" s="20" t="n">
        <v>2.56002485</v>
      </c>
      <c r="G53" s="18" t="n">
        <v>36.26130244</v>
      </c>
      <c r="H53" s="20" t="n">
        <v>2.60074468</v>
      </c>
      <c r="I53" s="18" t="s">
        <v>431</v>
      </c>
      <c r="J53" s="20" t="s">
        <v>431</v>
      </c>
      <c r="K53" s="18" t="n">
        <v>0.66309849</v>
      </c>
      <c r="L53" s="20" t="n">
        <v>0.5018626</v>
      </c>
      <c r="M53" s="18" t="n">
        <v>0</v>
      </c>
      <c r="N53" s="20" t="n">
        <v>0</v>
      </c>
      <c r="O53" s="18" t="n">
        <v>0</v>
      </c>
      <c r="P53" s="20" t="n">
        <v>0</v>
      </c>
      <c r="Q53" s="18" t="n">
        <v>1.35337527</v>
      </c>
      <c r="R53" s="20" t="n">
        <v>0.68431131</v>
      </c>
    </row>
    <row r="54" spans="1:18">
      <c r="A54" s="15" t="s">
        <v>478</v>
      </c>
      <c r="B54" s="17" t="n">
        <v>2266</v>
      </c>
      <c r="C54" s="18">
        <f>(1901.0/B54*100)</f>
        <v/>
      </c>
      <c r="D54" s="19" t="n">
        <v>365</v>
      </c>
      <c r="E54" s="18" t="n">
        <v>65.49184366999999</v>
      </c>
      <c r="F54" s="20" t="n">
        <v>2.8677651</v>
      </c>
      <c r="G54" s="18" t="n">
        <v>27.17646631</v>
      </c>
      <c r="H54" s="20" t="n">
        <v>2.68624506</v>
      </c>
      <c r="I54" s="18" t="s">
        <v>431</v>
      </c>
      <c r="J54" s="20" t="s">
        <v>431</v>
      </c>
      <c r="K54" s="18" t="n">
        <v>3.38285492</v>
      </c>
      <c r="L54" s="20" t="n">
        <v>0.890637</v>
      </c>
      <c r="M54" s="18" t="n">
        <v>1.09362804</v>
      </c>
      <c r="N54" s="20" t="n">
        <v>0.89929875</v>
      </c>
      <c r="O54" s="18" t="n">
        <v>0</v>
      </c>
      <c r="P54" s="20" t="n">
        <v>0</v>
      </c>
      <c r="Q54" s="18" t="n">
        <v>2.85520706</v>
      </c>
      <c r="R54" s="20" t="n">
        <v>0.84544512</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(3095.0/B67*100)</f>
        <v/>
      </c>
      <c r="D67" s="19" t="n">
        <v>416</v>
      </c>
      <c r="E67" s="18" t="n">
        <v>75.67122080999999</v>
      </c>
      <c r="F67" s="20" t="n">
        <v>2.31373348</v>
      </c>
      <c r="G67" s="18" t="n">
        <v>22.8009104</v>
      </c>
      <c r="H67" s="20" t="n">
        <v>2.29361363</v>
      </c>
      <c r="I67" s="18" t="s">
        <v>431</v>
      </c>
      <c r="J67" s="20" t="s">
        <v>431</v>
      </c>
      <c r="K67" s="18" t="n">
        <v>0.31117898</v>
      </c>
      <c r="L67" s="20" t="n">
        <v>0.31033115</v>
      </c>
      <c r="M67" s="18" t="n">
        <v>0</v>
      </c>
      <c r="N67" s="20" t="n">
        <v>0</v>
      </c>
      <c r="O67" s="18" t="n">
        <v>0</v>
      </c>
      <c r="P67" s="20" t="n">
        <v>0</v>
      </c>
      <c r="Q67" s="18" t="n">
        <v>1.21668982</v>
      </c>
      <c r="R67" s="20" t="n">
        <v>0.56546758</v>
      </c>
    </row>
    <row r="68" spans="1:18">
      <c r="A68" s="15" t="s">
        <v>492</v>
      </c>
      <c r="B68" s="17" t="n">
        <v>6049</v>
      </c>
      <c r="C68" s="18">
        <f>(5024.0/B68*100)</f>
        <v/>
      </c>
      <c r="D68" s="19" t="n">
        <v>1025</v>
      </c>
      <c r="E68" s="18" t="n">
        <v>66.64633943</v>
      </c>
      <c r="F68" s="20" t="n">
        <v>1.5765871</v>
      </c>
      <c r="G68" s="18" t="n">
        <v>26.72930118</v>
      </c>
      <c r="H68" s="20" t="n">
        <v>1.42272992</v>
      </c>
      <c r="I68" s="18" t="s">
        <v>431</v>
      </c>
      <c r="J68" s="20" t="s">
        <v>431</v>
      </c>
      <c r="K68" s="18" t="n">
        <v>3.00461212</v>
      </c>
      <c r="L68" s="20" t="n">
        <v>0.5049735400000001</v>
      </c>
      <c r="M68" s="18" t="n">
        <v>0.0940777</v>
      </c>
      <c r="N68" s="20" t="n">
        <v>0.09412439</v>
      </c>
      <c r="O68" s="18" t="n">
        <v>0</v>
      </c>
      <c r="P68" s="20" t="n">
        <v>0</v>
      </c>
      <c r="Q68" s="18" t="n">
        <v>3.52566957</v>
      </c>
      <c r="R68" s="20" t="n">
        <v>0.58626534</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(2141.0/B75*100)</f>
        <v/>
      </c>
      <c r="D75" s="19" t="n">
        <v>265</v>
      </c>
      <c r="E75" s="18" t="n">
        <v>84.07103033</v>
      </c>
      <c r="F75" s="20" t="n">
        <v>2.59047349</v>
      </c>
      <c r="G75" s="18" t="n">
        <v>10.77511657</v>
      </c>
      <c r="H75" s="20" t="n">
        <v>2.32912245</v>
      </c>
      <c r="I75" s="18" t="s">
        <v>431</v>
      </c>
      <c r="J75" s="20" t="s">
        <v>431</v>
      </c>
      <c r="K75" s="18" t="n">
        <v>1.2184447</v>
      </c>
      <c r="L75" s="20" t="n">
        <v>0.57451263</v>
      </c>
      <c r="M75" s="18" t="n">
        <v>0</v>
      </c>
      <c r="N75" s="20" t="n">
        <v>0</v>
      </c>
      <c r="O75" s="18" t="n">
        <v>0</v>
      </c>
      <c r="P75" s="20" t="n">
        <v>0</v>
      </c>
      <c r="Q75" s="18" t="n">
        <v>3.93540839</v>
      </c>
      <c r="R75" s="20" t="n">
        <v>1.20596174</v>
      </c>
    </row>
    <row r="76" spans="1:18">
      <c r="A76" s="15" t="s">
        <v>500</v>
      </c>
      <c r="B76" s="17" t="n">
        <v>7052</v>
      </c>
      <c r="C76" s="18">
        <f>(6200.0/B76*100)</f>
        <v/>
      </c>
      <c r="D76" s="19" t="n">
        <v>852</v>
      </c>
      <c r="E76" s="18" t="n">
        <v>53.61075901</v>
      </c>
      <c r="F76" s="20" t="n">
        <v>2.73216143</v>
      </c>
      <c r="G76" s="18" t="n">
        <v>43.13102694</v>
      </c>
      <c r="H76" s="20" t="n">
        <v>2.68738454</v>
      </c>
      <c r="I76" s="18" t="s">
        <v>431</v>
      </c>
      <c r="J76" s="20" t="s">
        <v>431</v>
      </c>
      <c r="K76" s="18" t="n">
        <v>0.91058857</v>
      </c>
      <c r="L76" s="20" t="n">
        <v>0.32603952</v>
      </c>
      <c r="M76" s="18" t="n">
        <v>0.27524545</v>
      </c>
      <c r="N76" s="20" t="n">
        <v>0.17825806</v>
      </c>
      <c r="O76" s="18" t="n">
        <v>0</v>
      </c>
      <c r="P76" s="20" t="n">
        <v>0</v>
      </c>
      <c r="Q76" s="18" t="n">
        <v>2.07238003</v>
      </c>
      <c r="R76" s="20" t="n">
        <v>0.82487891</v>
      </c>
    </row>
    <row r="77" spans="1:18">
      <c r="A77" s="15" t="s">
        <v>501</v>
      </c>
      <c r="B77" s="17" t="n">
        <v>2908</v>
      </c>
      <c r="C77" s="18">
        <f>(2582.0/B77*100)</f>
        <v/>
      </c>
      <c r="D77" s="19" t="n">
        <v>326</v>
      </c>
      <c r="E77" s="18" t="n">
        <v>50.3896329</v>
      </c>
      <c r="F77" s="20" t="n">
        <v>3.19726218</v>
      </c>
      <c r="G77" s="18" t="n">
        <v>45.86977848</v>
      </c>
      <c r="H77" s="20" t="n">
        <v>3.22830827</v>
      </c>
      <c r="I77" s="18" t="s">
        <v>431</v>
      </c>
      <c r="J77" s="20" t="s">
        <v>431</v>
      </c>
      <c r="K77" s="18" t="n">
        <v>0.33365912</v>
      </c>
      <c r="L77" s="20" t="n">
        <v>0.33557517</v>
      </c>
      <c r="M77" s="18" t="n">
        <v>0</v>
      </c>
      <c r="N77" s="20" t="n">
        <v>0</v>
      </c>
      <c r="O77" s="18" t="n">
        <v>0</v>
      </c>
      <c r="P77" s="20" t="n">
        <v>0</v>
      </c>
      <c r="Q77" s="18" t="n">
        <v>3.4069295</v>
      </c>
      <c r="R77" s="20" t="n">
        <v>1.14041388</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(3668.0/B81*100)</f>
        <v/>
      </c>
      <c r="D81" s="19" t="n">
        <v>495</v>
      </c>
      <c r="E81" s="18" t="n">
        <v>58.72439219</v>
      </c>
      <c r="F81" s="20" t="n">
        <v>2.67563671</v>
      </c>
      <c r="G81" s="18" t="n">
        <v>39.06278603</v>
      </c>
      <c r="H81" s="20" t="n">
        <v>2.81410212</v>
      </c>
      <c r="I81" s="18" t="s">
        <v>431</v>
      </c>
      <c r="J81" s="20" t="s">
        <v>431</v>
      </c>
      <c r="K81" s="18" t="n">
        <v>0.7097358499999999</v>
      </c>
      <c r="L81" s="20" t="n">
        <v>0.51155624</v>
      </c>
      <c r="M81" s="18" t="n">
        <v>0</v>
      </c>
      <c r="N81" s="20" t="n">
        <v>0</v>
      </c>
      <c r="O81" s="18" t="n">
        <v>0</v>
      </c>
      <c r="P81" s="20" t="n">
        <v>0</v>
      </c>
      <c r="Q81" s="18" t="n">
        <v>1.50308593</v>
      </c>
      <c r="R81" s="20" t="n">
        <v>0.73097931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(3126.0/B11*100)</f>
        <v/>
      </c>
      <c r="D11" s="19" t="n">
        <v>427</v>
      </c>
      <c r="E11" s="18" t="n">
        <v>26.17241954</v>
      </c>
      <c r="F11" s="20" t="n">
        <v>2.55594666</v>
      </c>
      <c r="G11" s="18" t="n">
        <v>71.86405319000001</v>
      </c>
      <c r="H11" s="20" t="n">
        <v>2.66450894</v>
      </c>
      <c r="I11" s="18" t="s">
        <v>431</v>
      </c>
      <c r="J11" s="20" t="s">
        <v>431</v>
      </c>
      <c r="K11" s="18" t="n">
        <v>0.92341629</v>
      </c>
      <c r="L11" s="20" t="n">
        <v>0.74195683</v>
      </c>
      <c r="M11" s="18" t="n">
        <v>0</v>
      </c>
      <c r="N11" s="20" t="n">
        <v>0</v>
      </c>
      <c r="O11" s="18" t="n">
        <v>0</v>
      </c>
      <c r="P11" s="20" t="n">
        <v>0</v>
      </c>
      <c r="Q11" s="18" t="n">
        <v>1.04011099</v>
      </c>
      <c r="R11" s="20" t="n">
        <v>0.57754595</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(3334.0/B28*100)</f>
        <v/>
      </c>
      <c r="D28" s="19" t="n">
        <v>431</v>
      </c>
      <c r="E28" s="18" t="n">
        <v>33.43365557</v>
      </c>
      <c r="F28" s="20" t="n">
        <v>2.29895432</v>
      </c>
      <c r="G28" s="18" t="n">
        <v>66.13179371</v>
      </c>
      <c r="H28" s="20" t="n">
        <v>2.31027702</v>
      </c>
      <c r="I28" s="18" t="s">
        <v>431</v>
      </c>
      <c r="J28" s="20" t="s">
        <v>431</v>
      </c>
      <c r="K28" s="18" t="n">
        <v>0.43455072</v>
      </c>
      <c r="L28" s="20" t="n">
        <v>0.43899582</v>
      </c>
      <c r="M28" s="18" t="n">
        <v>0</v>
      </c>
      <c r="N28" s="20" t="n">
        <v>0</v>
      </c>
      <c r="O28" s="18" t="n">
        <v>0</v>
      </c>
      <c r="P28" s="20" t="n">
        <v>0</v>
      </c>
      <c r="Q28" s="18" t="n">
        <v>0</v>
      </c>
      <c r="R28" s="20" t="n">
        <v>0</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(9802.0/B46*100)</f>
        <v/>
      </c>
      <c r="D46" s="19" t="n">
        <v>1266</v>
      </c>
      <c r="E46" s="18" t="n">
        <v>31.64777626</v>
      </c>
      <c r="F46" s="20" t="n">
        <v>1.64724371</v>
      </c>
      <c r="G46" s="18" t="n">
        <v>66.55098144999999</v>
      </c>
      <c r="H46" s="20" t="n">
        <v>1.76966368</v>
      </c>
      <c r="I46" s="18" t="s">
        <v>431</v>
      </c>
      <c r="J46" s="20" t="s">
        <v>431</v>
      </c>
      <c r="K46" s="18" t="n">
        <v>0.62940127</v>
      </c>
      <c r="L46" s="20" t="n">
        <v>0.30574409</v>
      </c>
      <c r="M46" s="18" t="n">
        <v>0</v>
      </c>
      <c r="N46" s="20" t="n">
        <v>0</v>
      </c>
      <c r="O46" s="18" t="n">
        <v>0</v>
      </c>
      <c r="P46" s="20" t="n">
        <v>0</v>
      </c>
      <c r="Q46" s="18" t="n">
        <v>1.17184102</v>
      </c>
      <c r="R46" s="20" t="n">
        <v>0.38630691</v>
      </c>
    </row>
    <row r="47" spans="1:18">
      <c r="A47" s="15" t="s">
        <v>471</v>
      </c>
      <c r="B47" s="17" t="n">
        <v>3105</v>
      </c>
      <c r="C47" s="18">
        <f>(2737.0/B47*100)</f>
        <v/>
      </c>
      <c r="D47" s="19" t="n">
        <v>368</v>
      </c>
      <c r="E47" s="18" t="n">
        <v>31.69842605</v>
      </c>
      <c r="F47" s="20" t="n">
        <v>2.93440048</v>
      </c>
      <c r="G47" s="18" t="n">
        <v>66.70347760999999</v>
      </c>
      <c r="H47" s="20" t="n">
        <v>2.88426351</v>
      </c>
      <c r="I47" s="18" t="s">
        <v>431</v>
      </c>
      <c r="J47" s="20" t="s">
        <v>431</v>
      </c>
      <c r="K47" s="18" t="n">
        <v>0</v>
      </c>
      <c r="L47" s="20" t="n">
        <v>0</v>
      </c>
      <c r="M47" s="18" t="n">
        <v>0</v>
      </c>
      <c r="N47" s="20" t="n">
        <v>0</v>
      </c>
      <c r="O47" s="18" t="n">
        <v>0</v>
      </c>
      <c r="P47" s="20" t="n">
        <v>0</v>
      </c>
      <c r="Q47" s="18" t="n">
        <v>1.59809634</v>
      </c>
      <c r="R47" s="20" t="n">
        <v>0.77417159</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(4950.0/B50*100)</f>
        <v/>
      </c>
      <c r="D50" s="19" t="n">
        <v>687</v>
      </c>
      <c r="E50" s="18" t="n">
        <v>32.05682599</v>
      </c>
      <c r="F50" s="20" t="n">
        <v>2.24173957</v>
      </c>
      <c r="G50" s="18" t="n">
        <v>66.15497636000001</v>
      </c>
      <c r="H50" s="20" t="n">
        <v>2.23969091</v>
      </c>
      <c r="I50" s="18" t="s">
        <v>431</v>
      </c>
      <c r="J50" s="20" t="s">
        <v>431</v>
      </c>
      <c r="K50" s="18" t="n">
        <v>0.96200292</v>
      </c>
      <c r="L50" s="20" t="n">
        <v>0.49865432</v>
      </c>
      <c r="M50" s="18" t="n">
        <v>0</v>
      </c>
      <c r="N50" s="20" t="n">
        <v>0</v>
      </c>
      <c r="O50" s="18" t="n">
        <v>0</v>
      </c>
      <c r="P50" s="20" t="n">
        <v>0</v>
      </c>
      <c r="Q50" s="18" t="n">
        <v>0.82619473</v>
      </c>
      <c r="R50" s="20" t="n">
        <v>0.47921367</v>
      </c>
    </row>
    <row r="51" spans="1:18">
      <c r="A51" s="15" t="s">
        <v>475</v>
      </c>
      <c r="B51" s="17" t="n">
        <v>3372</v>
      </c>
      <c r="C51" s="18">
        <f>(3022.0/B51*100)</f>
        <v/>
      </c>
      <c r="D51" s="19" t="n">
        <v>350</v>
      </c>
      <c r="E51" s="18" t="n">
        <v>28.51311101</v>
      </c>
      <c r="F51" s="20" t="n">
        <v>2.66273129</v>
      </c>
      <c r="G51" s="18" t="n">
        <v>70.16694715</v>
      </c>
      <c r="H51" s="20" t="n">
        <v>2.54504968</v>
      </c>
      <c r="I51" s="18" t="s">
        <v>431</v>
      </c>
      <c r="J51" s="20" t="s">
        <v>431</v>
      </c>
      <c r="K51" s="18" t="n">
        <v>0.41758579</v>
      </c>
      <c r="L51" s="20" t="n">
        <v>0.37553825</v>
      </c>
      <c r="M51" s="18" t="n">
        <v>0</v>
      </c>
      <c r="N51" s="20" t="n">
        <v>0</v>
      </c>
      <c r="O51" s="18" t="n">
        <v>0</v>
      </c>
      <c r="P51" s="20" t="n">
        <v>0</v>
      </c>
      <c r="Q51" s="18" t="n">
        <v>0.90235604</v>
      </c>
      <c r="R51" s="20" t="n">
        <v>0.51610693</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(2479.0/B53*100)</f>
        <v/>
      </c>
      <c r="D53" s="19" t="n">
        <v>332</v>
      </c>
      <c r="E53" s="18" t="n">
        <v>28.92379611</v>
      </c>
      <c r="F53" s="20" t="n">
        <v>2.47486084</v>
      </c>
      <c r="G53" s="18" t="n">
        <v>69.28482026</v>
      </c>
      <c r="H53" s="20" t="n">
        <v>2.42983686</v>
      </c>
      <c r="I53" s="18" t="s">
        <v>431</v>
      </c>
      <c r="J53" s="20" t="s">
        <v>431</v>
      </c>
      <c r="K53" s="18" t="n">
        <v>0.66309849</v>
      </c>
      <c r="L53" s="20" t="n">
        <v>0.5018626</v>
      </c>
      <c r="M53" s="18" t="n">
        <v>0</v>
      </c>
      <c r="N53" s="20" t="n">
        <v>0</v>
      </c>
      <c r="O53" s="18" t="n">
        <v>0</v>
      </c>
      <c r="P53" s="20" t="n">
        <v>0</v>
      </c>
      <c r="Q53" s="18" t="n">
        <v>1.12828514</v>
      </c>
      <c r="R53" s="20" t="n">
        <v>0.5869788</v>
      </c>
    </row>
    <row r="54" spans="1:18">
      <c r="A54" s="15" t="s">
        <v>478</v>
      </c>
      <c r="B54" s="17" t="n">
        <v>2266</v>
      </c>
      <c r="C54" s="18">
        <f>(1901.0/B54*100)</f>
        <v/>
      </c>
      <c r="D54" s="19" t="n">
        <v>365</v>
      </c>
      <c r="E54" s="18" t="n">
        <v>54.13821056</v>
      </c>
      <c r="F54" s="20" t="n">
        <v>2.71172483</v>
      </c>
      <c r="G54" s="18" t="n">
        <v>40.51510777</v>
      </c>
      <c r="H54" s="20" t="n">
        <v>2.73032282</v>
      </c>
      <c r="I54" s="18" t="s">
        <v>431</v>
      </c>
      <c r="J54" s="20" t="s">
        <v>431</v>
      </c>
      <c r="K54" s="18" t="n">
        <v>3.632203</v>
      </c>
      <c r="L54" s="20" t="n">
        <v>0.99230918</v>
      </c>
      <c r="M54" s="18" t="n">
        <v>0</v>
      </c>
      <c r="N54" s="20" t="n">
        <v>0</v>
      </c>
      <c r="O54" s="18" t="n">
        <v>0</v>
      </c>
      <c r="P54" s="20" t="n">
        <v>0</v>
      </c>
      <c r="Q54" s="18" t="n">
        <v>1.71447867</v>
      </c>
      <c r="R54" s="20" t="n">
        <v>0.69952265</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(3095.0/B67*100)</f>
        <v/>
      </c>
      <c r="D67" s="19" t="n">
        <v>416</v>
      </c>
      <c r="E67" s="18" t="n">
        <v>35.07575383</v>
      </c>
      <c r="F67" s="20" t="n">
        <v>2.56292179</v>
      </c>
      <c r="G67" s="18" t="n">
        <v>64.19578541</v>
      </c>
      <c r="H67" s="20" t="n">
        <v>2.69442228</v>
      </c>
      <c r="I67" s="18" t="s">
        <v>431</v>
      </c>
      <c r="J67" s="20" t="s">
        <v>431</v>
      </c>
      <c r="K67" s="18" t="n">
        <v>0.31117898</v>
      </c>
      <c r="L67" s="20" t="n">
        <v>0.31033115</v>
      </c>
      <c r="M67" s="18" t="n">
        <v>0</v>
      </c>
      <c r="N67" s="20" t="n">
        <v>0</v>
      </c>
      <c r="O67" s="18" t="n">
        <v>0</v>
      </c>
      <c r="P67" s="20" t="n">
        <v>0</v>
      </c>
      <c r="Q67" s="18" t="n">
        <v>0.41728179</v>
      </c>
      <c r="R67" s="20" t="n">
        <v>0.30381847</v>
      </c>
    </row>
    <row r="68" spans="1:18">
      <c r="A68" s="15" t="s">
        <v>492</v>
      </c>
      <c r="B68" s="17" t="n">
        <v>6049</v>
      </c>
      <c r="C68" s="18">
        <f>(5025.0/B68*100)</f>
        <v/>
      </c>
      <c r="D68" s="19" t="n">
        <v>1024</v>
      </c>
      <c r="E68" s="18" t="n">
        <v>36.5168637</v>
      </c>
      <c r="F68" s="20" t="n">
        <v>1.41257524</v>
      </c>
      <c r="G68" s="18" t="n">
        <v>57.81497373</v>
      </c>
      <c r="H68" s="20" t="n">
        <v>1.43553746</v>
      </c>
      <c r="I68" s="18" t="s">
        <v>431</v>
      </c>
      <c r="J68" s="20" t="s">
        <v>431</v>
      </c>
      <c r="K68" s="18" t="n">
        <v>3.19764288</v>
      </c>
      <c r="L68" s="20" t="n">
        <v>0.51792975</v>
      </c>
      <c r="M68" s="18" t="n">
        <v>0</v>
      </c>
      <c r="N68" s="20" t="n">
        <v>0</v>
      </c>
      <c r="O68" s="18" t="n">
        <v>0</v>
      </c>
      <c r="P68" s="20" t="n">
        <v>0</v>
      </c>
      <c r="Q68" s="18" t="n">
        <v>2.4705197</v>
      </c>
      <c r="R68" s="20" t="n">
        <v>0.43379065</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(2141.0/B75*100)</f>
        <v/>
      </c>
      <c r="D75" s="19" t="n">
        <v>265</v>
      </c>
      <c r="E75" s="18" t="n">
        <v>48.70617635</v>
      </c>
      <c r="F75" s="20" t="n">
        <v>3.44453483</v>
      </c>
      <c r="G75" s="18" t="n">
        <v>47.97418545</v>
      </c>
      <c r="H75" s="20" t="n">
        <v>3.327067</v>
      </c>
      <c r="I75" s="18" t="s">
        <v>431</v>
      </c>
      <c r="J75" s="20" t="s">
        <v>431</v>
      </c>
      <c r="K75" s="18" t="n">
        <v>1.21880403</v>
      </c>
      <c r="L75" s="20" t="n">
        <v>0.5746104</v>
      </c>
      <c r="M75" s="18" t="n">
        <v>0</v>
      </c>
      <c r="N75" s="20" t="n">
        <v>0</v>
      </c>
      <c r="O75" s="18" t="n">
        <v>0</v>
      </c>
      <c r="P75" s="20" t="n">
        <v>0</v>
      </c>
      <c r="Q75" s="18" t="n">
        <v>2.10083417</v>
      </c>
      <c r="R75" s="20" t="n">
        <v>0.9236839100000001</v>
      </c>
    </row>
    <row r="76" spans="1:18">
      <c r="A76" s="15" t="s">
        <v>500</v>
      </c>
      <c r="B76" s="17" t="n">
        <v>7052</v>
      </c>
      <c r="C76" s="18">
        <f>(6200.0/B76*100)</f>
        <v/>
      </c>
      <c r="D76" s="19" t="n">
        <v>852</v>
      </c>
      <c r="E76" s="18" t="n">
        <v>38.35536548</v>
      </c>
      <c r="F76" s="20" t="n">
        <v>2.10492754</v>
      </c>
      <c r="G76" s="18" t="n">
        <v>59.678171</v>
      </c>
      <c r="H76" s="20" t="n">
        <v>1.97280394</v>
      </c>
      <c r="I76" s="18" t="s">
        <v>431</v>
      </c>
      <c r="J76" s="20" t="s">
        <v>431</v>
      </c>
      <c r="K76" s="18" t="n">
        <v>0.95390611</v>
      </c>
      <c r="L76" s="20" t="n">
        <v>0.32854617</v>
      </c>
      <c r="M76" s="18" t="n">
        <v>0</v>
      </c>
      <c r="N76" s="20" t="n">
        <v>0</v>
      </c>
      <c r="O76" s="18" t="n">
        <v>0</v>
      </c>
      <c r="P76" s="20" t="n">
        <v>0</v>
      </c>
      <c r="Q76" s="18" t="n">
        <v>1.01255742</v>
      </c>
      <c r="R76" s="20" t="n">
        <v>0.41222028</v>
      </c>
    </row>
    <row r="77" spans="1:18">
      <c r="A77" s="15" t="s">
        <v>501</v>
      </c>
      <c r="B77" s="17" t="n">
        <v>2908</v>
      </c>
      <c r="C77" s="18">
        <f>(2582.0/B77*100)</f>
        <v/>
      </c>
      <c r="D77" s="19" t="n">
        <v>326</v>
      </c>
      <c r="E77" s="18" t="n">
        <v>27.77844265</v>
      </c>
      <c r="F77" s="20" t="n">
        <v>2.91657887</v>
      </c>
      <c r="G77" s="18" t="n">
        <v>69.70844697</v>
      </c>
      <c r="H77" s="20" t="n">
        <v>3.06951087</v>
      </c>
      <c r="I77" s="18" t="s">
        <v>431</v>
      </c>
      <c r="J77" s="20" t="s">
        <v>431</v>
      </c>
      <c r="K77" s="18" t="n">
        <v>0.33365912</v>
      </c>
      <c r="L77" s="20" t="n">
        <v>0.33557517</v>
      </c>
      <c r="M77" s="18" t="n">
        <v>0</v>
      </c>
      <c r="N77" s="20" t="n">
        <v>0</v>
      </c>
      <c r="O77" s="18" t="n">
        <v>0</v>
      </c>
      <c r="P77" s="20" t="n">
        <v>0</v>
      </c>
      <c r="Q77" s="18" t="n">
        <v>2.17945127</v>
      </c>
      <c r="R77" s="20" t="n">
        <v>0.81843002</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(3668.0/B81*100)</f>
        <v/>
      </c>
      <c r="D81" s="19" t="n">
        <v>495</v>
      </c>
      <c r="E81" s="18" t="n">
        <v>24.70287401</v>
      </c>
      <c r="F81" s="20" t="n">
        <v>2.33762146</v>
      </c>
      <c r="G81" s="18" t="n">
        <v>74.01672379</v>
      </c>
      <c r="H81" s="20" t="n">
        <v>2.36706003</v>
      </c>
      <c r="I81" s="18" t="s">
        <v>431</v>
      </c>
      <c r="J81" s="20" t="s">
        <v>431</v>
      </c>
      <c r="K81" s="18" t="n">
        <v>0.7097358499999999</v>
      </c>
      <c r="L81" s="20" t="n">
        <v>0.51155624</v>
      </c>
      <c r="M81" s="18" t="n">
        <v>0</v>
      </c>
      <c r="N81" s="20" t="n">
        <v>0</v>
      </c>
      <c r="O81" s="18" t="n">
        <v>0</v>
      </c>
      <c r="P81" s="20" t="n">
        <v>0</v>
      </c>
      <c r="Q81" s="18" t="n">
        <v>0.57066635</v>
      </c>
      <c r="R81" s="20" t="n">
        <v>0.38742906</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(3126.0/B11*100)</f>
        <v/>
      </c>
      <c r="D11" s="19" t="n">
        <v>427</v>
      </c>
      <c r="E11" s="18" t="n">
        <v>3.82957884</v>
      </c>
      <c r="F11" s="20" t="n">
        <v>0.89186321</v>
      </c>
      <c r="G11" s="18" t="n">
        <v>91.92849787</v>
      </c>
      <c r="H11" s="20" t="n">
        <v>1.4542837</v>
      </c>
      <c r="I11" s="18" t="s">
        <v>431</v>
      </c>
      <c r="J11" s="20" t="s">
        <v>431</v>
      </c>
      <c r="K11" s="18" t="n">
        <v>0.92357611</v>
      </c>
      <c r="L11" s="20" t="n">
        <v>0.74188976</v>
      </c>
      <c r="M11" s="18" t="n">
        <v>0</v>
      </c>
      <c r="N11" s="20" t="n">
        <v>0</v>
      </c>
      <c r="O11" s="18" t="n">
        <v>0</v>
      </c>
      <c r="P11" s="20" t="n">
        <v>0</v>
      </c>
      <c r="Q11" s="18" t="n">
        <v>3.31834717</v>
      </c>
      <c r="R11" s="20" t="n">
        <v>1.0779251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(3335.0/B28*100)</f>
        <v/>
      </c>
      <c r="D28" s="19" t="n">
        <v>430</v>
      </c>
      <c r="E28" s="18" t="n">
        <v>9.6451581</v>
      </c>
      <c r="F28" s="20" t="n">
        <v>1.75010654</v>
      </c>
      <c r="G28" s="18" t="n">
        <v>88.25463372</v>
      </c>
      <c r="H28" s="20" t="n">
        <v>1.95243697</v>
      </c>
      <c r="I28" s="18" t="s">
        <v>431</v>
      </c>
      <c r="J28" s="20" t="s">
        <v>431</v>
      </c>
      <c r="K28" s="18" t="n">
        <v>0.43549173</v>
      </c>
      <c r="L28" s="20" t="n">
        <v>0.4399563</v>
      </c>
      <c r="M28" s="18" t="n">
        <v>0</v>
      </c>
      <c r="N28" s="20" t="n">
        <v>0</v>
      </c>
      <c r="O28" s="18" t="n">
        <v>0</v>
      </c>
      <c r="P28" s="20" t="n">
        <v>0</v>
      </c>
      <c r="Q28" s="18" t="n">
        <v>1.66471645</v>
      </c>
      <c r="R28" s="20" t="n">
        <v>0.9313724799999999</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(9839.0/B46*100)</f>
        <v/>
      </c>
      <c r="D46" s="19" t="n">
        <v>1229</v>
      </c>
      <c r="E46" s="18" t="n">
        <v>11.58775762</v>
      </c>
      <c r="F46" s="20" t="n">
        <v>1.40496592</v>
      </c>
      <c r="G46" s="18" t="n">
        <v>79.93139703</v>
      </c>
      <c r="H46" s="20" t="n">
        <v>1.73773203</v>
      </c>
      <c r="I46" s="18" t="s">
        <v>431</v>
      </c>
      <c r="J46" s="20" t="s">
        <v>431</v>
      </c>
      <c r="K46" s="18" t="n">
        <v>0.67730829</v>
      </c>
      <c r="L46" s="20" t="n">
        <v>0.31369799</v>
      </c>
      <c r="M46" s="18" t="n">
        <v>0</v>
      </c>
      <c r="N46" s="20" t="n">
        <v>0</v>
      </c>
      <c r="O46" s="18" t="n">
        <v>0</v>
      </c>
      <c r="P46" s="20" t="n">
        <v>0</v>
      </c>
      <c r="Q46" s="18" t="n">
        <v>7.80353706</v>
      </c>
      <c r="R46" s="20" t="n">
        <v>0.89451106</v>
      </c>
    </row>
    <row r="47" spans="1:18">
      <c r="A47" s="15" t="s">
        <v>471</v>
      </c>
      <c r="B47" s="17" t="n">
        <v>3105</v>
      </c>
      <c r="C47" s="18">
        <f>(2737.0/B47*100)</f>
        <v/>
      </c>
      <c r="D47" s="19" t="n">
        <v>368</v>
      </c>
      <c r="E47" s="18" t="n">
        <v>12.84747962</v>
      </c>
      <c r="F47" s="20" t="n">
        <v>1.7872183</v>
      </c>
      <c r="G47" s="18" t="n">
        <v>82.35411352</v>
      </c>
      <c r="H47" s="20" t="n">
        <v>2.15647791</v>
      </c>
      <c r="I47" s="18" t="s">
        <v>431</v>
      </c>
      <c r="J47" s="20" t="s">
        <v>431</v>
      </c>
      <c r="K47" s="18" t="n">
        <v>0</v>
      </c>
      <c r="L47" s="20" t="n">
        <v>0</v>
      </c>
      <c r="M47" s="18" t="n">
        <v>0</v>
      </c>
      <c r="N47" s="20" t="n">
        <v>0</v>
      </c>
      <c r="O47" s="18" t="n">
        <v>0</v>
      </c>
      <c r="P47" s="20" t="n">
        <v>0</v>
      </c>
      <c r="Q47" s="18" t="n">
        <v>4.79840687</v>
      </c>
      <c r="R47" s="20" t="n">
        <v>1.33282126</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(4952.0/B50*100)</f>
        <v/>
      </c>
      <c r="D50" s="19" t="n">
        <v>685</v>
      </c>
      <c r="E50" s="18" t="n">
        <v>15.26035913</v>
      </c>
      <c r="F50" s="20" t="n">
        <v>1.77239236</v>
      </c>
      <c r="G50" s="18" t="n">
        <v>80.49429067</v>
      </c>
      <c r="H50" s="20" t="n">
        <v>1.93390768</v>
      </c>
      <c r="I50" s="18" t="s">
        <v>431</v>
      </c>
      <c r="J50" s="20" t="s">
        <v>431</v>
      </c>
      <c r="K50" s="18" t="n">
        <v>1.09315396</v>
      </c>
      <c r="L50" s="20" t="n">
        <v>0.46477705</v>
      </c>
      <c r="M50" s="18" t="n">
        <v>0</v>
      </c>
      <c r="N50" s="20" t="n">
        <v>0</v>
      </c>
      <c r="O50" s="18" t="n">
        <v>0</v>
      </c>
      <c r="P50" s="20" t="n">
        <v>0</v>
      </c>
      <c r="Q50" s="18" t="n">
        <v>3.15219624</v>
      </c>
      <c r="R50" s="20" t="n">
        <v>0.89778762</v>
      </c>
    </row>
    <row r="51" spans="1:18">
      <c r="A51" s="15" t="s">
        <v>475</v>
      </c>
      <c r="B51" s="17" t="n">
        <v>3372</v>
      </c>
      <c r="C51" s="18">
        <f>(3023.0/B51*100)</f>
        <v/>
      </c>
      <c r="D51" s="19" t="n">
        <v>349</v>
      </c>
      <c r="E51" s="18" t="n">
        <v>4.16293484</v>
      </c>
      <c r="F51" s="20" t="n">
        <v>1.12268785</v>
      </c>
      <c r="G51" s="18" t="n">
        <v>92.7737563</v>
      </c>
      <c r="H51" s="20" t="n">
        <v>1.57783009</v>
      </c>
      <c r="I51" s="18" t="s">
        <v>431</v>
      </c>
      <c r="J51" s="20" t="s">
        <v>431</v>
      </c>
      <c r="K51" s="18" t="n">
        <v>0.41870837</v>
      </c>
      <c r="L51" s="20" t="n">
        <v>0.37654437</v>
      </c>
      <c r="M51" s="18" t="n">
        <v>0</v>
      </c>
      <c r="N51" s="20" t="n">
        <v>0</v>
      </c>
      <c r="O51" s="18" t="n">
        <v>0</v>
      </c>
      <c r="P51" s="20" t="n">
        <v>0</v>
      </c>
      <c r="Q51" s="18" t="n">
        <v>2.64460049</v>
      </c>
      <c r="R51" s="20" t="n">
        <v>0.93166738</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(2478.0/B53*100)</f>
        <v/>
      </c>
      <c r="D53" s="19" t="n">
        <v>333</v>
      </c>
      <c r="E53" s="18" t="n">
        <v>11.263372</v>
      </c>
      <c r="F53" s="20" t="n">
        <v>1.93745827</v>
      </c>
      <c r="G53" s="18" t="n">
        <v>79.8259168</v>
      </c>
      <c r="H53" s="20" t="n">
        <v>2.54006442</v>
      </c>
      <c r="I53" s="18" t="s">
        <v>431</v>
      </c>
      <c r="J53" s="20" t="s">
        <v>431</v>
      </c>
      <c r="K53" s="18" t="n">
        <v>0.66100074</v>
      </c>
      <c r="L53" s="20" t="n">
        <v>0.5004283899999999</v>
      </c>
      <c r="M53" s="18" t="n">
        <v>0</v>
      </c>
      <c r="N53" s="20" t="n">
        <v>0</v>
      </c>
      <c r="O53" s="18" t="n">
        <v>0</v>
      </c>
      <c r="P53" s="20" t="n">
        <v>0</v>
      </c>
      <c r="Q53" s="18" t="n">
        <v>8.24971047</v>
      </c>
      <c r="R53" s="20" t="n">
        <v>1.43731668</v>
      </c>
    </row>
    <row r="54" spans="1:18">
      <c r="A54" s="15" t="s">
        <v>478</v>
      </c>
      <c r="B54" s="17" t="n">
        <v>2266</v>
      </c>
      <c r="C54" s="18">
        <f>(1903.0/B54*100)</f>
        <v/>
      </c>
      <c r="D54" s="19" t="n">
        <v>363</v>
      </c>
      <c r="E54" s="18" t="n">
        <v>10.58754238</v>
      </c>
      <c r="F54" s="20" t="n">
        <v>1.52989768</v>
      </c>
      <c r="G54" s="18" t="n">
        <v>71.56346928000001</v>
      </c>
      <c r="H54" s="20" t="n">
        <v>3.01706523</v>
      </c>
      <c r="I54" s="18" t="s">
        <v>431</v>
      </c>
      <c r="J54" s="20" t="s">
        <v>431</v>
      </c>
      <c r="K54" s="18" t="n">
        <v>3.92247506</v>
      </c>
      <c r="L54" s="20" t="n">
        <v>1.03416623</v>
      </c>
      <c r="M54" s="18" t="n">
        <v>0</v>
      </c>
      <c r="N54" s="20" t="n">
        <v>0</v>
      </c>
      <c r="O54" s="18" t="n">
        <v>0</v>
      </c>
      <c r="P54" s="20" t="n">
        <v>0</v>
      </c>
      <c r="Q54" s="18" t="n">
        <v>13.92651329</v>
      </c>
      <c r="R54" s="20" t="n">
        <v>2.34297316</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(3101.0/B67*100)</f>
        <v/>
      </c>
      <c r="D67" s="19" t="n">
        <v>410</v>
      </c>
      <c r="E67" s="18" t="n">
        <v>12.62343659</v>
      </c>
      <c r="F67" s="20" t="n">
        <v>1.78400723</v>
      </c>
      <c r="G67" s="18" t="n">
        <v>84.94508942</v>
      </c>
      <c r="H67" s="20" t="n">
        <v>1.92072532</v>
      </c>
      <c r="I67" s="18" t="s">
        <v>431</v>
      </c>
      <c r="J67" s="20" t="s">
        <v>431</v>
      </c>
      <c r="K67" s="18" t="n">
        <v>0.31633788</v>
      </c>
      <c r="L67" s="20" t="n">
        <v>0.31545521</v>
      </c>
      <c r="M67" s="18" t="n">
        <v>0</v>
      </c>
      <c r="N67" s="20" t="n">
        <v>0</v>
      </c>
      <c r="O67" s="18" t="n">
        <v>0</v>
      </c>
      <c r="P67" s="20" t="n">
        <v>0</v>
      </c>
      <c r="Q67" s="18" t="n">
        <v>2.1151361</v>
      </c>
      <c r="R67" s="20" t="n">
        <v>0.77672558</v>
      </c>
    </row>
    <row r="68" spans="1:18">
      <c r="A68" s="15" t="s">
        <v>492</v>
      </c>
      <c r="B68" s="17" t="n">
        <v>6049</v>
      </c>
      <c r="C68" s="18">
        <f>(5025.0/B68*100)</f>
        <v/>
      </c>
      <c r="D68" s="19" t="n">
        <v>1024</v>
      </c>
      <c r="E68" s="18" t="n">
        <v>25.50244607</v>
      </c>
      <c r="F68" s="20" t="n">
        <v>1.38591077</v>
      </c>
      <c r="G68" s="18" t="n">
        <v>61.47647764</v>
      </c>
      <c r="H68" s="20" t="n">
        <v>1.36566586</v>
      </c>
      <c r="I68" s="18" t="s">
        <v>431</v>
      </c>
      <c r="J68" s="20" t="s">
        <v>431</v>
      </c>
      <c r="K68" s="18" t="n">
        <v>3.30347681</v>
      </c>
      <c r="L68" s="20" t="n">
        <v>0.52702129</v>
      </c>
      <c r="M68" s="18" t="n">
        <v>0</v>
      </c>
      <c r="N68" s="20" t="n">
        <v>0</v>
      </c>
      <c r="O68" s="18" t="n">
        <v>0</v>
      </c>
      <c r="P68" s="20" t="n">
        <v>0</v>
      </c>
      <c r="Q68" s="18" t="n">
        <v>9.717599480000001</v>
      </c>
      <c r="R68" s="20" t="n">
        <v>0.98046926</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(2142.0/B75*100)</f>
        <v/>
      </c>
      <c r="D75" s="19" t="n">
        <v>264</v>
      </c>
      <c r="E75" s="18" t="n">
        <v>27.73331303</v>
      </c>
      <c r="F75" s="20" t="n">
        <v>3.08305909</v>
      </c>
      <c r="G75" s="18" t="n">
        <v>61.98814128</v>
      </c>
      <c r="H75" s="20" t="n">
        <v>3.16250947</v>
      </c>
      <c r="I75" s="18" t="s">
        <v>431</v>
      </c>
      <c r="J75" s="20" t="s">
        <v>431</v>
      </c>
      <c r="K75" s="18" t="n">
        <v>1.27351908</v>
      </c>
      <c r="L75" s="20" t="n">
        <v>0.57988478</v>
      </c>
      <c r="M75" s="18" t="n">
        <v>0</v>
      </c>
      <c r="N75" s="20" t="n">
        <v>0</v>
      </c>
      <c r="O75" s="18" t="n">
        <v>0</v>
      </c>
      <c r="P75" s="20" t="n">
        <v>0</v>
      </c>
      <c r="Q75" s="18" t="n">
        <v>9.00502661</v>
      </c>
      <c r="R75" s="20" t="n">
        <v>2.61121254</v>
      </c>
    </row>
    <row r="76" spans="1:18">
      <c r="A76" s="15" t="s">
        <v>500</v>
      </c>
      <c r="B76" s="17" t="n">
        <v>7052</v>
      </c>
      <c r="C76" s="18">
        <f>(6202.0/B76*100)</f>
        <v/>
      </c>
      <c r="D76" s="19" t="n">
        <v>850</v>
      </c>
      <c r="E76" s="18" t="n">
        <v>19.5431775</v>
      </c>
      <c r="F76" s="20" t="n">
        <v>1.77139753</v>
      </c>
      <c r="G76" s="18" t="n">
        <v>75.18066382000001</v>
      </c>
      <c r="H76" s="20" t="n">
        <v>1.71204188</v>
      </c>
      <c r="I76" s="18" t="s">
        <v>431</v>
      </c>
      <c r="J76" s="20" t="s">
        <v>431</v>
      </c>
      <c r="K76" s="18" t="n">
        <v>0.95811423</v>
      </c>
      <c r="L76" s="20" t="n">
        <v>0.33024084</v>
      </c>
      <c r="M76" s="18" t="n">
        <v>0</v>
      </c>
      <c r="N76" s="20" t="n">
        <v>0</v>
      </c>
      <c r="O76" s="18" t="n">
        <v>0</v>
      </c>
      <c r="P76" s="20" t="n">
        <v>0</v>
      </c>
      <c r="Q76" s="18" t="n">
        <v>4.31804445</v>
      </c>
      <c r="R76" s="20" t="n">
        <v>0.8710591600000001</v>
      </c>
    </row>
    <row r="77" spans="1:18">
      <c r="A77" s="15" t="s">
        <v>501</v>
      </c>
      <c r="B77" s="17" t="n">
        <v>2908</v>
      </c>
      <c r="C77" s="18">
        <f>(2584.0/B77*100)</f>
        <v/>
      </c>
      <c r="D77" s="19" t="n">
        <v>324</v>
      </c>
      <c r="E77" s="18" t="n">
        <v>6.45756836</v>
      </c>
      <c r="F77" s="20" t="n">
        <v>1.34877532</v>
      </c>
      <c r="G77" s="18" t="n">
        <v>88.65192599</v>
      </c>
      <c r="H77" s="20" t="n">
        <v>1.70871483</v>
      </c>
      <c r="I77" s="18" t="s">
        <v>431</v>
      </c>
      <c r="J77" s="20" t="s">
        <v>431</v>
      </c>
      <c r="K77" s="18" t="n">
        <v>0.59452456</v>
      </c>
      <c r="L77" s="20" t="n">
        <v>0.42236193</v>
      </c>
      <c r="M77" s="18" t="n">
        <v>0</v>
      </c>
      <c r="N77" s="20" t="n">
        <v>0</v>
      </c>
      <c r="O77" s="18" t="n">
        <v>0</v>
      </c>
      <c r="P77" s="20" t="n">
        <v>0</v>
      </c>
      <c r="Q77" s="18" t="n">
        <v>4.29598108</v>
      </c>
      <c r="R77" s="20" t="n">
        <v>1.03638126</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(3669.0/B81*100)</f>
        <v/>
      </c>
      <c r="D81" s="19" t="n">
        <v>494</v>
      </c>
      <c r="E81" s="18" t="n">
        <v>8.626374289999999</v>
      </c>
      <c r="F81" s="20" t="n">
        <v>1.51079101</v>
      </c>
      <c r="G81" s="18" t="n">
        <v>84.50793584</v>
      </c>
      <c r="H81" s="20" t="n">
        <v>1.93607069</v>
      </c>
      <c r="I81" s="18" t="s">
        <v>431</v>
      </c>
      <c r="J81" s="20" t="s">
        <v>431</v>
      </c>
      <c r="K81" s="18" t="n">
        <v>1.04409296</v>
      </c>
      <c r="L81" s="20" t="n">
        <v>0.5611960499999999</v>
      </c>
      <c r="M81" s="18" t="n">
        <v>0</v>
      </c>
      <c r="N81" s="20" t="n">
        <v>0</v>
      </c>
      <c r="O81" s="18" t="n">
        <v>0</v>
      </c>
      <c r="P81" s="20" t="n">
        <v>0</v>
      </c>
      <c r="Q81" s="18" t="n">
        <v>5.82159691</v>
      </c>
      <c r="R81" s="20" t="n">
        <v>1.51416748</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(3126.0/B11*100)</f>
        <v/>
      </c>
      <c r="D11" s="19" t="n">
        <v>427</v>
      </c>
      <c r="E11" s="18" t="n">
        <v>25.18813367</v>
      </c>
      <c r="F11" s="20" t="n">
        <v>2.3874299</v>
      </c>
      <c r="G11" s="18" t="n">
        <v>73.53634812</v>
      </c>
      <c r="H11" s="20" t="n">
        <v>2.40430627</v>
      </c>
      <c r="I11" s="18" t="s">
        <v>431</v>
      </c>
      <c r="J11" s="20" t="s">
        <v>431</v>
      </c>
      <c r="K11" s="18" t="n">
        <v>0.92357611</v>
      </c>
      <c r="L11" s="20" t="n">
        <v>0.74188976</v>
      </c>
      <c r="M11" s="18" t="n">
        <v>0</v>
      </c>
      <c r="N11" s="20" t="n">
        <v>0</v>
      </c>
      <c r="O11" s="18" t="n">
        <v>0</v>
      </c>
      <c r="P11" s="20" t="n">
        <v>0</v>
      </c>
      <c r="Q11" s="18" t="n">
        <v>0.3519421</v>
      </c>
      <c r="R11" s="20" t="n">
        <v>0.34566763</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(3337.0/B28*100)</f>
        <v/>
      </c>
      <c r="D28" s="19" t="n">
        <v>428</v>
      </c>
      <c r="E28" s="18" t="n">
        <v>42.22413999</v>
      </c>
      <c r="F28" s="20" t="n">
        <v>2.92113988</v>
      </c>
      <c r="G28" s="18" t="n">
        <v>57.11788917</v>
      </c>
      <c r="H28" s="20" t="n">
        <v>2.87247692</v>
      </c>
      <c r="I28" s="18" t="s">
        <v>431</v>
      </c>
      <c r="J28" s="20" t="s">
        <v>431</v>
      </c>
      <c r="K28" s="18" t="n">
        <v>0.43774213</v>
      </c>
      <c r="L28" s="20" t="n">
        <v>0.44224318</v>
      </c>
      <c r="M28" s="18" t="n">
        <v>0</v>
      </c>
      <c r="N28" s="20" t="n">
        <v>0</v>
      </c>
      <c r="O28" s="18" t="n">
        <v>0</v>
      </c>
      <c r="P28" s="20" t="n">
        <v>0</v>
      </c>
      <c r="Q28" s="18" t="n">
        <v>0.22022871</v>
      </c>
      <c r="R28" s="20" t="n">
        <v>0.21865329</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(9852.0/B46*100)</f>
        <v/>
      </c>
      <c r="D46" s="19" t="n">
        <v>1216</v>
      </c>
      <c r="E46" s="18" t="n">
        <v>47.62887427</v>
      </c>
      <c r="F46" s="20" t="n">
        <v>1.82164886</v>
      </c>
      <c r="G46" s="18" t="n">
        <v>49.92740811</v>
      </c>
      <c r="H46" s="20" t="n">
        <v>1.8917493</v>
      </c>
      <c r="I46" s="18" t="s">
        <v>431</v>
      </c>
      <c r="J46" s="20" t="s">
        <v>431</v>
      </c>
      <c r="K46" s="18" t="n">
        <v>0.82471351</v>
      </c>
      <c r="L46" s="20" t="n">
        <v>0.34647004</v>
      </c>
      <c r="M46" s="18" t="n">
        <v>0</v>
      </c>
      <c r="N46" s="20" t="n">
        <v>0</v>
      </c>
      <c r="O46" s="18" t="n">
        <v>0</v>
      </c>
      <c r="P46" s="20" t="n">
        <v>0</v>
      </c>
      <c r="Q46" s="18" t="n">
        <v>1.61900411</v>
      </c>
      <c r="R46" s="20" t="n">
        <v>0.53766454</v>
      </c>
    </row>
    <row r="47" spans="1:18">
      <c r="A47" s="15" t="s">
        <v>471</v>
      </c>
      <c r="B47" s="17" t="n">
        <v>3105</v>
      </c>
      <c r="C47" s="18">
        <f>(2738.0/B47*100)</f>
        <v/>
      </c>
      <c r="D47" s="19" t="n">
        <v>367</v>
      </c>
      <c r="E47" s="18" t="n">
        <v>37.4184871</v>
      </c>
      <c r="F47" s="20" t="n">
        <v>2.84107703</v>
      </c>
      <c r="G47" s="18" t="n">
        <v>62.08854156</v>
      </c>
      <c r="H47" s="20" t="n">
        <v>2.86983247</v>
      </c>
      <c r="I47" s="18" t="s">
        <v>431</v>
      </c>
      <c r="J47" s="20" t="s">
        <v>431</v>
      </c>
      <c r="K47" s="18" t="n">
        <v>0</v>
      </c>
      <c r="L47" s="20" t="n">
        <v>0</v>
      </c>
      <c r="M47" s="18" t="n">
        <v>0</v>
      </c>
      <c r="N47" s="20" t="n">
        <v>0</v>
      </c>
      <c r="O47" s="18" t="n">
        <v>0</v>
      </c>
      <c r="P47" s="20" t="n">
        <v>0</v>
      </c>
      <c r="Q47" s="18" t="n">
        <v>0.49297134</v>
      </c>
      <c r="R47" s="20" t="n">
        <v>0.3462948</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(4953.0/B50*100)</f>
        <v/>
      </c>
      <c r="D50" s="19" t="n">
        <v>684</v>
      </c>
      <c r="E50" s="18" t="n">
        <v>36.09275044</v>
      </c>
      <c r="F50" s="20" t="n">
        <v>2.53464399</v>
      </c>
      <c r="G50" s="18" t="n">
        <v>62.33302753</v>
      </c>
      <c r="H50" s="20" t="n">
        <v>2.54067859</v>
      </c>
      <c r="I50" s="18" t="s">
        <v>431</v>
      </c>
      <c r="J50" s="20" t="s">
        <v>431</v>
      </c>
      <c r="K50" s="18" t="n">
        <v>1.09367923</v>
      </c>
      <c r="L50" s="20" t="n">
        <v>0.46502112</v>
      </c>
      <c r="M50" s="18" t="n">
        <v>0</v>
      </c>
      <c r="N50" s="20" t="n">
        <v>0</v>
      </c>
      <c r="O50" s="18" t="n">
        <v>0</v>
      </c>
      <c r="P50" s="20" t="n">
        <v>0</v>
      </c>
      <c r="Q50" s="18" t="n">
        <v>0.4805428</v>
      </c>
      <c r="R50" s="20" t="n">
        <v>0.29993753</v>
      </c>
    </row>
    <row r="51" spans="1:18">
      <c r="A51" s="15" t="s">
        <v>475</v>
      </c>
      <c r="B51" s="17" t="n">
        <v>3372</v>
      </c>
      <c r="C51" s="18">
        <f>(3024.0/B51*100)</f>
        <v/>
      </c>
      <c r="D51" s="19" t="n">
        <v>348</v>
      </c>
      <c r="E51" s="18" t="n">
        <v>40.62970381</v>
      </c>
      <c r="F51" s="20" t="n">
        <v>2.55877505</v>
      </c>
      <c r="G51" s="18" t="n">
        <v>57.73367873</v>
      </c>
      <c r="H51" s="20" t="n">
        <v>2.65949856</v>
      </c>
      <c r="I51" s="18" t="s">
        <v>431</v>
      </c>
      <c r="J51" s="20" t="s">
        <v>431</v>
      </c>
      <c r="K51" s="18" t="n">
        <v>0.6817426</v>
      </c>
      <c r="L51" s="20" t="n">
        <v>0.46414264</v>
      </c>
      <c r="M51" s="18" t="n">
        <v>0</v>
      </c>
      <c r="N51" s="20" t="n">
        <v>0</v>
      </c>
      <c r="O51" s="18" t="n">
        <v>0</v>
      </c>
      <c r="P51" s="20" t="n">
        <v>0</v>
      </c>
      <c r="Q51" s="18" t="n">
        <v>0.95487486</v>
      </c>
      <c r="R51" s="20" t="n">
        <v>0.54006827</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(2478.0/B53*100)</f>
        <v/>
      </c>
      <c r="D53" s="19" t="n">
        <v>333</v>
      </c>
      <c r="E53" s="18" t="n">
        <v>30.59958391</v>
      </c>
      <c r="F53" s="20" t="n">
        <v>2.41616351</v>
      </c>
      <c r="G53" s="18" t="n">
        <v>67.95322911</v>
      </c>
      <c r="H53" s="20" t="n">
        <v>2.5597636</v>
      </c>
      <c r="I53" s="18" t="s">
        <v>431</v>
      </c>
      <c r="J53" s="20" t="s">
        <v>431</v>
      </c>
      <c r="K53" s="18" t="n">
        <v>0.66100074</v>
      </c>
      <c r="L53" s="20" t="n">
        <v>0.5004283899999999</v>
      </c>
      <c r="M53" s="18" t="n">
        <v>0</v>
      </c>
      <c r="N53" s="20" t="n">
        <v>0</v>
      </c>
      <c r="O53" s="18" t="n">
        <v>0</v>
      </c>
      <c r="P53" s="20" t="n">
        <v>0</v>
      </c>
      <c r="Q53" s="18" t="n">
        <v>0.78618624</v>
      </c>
      <c r="R53" s="20" t="n">
        <v>0.43807202</v>
      </c>
    </row>
    <row r="54" spans="1:18">
      <c r="A54" s="15" t="s">
        <v>478</v>
      </c>
      <c r="B54" s="17" t="n">
        <v>2266</v>
      </c>
      <c r="C54" s="18">
        <f>(1903.0/B54*100)</f>
        <v/>
      </c>
      <c r="D54" s="19" t="n">
        <v>363</v>
      </c>
      <c r="E54" s="18" t="n">
        <v>43.03261977</v>
      </c>
      <c r="F54" s="20" t="n">
        <v>2.8022322</v>
      </c>
      <c r="G54" s="18" t="n">
        <v>50.76424913</v>
      </c>
      <c r="H54" s="20" t="n">
        <v>2.75707009</v>
      </c>
      <c r="I54" s="18" t="s">
        <v>431</v>
      </c>
      <c r="J54" s="20" t="s">
        <v>431</v>
      </c>
      <c r="K54" s="18" t="n">
        <v>4.11752703</v>
      </c>
      <c r="L54" s="20" t="n">
        <v>0.94867355</v>
      </c>
      <c r="M54" s="18" t="n">
        <v>0</v>
      </c>
      <c r="N54" s="20" t="n">
        <v>0</v>
      </c>
      <c r="O54" s="18" t="n">
        <v>0</v>
      </c>
      <c r="P54" s="20" t="n">
        <v>0</v>
      </c>
      <c r="Q54" s="18" t="n">
        <v>2.08560406</v>
      </c>
      <c r="R54" s="20" t="n">
        <v>0.90930425</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(3106.0/B67*100)</f>
        <v/>
      </c>
      <c r="D67" s="19" t="n">
        <v>405</v>
      </c>
      <c r="E67" s="18" t="n">
        <v>24.48168845</v>
      </c>
      <c r="F67" s="20" t="n">
        <v>2.21237591</v>
      </c>
      <c r="G67" s="18" t="n">
        <v>74.39139614</v>
      </c>
      <c r="H67" s="20" t="n">
        <v>2.40607953</v>
      </c>
      <c r="I67" s="18" t="s">
        <v>431</v>
      </c>
      <c r="J67" s="20" t="s">
        <v>431</v>
      </c>
      <c r="K67" s="18" t="n">
        <v>0.32020667</v>
      </c>
      <c r="L67" s="20" t="n">
        <v>0.31925907</v>
      </c>
      <c r="M67" s="18" t="n">
        <v>0</v>
      </c>
      <c r="N67" s="20" t="n">
        <v>0</v>
      </c>
      <c r="O67" s="18" t="n">
        <v>0</v>
      </c>
      <c r="P67" s="20" t="n">
        <v>0</v>
      </c>
      <c r="Q67" s="18" t="n">
        <v>0.80670873</v>
      </c>
      <c r="R67" s="20" t="n">
        <v>0.49492543</v>
      </c>
    </row>
    <row r="68" spans="1:18">
      <c r="A68" s="15" t="s">
        <v>492</v>
      </c>
      <c r="B68" s="17" t="n">
        <v>6049</v>
      </c>
      <c r="C68" s="18">
        <f>(5024.0/B68*100)</f>
        <v/>
      </c>
      <c r="D68" s="19" t="n">
        <v>1025</v>
      </c>
      <c r="E68" s="18" t="n">
        <v>43.41153784</v>
      </c>
      <c r="F68" s="20" t="n">
        <v>1.78682192</v>
      </c>
      <c r="G68" s="18" t="n">
        <v>51.20260117</v>
      </c>
      <c r="H68" s="20" t="n">
        <v>1.727899</v>
      </c>
      <c r="I68" s="18" t="s">
        <v>431</v>
      </c>
      <c r="J68" s="20" t="s">
        <v>431</v>
      </c>
      <c r="K68" s="18" t="n">
        <v>3.59315478</v>
      </c>
      <c r="L68" s="20" t="n">
        <v>0.55130316</v>
      </c>
      <c r="M68" s="18" t="n">
        <v>0</v>
      </c>
      <c r="N68" s="20" t="n">
        <v>0</v>
      </c>
      <c r="O68" s="18" t="n">
        <v>0</v>
      </c>
      <c r="P68" s="20" t="n">
        <v>0</v>
      </c>
      <c r="Q68" s="18" t="n">
        <v>1.79270621</v>
      </c>
      <c r="R68" s="20" t="n">
        <v>0.40325489</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(2142.0/B75*100)</f>
        <v/>
      </c>
      <c r="D75" s="19" t="n">
        <v>264</v>
      </c>
      <c r="E75" s="18" t="n">
        <v>33.877081</v>
      </c>
      <c r="F75" s="20" t="n">
        <v>2.9769209</v>
      </c>
      <c r="G75" s="18" t="n">
        <v>60.95906065</v>
      </c>
      <c r="H75" s="20" t="n">
        <v>2.90244371</v>
      </c>
      <c r="I75" s="18" t="s">
        <v>431</v>
      </c>
      <c r="J75" s="20" t="s">
        <v>431</v>
      </c>
      <c r="K75" s="18" t="n">
        <v>1.92691484</v>
      </c>
      <c r="L75" s="20" t="n">
        <v>0.74034511</v>
      </c>
      <c r="M75" s="18" t="n">
        <v>0</v>
      </c>
      <c r="N75" s="20" t="n">
        <v>0</v>
      </c>
      <c r="O75" s="18" t="n">
        <v>0</v>
      </c>
      <c r="P75" s="20" t="n">
        <v>0</v>
      </c>
      <c r="Q75" s="18" t="n">
        <v>3.23694352</v>
      </c>
      <c r="R75" s="20" t="n">
        <v>1.30337026</v>
      </c>
    </row>
    <row r="76" spans="1:18">
      <c r="A76" s="15" t="s">
        <v>500</v>
      </c>
      <c r="B76" s="17" t="n">
        <v>7052</v>
      </c>
      <c r="C76" s="18">
        <f>(6201.0/B76*100)</f>
        <v/>
      </c>
      <c r="D76" s="19" t="n">
        <v>851</v>
      </c>
      <c r="E76" s="18" t="n">
        <v>43.10453305</v>
      </c>
      <c r="F76" s="20" t="n">
        <v>2.40165255</v>
      </c>
      <c r="G76" s="18" t="n">
        <v>55.1279601</v>
      </c>
      <c r="H76" s="20" t="n">
        <v>2.34273808</v>
      </c>
      <c r="I76" s="18" t="s">
        <v>431</v>
      </c>
      <c r="J76" s="20" t="s">
        <v>431</v>
      </c>
      <c r="K76" s="18" t="n">
        <v>0.95631306</v>
      </c>
      <c r="L76" s="20" t="n">
        <v>0.32955773</v>
      </c>
      <c r="M76" s="18" t="n">
        <v>0</v>
      </c>
      <c r="N76" s="20" t="n">
        <v>0</v>
      </c>
      <c r="O76" s="18" t="n">
        <v>0</v>
      </c>
      <c r="P76" s="20" t="n">
        <v>0</v>
      </c>
      <c r="Q76" s="18" t="n">
        <v>0.81119378</v>
      </c>
      <c r="R76" s="20" t="n">
        <v>0.29124046</v>
      </c>
    </row>
    <row r="77" spans="1:18">
      <c r="A77" s="15" t="s">
        <v>501</v>
      </c>
      <c r="B77" s="17" t="n">
        <v>2908</v>
      </c>
      <c r="C77" s="18">
        <f>(2583.0/B77*100)</f>
        <v/>
      </c>
      <c r="D77" s="19" t="n">
        <v>325</v>
      </c>
      <c r="E77" s="18" t="n">
        <v>26.07150557</v>
      </c>
      <c r="F77" s="20" t="n">
        <v>3.15198213</v>
      </c>
      <c r="G77" s="18" t="n">
        <v>71.35766717</v>
      </c>
      <c r="H77" s="20" t="n">
        <v>3.2139368</v>
      </c>
      <c r="I77" s="18" t="s">
        <v>431</v>
      </c>
      <c r="J77" s="20" t="s">
        <v>431</v>
      </c>
      <c r="K77" s="18" t="n">
        <v>0.59297848</v>
      </c>
      <c r="L77" s="20" t="n">
        <v>0.42124742</v>
      </c>
      <c r="M77" s="18" t="n">
        <v>0</v>
      </c>
      <c r="N77" s="20" t="n">
        <v>0</v>
      </c>
      <c r="O77" s="18" t="n">
        <v>0</v>
      </c>
      <c r="P77" s="20" t="n">
        <v>0</v>
      </c>
      <c r="Q77" s="18" t="n">
        <v>1.97784877</v>
      </c>
      <c r="R77" s="20" t="n">
        <v>0.79612112</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(3669.0/B81*100)</f>
        <v/>
      </c>
      <c r="D81" s="19" t="n">
        <v>494</v>
      </c>
      <c r="E81" s="18" t="n">
        <v>32.76677534</v>
      </c>
      <c r="F81" s="20" t="n">
        <v>2.36044085</v>
      </c>
      <c r="G81" s="18" t="n">
        <v>66.1891317</v>
      </c>
      <c r="H81" s="20" t="n">
        <v>2.3985464</v>
      </c>
      <c r="I81" s="18" t="s">
        <v>431</v>
      </c>
      <c r="J81" s="20" t="s">
        <v>431</v>
      </c>
      <c r="K81" s="18" t="n">
        <v>1.04409296</v>
      </c>
      <c r="L81" s="20" t="n">
        <v>0.5611960499999999</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(3127.0/B11*100)</f>
        <v/>
      </c>
      <c r="D11" s="19" t="n">
        <v>426</v>
      </c>
      <c r="E11" s="18" t="n">
        <v>30.67001346</v>
      </c>
      <c r="F11" s="20" t="n">
        <v>2.70097209</v>
      </c>
      <c r="G11" s="18" t="n">
        <v>61.95266815</v>
      </c>
      <c r="H11" s="20" t="n">
        <v>2.69447004</v>
      </c>
      <c r="I11" s="18" t="s">
        <v>431</v>
      </c>
      <c r="J11" s="20" t="s">
        <v>431</v>
      </c>
      <c r="K11" s="18" t="n">
        <v>0.9265516</v>
      </c>
      <c r="L11" s="20" t="n">
        <v>0.74425811</v>
      </c>
      <c r="M11" s="18" t="n">
        <v>0</v>
      </c>
      <c r="N11" s="20" t="n">
        <v>0</v>
      </c>
      <c r="O11" s="18" t="n">
        <v>0</v>
      </c>
      <c r="P11" s="20" t="n">
        <v>0</v>
      </c>
      <c r="Q11" s="18" t="n">
        <v>6.45076679</v>
      </c>
      <c r="R11" s="20" t="n">
        <v>1.20227185</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(3344.0/B28*100)</f>
        <v/>
      </c>
      <c r="D28" s="19" t="n">
        <v>421</v>
      </c>
      <c r="E28" s="18" t="n">
        <v>39.08670944</v>
      </c>
      <c r="F28" s="20" t="n">
        <v>2.50968998</v>
      </c>
      <c r="G28" s="18" t="n">
        <v>60.09306976</v>
      </c>
      <c r="H28" s="20" t="n">
        <v>2.3835574</v>
      </c>
      <c r="I28" s="18" t="s">
        <v>431</v>
      </c>
      <c r="J28" s="20" t="s">
        <v>431</v>
      </c>
      <c r="K28" s="18" t="n">
        <v>0.44364684</v>
      </c>
      <c r="L28" s="20" t="n">
        <v>0.44734875</v>
      </c>
      <c r="M28" s="18" t="n">
        <v>0.37657395</v>
      </c>
      <c r="N28" s="20" t="n">
        <v>0.37645803</v>
      </c>
      <c r="O28" s="18" t="n">
        <v>0</v>
      </c>
      <c r="P28" s="20" t="n">
        <v>0</v>
      </c>
      <c r="Q28" s="18" t="n">
        <v>0</v>
      </c>
      <c r="R28" s="20" t="n">
        <v>0</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(9879.0/B46*100)</f>
        <v/>
      </c>
      <c r="D46" s="19" t="n">
        <v>1189</v>
      </c>
      <c r="E46" s="18" t="n">
        <v>40.9668931</v>
      </c>
      <c r="F46" s="20" t="n">
        <v>1.92309439</v>
      </c>
      <c r="G46" s="18" t="n">
        <v>40.80330112</v>
      </c>
      <c r="H46" s="20" t="n">
        <v>1.82764512</v>
      </c>
      <c r="I46" s="18" t="s">
        <v>431</v>
      </c>
      <c r="J46" s="20" t="s">
        <v>431</v>
      </c>
      <c r="K46" s="18" t="n">
        <v>1.31198764</v>
      </c>
      <c r="L46" s="20" t="n">
        <v>0.43005065</v>
      </c>
      <c r="M46" s="18" t="n">
        <v>0.03826449</v>
      </c>
      <c r="N46" s="20" t="n">
        <v>0.03521651</v>
      </c>
      <c r="O46" s="18" t="n">
        <v>0</v>
      </c>
      <c r="P46" s="20" t="n">
        <v>0</v>
      </c>
      <c r="Q46" s="18" t="n">
        <v>16.87955365</v>
      </c>
      <c r="R46" s="20" t="n">
        <v>1.72131271</v>
      </c>
    </row>
    <row r="47" spans="1:18">
      <c r="A47" s="15" t="s">
        <v>471</v>
      </c>
      <c r="B47" s="17" t="n">
        <v>3105</v>
      </c>
      <c r="C47" s="18">
        <f>(2739.0/B47*100)</f>
        <v/>
      </c>
      <c r="D47" s="19" t="n">
        <v>366</v>
      </c>
      <c r="E47" s="18" t="n">
        <v>45.27636968</v>
      </c>
      <c r="F47" s="20" t="n">
        <v>2.56367482</v>
      </c>
      <c r="G47" s="18" t="n">
        <v>47.5572261</v>
      </c>
      <c r="H47" s="20" t="n">
        <v>2.93752727</v>
      </c>
      <c r="I47" s="18" t="s">
        <v>431</v>
      </c>
      <c r="J47" s="20" t="s">
        <v>431</v>
      </c>
      <c r="K47" s="18" t="n">
        <v>0</v>
      </c>
      <c r="L47" s="20" t="n">
        <v>0</v>
      </c>
      <c r="M47" s="18" t="n">
        <v>0</v>
      </c>
      <c r="N47" s="20" t="n">
        <v>0</v>
      </c>
      <c r="O47" s="18" t="n">
        <v>0</v>
      </c>
      <c r="P47" s="20" t="n">
        <v>0</v>
      </c>
      <c r="Q47" s="18" t="n">
        <v>7.16640421</v>
      </c>
      <c r="R47" s="20" t="n">
        <v>1.3251981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(4955.0/B50*100)</f>
        <v/>
      </c>
      <c r="D50" s="19" t="n">
        <v>682</v>
      </c>
      <c r="E50" s="18" t="n">
        <v>31.44707516</v>
      </c>
      <c r="F50" s="20" t="n">
        <v>2.83238971</v>
      </c>
      <c r="G50" s="18" t="n">
        <v>66.76129878</v>
      </c>
      <c r="H50" s="20" t="n">
        <v>2.75639718</v>
      </c>
      <c r="I50" s="18" t="s">
        <v>431</v>
      </c>
      <c r="J50" s="20" t="s">
        <v>431</v>
      </c>
      <c r="K50" s="18" t="n">
        <v>1.14155672</v>
      </c>
      <c r="L50" s="20" t="n">
        <v>0.46893393</v>
      </c>
      <c r="M50" s="18" t="n">
        <v>0.00791173</v>
      </c>
      <c r="N50" s="20" t="n">
        <v>0.00754806</v>
      </c>
      <c r="O50" s="18" t="n">
        <v>0</v>
      </c>
      <c r="P50" s="20" t="n">
        <v>0</v>
      </c>
      <c r="Q50" s="18" t="n">
        <v>0.64215761</v>
      </c>
      <c r="R50" s="20" t="n">
        <v>0.40825737</v>
      </c>
    </row>
    <row r="51" spans="1:18">
      <c r="A51" s="15" t="s">
        <v>475</v>
      </c>
      <c r="B51" s="17" t="n">
        <v>3372</v>
      </c>
      <c r="C51" s="18">
        <f>(3028.0/B51*100)</f>
        <v/>
      </c>
      <c r="D51" s="19" t="n">
        <v>344</v>
      </c>
      <c r="E51" s="18" t="n">
        <v>25.20606854</v>
      </c>
      <c r="F51" s="20" t="n">
        <v>2.28623416</v>
      </c>
      <c r="G51" s="18" t="n">
        <v>61.10369082</v>
      </c>
      <c r="H51" s="20" t="n">
        <v>2.75187685</v>
      </c>
      <c r="I51" s="18" t="s">
        <v>431</v>
      </c>
      <c r="J51" s="20" t="s">
        <v>431</v>
      </c>
      <c r="K51" s="18" t="n">
        <v>0.68999849</v>
      </c>
      <c r="L51" s="20" t="n">
        <v>0.46961439</v>
      </c>
      <c r="M51" s="18" t="n">
        <v>0</v>
      </c>
      <c r="N51" s="20" t="n">
        <v>0</v>
      </c>
      <c r="O51" s="18" t="n">
        <v>0</v>
      </c>
      <c r="P51" s="20" t="n">
        <v>0</v>
      </c>
      <c r="Q51" s="18" t="n">
        <v>13.00024215</v>
      </c>
      <c r="R51" s="20" t="n">
        <v>1.75530023</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(2478.0/B53*100)</f>
        <v/>
      </c>
      <c r="D53" s="19" t="n">
        <v>333</v>
      </c>
      <c r="E53" s="18" t="n">
        <v>50.00716123</v>
      </c>
      <c r="F53" s="20" t="n">
        <v>2.79583001</v>
      </c>
      <c r="G53" s="18" t="n">
        <v>48.92295569</v>
      </c>
      <c r="H53" s="20" t="n">
        <v>2.83840453</v>
      </c>
      <c r="I53" s="18" t="s">
        <v>431</v>
      </c>
      <c r="J53" s="20" t="s">
        <v>431</v>
      </c>
      <c r="K53" s="18" t="n">
        <v>0.66100074</v>
      </c>
      <c r="L53" s="20" t="n">
        <v>0.5004283899999999</v>
      </c>
      <c r="M53" s="18" t="n">
        <v>0</v>
      </c>
      <c r="N53" s="20" t="n">
        <v>0</v>
      </c>
      <c r="O53" s="18" t="n">
        <v>0</v>
      </c>
      <c r="P53" s="20" t="n">
        <v>0</v>
      </c>
      <c r="Q53" s="18" t="n">
        <v>0.40888234</v>
      </c>
      <c r="R53" s="20" t="n">
        <v>0.40986693</v>
      </c>
    </row>
    <row r="54" spans="1:18">
      <c r="A54" s="15" t="s">
        <v>478</v>
      </c>
      <c r="B54" s="17" t="n">
        <v>2266</v>
      </c>
      <c r="C54" s="18">
        <f>(1903.0/B54*100)</f>
        <v/>
      </c>
      <c r="D54" s="19" t="n">
        <v>363</v>
      </c>
      <c r="E54" s="18" t="n">
        <v>50.23431013</v>
      </c>
      <c r="F54" s="20" t="n">
        <v>3.38990972</v>
      </c>
      <c r="G54" s="18" t="n">
        <v>42.10165637</v>
      </c>
      <c r="H54" s="20" t="n">
        <v>3.3412129</v>
      </c>
      <c r="I54" s="18" t="s">
        <v>431</v>
      </c>
      <c r="J54" s="20" t="s">
        <v>431</v>
      </c>
      <c r="K54" s="18" t="n">
        <v>4.46961306</v>
      </c>
      <c r="L54" s="20" t="n">
        <v>1.01748312</v>
      </c>
      <c r="M54" s="18" t="n">
        <v>1.10119586</v>
      </c>
      <c r="N54" s="20" t="n">
        <v>0.90577241</v>
      </c>
      <c r="O54" s="18" t="n">
        <v>0</v>
      </c>
      <c r="P54" s="20" t="n">
        <v>0</v>
      </c>
      <c r="Q54" s="18" t="n">
        <v>2.09322457</v>
      </c>
      <c r="R54" s="20" t="n">
        <v>0.83292415</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(3114.0/B67*100)</f>
        <v/>
      </c>
      <c r="D67" s="19" t="n">
        <v>397</v>
      </c>
      <c r="E67" s="18" t="n">
        <v>44.82488601</v>
      </c>
      <c r="F67" s="20" t="n">
        <v>2.28150869</v>
      </c>
      <c r="G67" s="18" t="n">
        <v>53.25275117</v>
      </c>
      <c r="H67" s="20" t="n">
        <v>2.32051906</v>
      </c>
      <c r="I67" s="18" t="s">
        <v>431</v>
      </c>
      <c r="J67" s="20" t="s">
        <v>431</v>
      </c>
      <c r="K67" s="18" t="n">
        <v>0.32720274</v>
      </c>
      <c r="L67" s="20" t="n">
        <v>0.32626471</v>
      </c>
      <c r="M67" s="18" t="n">
        <v>0.29219208</v>
      </c>
      <c r="N67" s="20" t="n">
        <v>0.29006184</v>
      </c>
      <c r="O67" s="18" t="n">
        <v>0</v>
      </c>
      <c r="P67" s="20" t="n">
        <v>0</v>
      </c>
      <c r="Q67" s="18" t="n">
        <v>1.302968</v>
      </c>
      <c r="R67" s="20" t="n">
        <v>0.58995206</v>
      </c>
    </row>
    <row r="68" spans="1:18">
      <c r="A68" s="15" t="s">
        <v>492</v>
      </c>
      <c r="B68" s="17" t="n">
        <v>6049</v>
      </c>
      <c r="C68" s="18">
        <f>(5024.0/B68*100)</f>
        <v/>
      </c>
      <c r="D68" s="19" t="n">
        <v>1025</v>
      </c>
      <c r="E68" s="18" t="n">
        <v>48.51085115</v>
      </c>
      <c r="F68" s="20" t="n">
        <v>1.67692881</v>
      </c>
      <c r="G68" s="18" t="n">
        <v>45.30840545</v>
      </c>
      <c r="H68" s="20" t="n">
        <v>1.53076189</v>
      </c>
      <c r="I68" s="18" t="s">
        <v>431</v>
      </c>
      <c r="J68" s="20" t="s">
        <v>431</v>
      </c>
      <c r="K68" s="18" t="n">
        <v>3.77686013</v>
      </c>
      <c r="L68" s="20" t="n">
        <v>0.5502015099999999</v>
      </c>
      <c r="M68" s="18" t="n">
        <v>0.0940777</v>
      </c>
      <c r="N68" s="20" t="n">
        <v>0.09412439</v>
      </c>
      <c r="O68" s="18" t="n">
        <v>0</v>
      </c>
      <c r="P68" s="20" t="n">
        <v>0</v>
      </c>
      <c r="Q68" s="18" t="n">
        <v>2.30980558</v>
      </c>
      <c r="R68" s="20" t="n">
        <v>0.4717256</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(2144.0/B75*100)</f>
        <v/>
      </c>
      <c r="D75" s="19" t="n">
        <v>262</v>
      </c>
      <c r="E75" s="18" t="n">
        <v>43.58178093</v>
      </c>
      <c r="F75" s="20" t="n">
        <v>3.67828261</v>
      </c>
      <c r="G75" s="18" t="n">
        <v>52.81872959</v>
      </c>
      <c r="H75" s="20" t="n">
        <v>3.82449467</v>
      </c>
      <c r="I75" s="18" t="s">
        <v>431</v>
      </c>
      <c r="J75" s="20" t="s">
        <v>431</v>
      </c>
      <c r="K75" s="18" t="n">
        <v>1.94011896</v>
      </c>
      <c r="L75" s="20" t="n">
        <v>0.74434408</v>
      </c>
      <c r="M75" s="18" t="n">
        <v>0</v>
      </c>
      <c r="N75" s="20" t="n">
        <v>0</v>
      </c>
      <c r="O75" s="18" t="n">
        <v>0</v>
      </c>
      <c r="P75" s="20" t="n">
        <v>0</v>
      </c>
      <c r="Q75" s="18" t="n">
        <v>1.65937052</v>
      </c>
      <c r="R75" s="20" t="n">
        <v>1.10857803</v>
      </c>
    </row>
    <row r="76" spans="1:18">
      <c r="A76" s="15" t="s">
        <v>500</v>
      </c>
      <c r="B76" s="17" t="n">
        <v>7052</v>
      </c>
      <c r="C76" s="18">
        <f>(6199.0/B76*100)</f>
        <v/>
      </c>
      <c r="D76" s="19" t="n">
        <v>853</v>
      </c>
      <c r="E76" s="18" t="n">
        <v>38.55781408</v>
      </c>
      <c r="F76" s="20" t="n">
        <v>2.08673276</v>
      </c>
      <c r="G76" s="18" t="n">
        <v>58.07178233</v>
      </c>
      <c r="H76" s="20" t="n">
        <v>2.04005726</v>
      </c>
      <c r="I76" s="18" t="s">
        <v>431</v>
      </c>
      <c r="J76" s="20" t="s">
        <v>431</v>
      </c>
      <c r="K76" s="18" t="n">
        <v>1.47336728</v>
      </c>
      <c r="L76" s="20" t="n">
        <v>0.45814691</v>
      </c>
      <c r="M76" s="18" t="n">
        <v>0.27512615</v>
      </c>
      <c r="N76" s="20" t="n">
        <v>0.17817956</v>
      </c>
      <c r="O76" s="18" t="n">
        <v>0</v>
      </c>
      <c r="P76" s="20" t="n">
        <v>0</v>
      </c>
      <c r="Q76" s="18" t="n">
        <v>1.62191016</v>
      </c>
      <c r="R76" s="20" t="n">
        <v>0.72810876</v>
      </c>
    </row>
    <row r="77" spans="1:18">
      <c r="A77" s="15" t="s">
        <v>501</v>
      </c>
      <c r="B77" s="17" t="n">
        <v>2908</v>
      </c>
      <c r="C77" s="18">
        <f>(2586.0/B77*100)</f>
        <v/>
      </c>
      <c r="D77" s="19" t="n">
        <v>322</v>
      </c>
      <c r="E77" s="18" t="n">
        <v>41.16086632</v>
      </c>
      <c r="F77" s="20" t="n">
        <v>2.88012896</v>
      </c>
      <c r="G77" s="18" t="n">
        <v>56.11151444</v>
      </c>
      <c r="H77" s="20" t="n">
        <v>2.9440872</v>
      </c>
      <c r="I77" s="18" t="s">
        <v>431</v>
      </c>
      <c r="J77" s="20" t="s">
        <v>431</v>
      </c>
      <c r="K77" s="18" t="n">
        <v>0.87823491</v>
      </c>
      <c r="L77" s="20" t="n">
        <v>0.48886249</v>
      </c>
      <c r="M77" s="18" t="n">
        <v>0</v>
      </c>
      <c r="N77" s="20" t="n">
        <v>0</v>
      </c>
      <c r="O77" s="18" t="n">
        <v>0</v>
      </c>
      <c r="P77" s="20" t="n">
        <v>0</v>
      </c>
      <c r="Q77" s="18" t="n">
        <v>1.84938433</v>
      </c>
      <c r="R77" s="20" t="n">
        <v>0.87540021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(3671.0/B81*100)</f>
        <v/>
      </c>
      <c r="D81" s="19" t="n">
        <v>492</v>
      </c>
      <c r="E81" s="18" t="n">
        <v>35.02410765</v>
      </c>
      <c r="F81" s="20" t="n">
        <v>2.65751232</v>
      </c>
      <c r="G81" s="18" t="n">
        <v>63.2550132</v>
      </c>
      <c r="H81" s="20" t="n">
        <v>2.70244706</v>
      </c>
      <c r="I81" s="18" t="s">
        <v>431</v>
      </c>
      <c r="J81" s="20" t="s">
        <v>431</v>
      </c>
      <c r="K81" s="18" t="n">
        <v>1.05093003</v>
      </c>
      <c r="L81" s="20" t="n">
        <v>0.56477088</v>
      </c>
      <c r="M81" s="18" t="n">
        <v>0</v>
      </c>
      <c r="N81" s="20" t="n">
        <v>0</v>
      </c>
      <c r="O81" s="18" t="n">
        <v>0</v>
      </c>
      <c r="P81" s="20" t="n">
        <v>0</v>
      </c>
      <c r="Q81" s="18" t="n">
        <v>0.66994912</v>
      </c>
      <c r="R81" s="20" t="n">
        <v>0.46784364</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(3127.0/B11*100)</f>
        <v/>
      </c>
      <c r="D11" s="19" t="n">
        <v>426</v>
      </c>
      <c r="E11" s="18" t="n">
        <v>48.45284308</v>
      </c>
      <c r="F11" s="20" t="n">
        <v>2.9180553</v>
      </c>
      <c r="G11" s="18" t="n">
        <v>48.71992658</v>
      </c>
      <c r="H11" s="20" t="n">
        <v>2.81065352</v>
      </c>
      <c r="I11" s="18" t="s">
        <v>431</v>
      </c>
      <c r="J11" s="20" t="s">
        <v>431</v>
      </c>
      <c r="K11" s="18" t="n">
        <v>0.9265516</v>
      </c>
      <c r="L11" s="20" t="n">
        <v>0.74425811</v>
      </c>
      <c r="M11" s="18" t="n">
        <v>0</v>
      </c>
      <c r="N11" s="20" t="n">
        <v>0</v>
      </c>
      <c r="O11" s="18" t="n">
        <v>0</v>
      </c>
      <c r="P11" s="20" t="n">
        <v>0</v>
      </c>
      <c r="Q11" s="18" t="n">
        <v>1.90067874</v>
      </c>
      <c r="R11" s="20" t="n">
        <v>0.95235707</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(3344.0/B28*100)</f>
        <v/>
      </c>
      <c r="D28" s="19" t="n">
        <v>421</v>
      </c>
      <c r="E28" s="18" t="n">
        <v>48.78968859</v>
      </c>
      <c r="F28" s="20" t="n">
        <v>2.78064251</v>
      </c>
      <c r="G28" s="18" t="n">
        <v>50.76666456</v>
      </c>
      <c r="H28" s="20" t="n">
        <v>2.73516108</v>
      </c>
      <c r="I28" s="18" t="s">
        <v>431</v>
      </c>
      <c r="J28" s="20" t="s">
        <v>431</v>
      </c>
      <c r="K28" s="18" t="n">
        <v>0.44364684</v>
      </c>
      <c r="L28" s="20" t="n">
        <v>0.44734875</v>
      </c>
      <c r="M28" s="18" t="n">
        <v>0</v>
      </c>
      <c r="N28" s="20" t="n">
        <v>0</v>
      </c>
      <c r="O28" s="18" t="n">
        <v>0</v>
      </c>
      <c r="P28" s="20" t="n">
        <v>0</v>
      </c>
      <c r="Q28" s="18" t="n">
        <v>0</v>
      </c>
      <c r="R28" s="20" t="n">
        <v>0</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(9877.0/B46*100)</f>
        <v/>
      </c>
      <c r="D46" s="19" t="n">
        <v>1191</v>
      </c>
      <c r="E46" s="18" t="n">
        <v>56.09573762</v>
      </c>
      <c r="F46" s="20" t="n">
        <v>2.02645076</v>
      </c>
      <c r="G46" s="18" t="n">
        <v>41.81654639</v>
      </c>
      <c r="H46" s="20" t="n">
        <v>1.89399985</v>
      </c>
      <c r="I46" s="18" t="s">
        <v>431</v>
      </c>
      <c r="J46" s="20" t="s">
        <v>431</v>
      </c>
      <c r="K46" s="18" t="n">
        <v>1.48728145</v>
      </c>
      <c r="L46" s="20" t="n">
        <v>0.44964641</v>
      </c>
      <c r="M46" s="18" t="n">
        <v>0</v>
      </c>
      <c r="N46" s="20" t="n">
        <v>0</v>
      </c>
      <c r="O46" s="18" t="n">
        <v>0</v>
      </c>
      <c r="P46" s="20" t="n">
        <v>0</v>
      </c>
      <c r="Q46" s="18" t="n">
        <v>0.60043454</v>
      </c>
      <c r="R46" s="20" t="n">
        <v>0.23112119</v>
      </c>
    </row>
    <row r="47" spans="1:18">
      <c r="A47" s="15" t="s">
        <v>471</v>
      </c>
      <c r="B47" s="17" t="n">
        <v>3105</v>
      </c>
      <c r="C47" s="18">
        <f>(2739.0/B47*100)</f>
        <v/>
      </c>
      <c r="D47" s="19" t="n">
        <v>366</v>
      </c>
      <c r="E47" s="18" t="n">
        <v>45.58755104</v>
      </c>
      <c r="F47" s="20" t="n">
        <v>2.49693306</v>
      </c>
      <c r="G47" s="18" t="n">
        <v>54.15593708</v>
      </c>
      <c r="H47" s="20" t="n">
        <v>2.52257965</v>
      </c>
      <c r="I47" s="18" t="s">
        <v>431</v>
      </c>
      <c r="J47" s="20" t="s">
        <v>431</v>
      </c>
      <c r="K47" s="18" t="n">
        <v>0.25651188</v>
      </c>
      <c r="L47" s="20" t="n">
        <v>0.24122271</v>
      </c>
      <c r="M47" s="18" t="n">
        <v>0</v>
      </c>
      <c r="N47" s="20" t="n">
        <v>0</v>
      </c>
      <c r="O47" s="18" t="n">
        <v>0</v>
      </c>
      <c r="P47" s="20" t="n">
        <v>0</v>
      </c>
      <c r="Q47" s="18" t="n">
        <v>0</v>
      </c>
      <c r="R47" s="20" t="n">
        <v>0</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(4955.0/B50*100)</f>
        <v/>
      </c>
      <c r="D50" s="19" t="n">
        <v>682</v>
      </c>
      <c r="E50" s="18" t="n">
        <v>73.07219705</v>
      </c>
      <c r="F50" s="20" t="n">
        <v>2.35166035</v>
      </c>
      <c r="G50" s="18" t="n">
        <v>25.30481068</v>
      </c>
      <c r="H50" s="20" t="n">
        <v>2.32649186</v>
      </c>
      <c r="I50" s="18" t="s">
        <v>431</v>
      </c>
      <c r="J50" s="20" t="s">
        <v>431</v>
      </c>
      <c r="K50" s="18" t="n">
        <v>1.14155672</v>
      </c>
      <c r="L50" s="20" t="n">
        <v>0.46893393</v>
      </c>
      <c r="M50" s="18" t="n">
        <v>0</v>
      </c>
      <c r="N50" s="20" t="n">
        <v>0</v>
      </c>
      <c r="O50" s="18" t="n">
        <v>0</v>
      </c>
      <c r="P50" s="20" t="n">
        <v>0</v>
      </c>
      <c r="Q50" s="18" t="n">
        <v>0.48143556</v>
      </c>
      <c r="R50" s="20" t="n">
        <v>0.28767107</v>
      </c>
    </row>
    <row r="51" spans="1:18">
      <c r="A51" s="15" t="s">
        <v>475</v>
      </c>
      <c r="B51" s="17" t="n">
        <v>3372</v>
      </c>
      <c r="C51" s="18">
        <f>(3028.0/B51*100)</f>
        <v/>
      </c>
      <c r="D51" s="19" t="n">
        <v>344</v>
      </c>
      <c r="E51" s="18" t="n">
        <v>60.44073531</v>
      </c>
      <c r="F51" s="20" t="n">
        <v>3.08299516</v>
      </c>
      <c r="G51" s="18" t="n">
        <v>38.44427486</v>
      </c>
      <c r="H51" s="20" t="n">
        <v>3.03851854</v>
      </c>
      <c r="I51" s="18" t="s">
        <v>431</v>
      </c>
      <c r="J51" s="20" t="s">
        <v>431</v>
      </c>
      <c r="K51" s="18" t="n">
        <v>0.68999849</v>
      </c>
      <c r="L51" s="20" t="n">
        <v>0.46961439</v>
      </c>
      <c r="M51" s="18" t="n">
        <v>0</v>
      </c>
      <c r="N51" s="20" t="n">
        <v>0</v>
      </c>
      <c r="O51" s="18" t="n">
        <v>0</v>
      </c>
      <c r="P51" s="20" t="n">
        <v>0</v>
      </c>
      <c r="Q51" s="18" t="n">
        <v>0.42499133</v>
      </c>
      <c r="R51" s="20" t="n">
        <v>0.38205769</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(2478.0/B53*100)</f>
        <v/>
      </c>
      <c r="D53" s="19" t="n">
        <v>333</v>
      </c>
      <c r="E53" s="18" t="n">
        <v>37.34207305</v>
      </c>
      <c r="F53" s="20" t="n">
        <v>2.80858772</v>
      </c>
      <c r="G53" s="18" t="n">
        <v>61.76574953</v>
      </c>
      <c r="H53" s="20" t="n">
        <v>2.79061571</v>
      </c>
      <c r="I53" s="18" t="s">
        <v>431</v>
      </c>
      <c r="J53" s="20" t="s">
        <v>431</v>
      </c>
      <c r="K53" s="18" t="n">
        <v>0.66100074</v>
      </c>
      <c r="L53" s="20" t="n">
        <v>0.5004283899999999</v>
      </c>
      <c r="M53" s="18" t="n">
        <v>0</v>
      </c>
      <c r="N53" s="20" t="n">
        <v>0</v>
      </c>
      <c r="O53" s="18" t="n">
        <v>0</v>
      </c>
      <c r="P53" s="20" t="n">
        <v>0</v>
      </c>
      <c r="Q53" s="18" t="n">
        <v>0.23117668</v>
      </c>
      <c r="R53" s="20" t="n">
        <v>0.23292712</v>
      </c>
    </row>
    <row r="54" spans="1:18">
      <c r="A54" s="15" t="s">
        <v>478</v>
      </c>
      <c r="B54" s="17" t="n">
        <v>2266</v>
      </c>
      <c r="C54" s="18">
        <f>(1903.0/B54*100)</f>
        <v/>
      </c>
      <c r="D54" s="19" t="n">
        <v>363</v>
      </c>
      <c r="E54" s="18" t="n">
        <v>62.65029529</v>
      </c>
      <c r="F54" s="20" t="n">
        <v>2.96041845</v>
      </c>
      <c r="G54" s="18" t="n">
        <v>30.49041179</v>
      </c>
      <c r="H54" s="20" t="n">
        <v>2.95806758</v>
      </c>
      <c r="I54" s="18" t="s">
        <v>431</v>
      </c>
      <c r="J54" s="20" t="s">
        <v>431</v>
      </c>
      <c r="K54" s="18" t="n">
        <v>5.64109023</v>
      </c>
      <c r="L54" s="20" t="n">
        <v>1.18979963</v>
      </c>
      <c r="M54" s="18" t="n">
        <v>0</v>
      </c>
      <c r="N54" s="20" t="n">
        <v>0</v>
      </c>
      <c r="O54" s="18" t="n">
        <v>0</v>
      </c>
      <c r="P54" s="20" t="n">
        <v>0</v>
      </c>
      <c r="Q54" s="18" t="n">
        <v>1.21820269</v>
      </c>
      <c r="R54" s="20" t="n">
        <v>0.40944719</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(3114.0/B67*100)</f>
        <v/>
      </c>
      <c r="D67" s="19" t="n">
        <v>397</v>
      </c>
      <c r="E67" s="18" t="n">
        <v>67.55044408000001</v>
      </c>
      <c r="F67" s="20" t="n">
        <v>2.67819254</v>
      </c>
      <c r="G67" s="18" t="n">
        <v>31.298019</v>
      </c>
      <c r="H67" s="20" t="n">
        <v>2.72966837</v>
      </c>
      <c r="I67" s="18" t="s">
        <v>431</v>
      </c>
      <c r="J67" s="20" t="s">
        <v>431</v>
      </c>
      <c r="K67" s="18" t="n">
        <v>0.32720274</v>
      </c>
      <c r="L67" s="20" t="n">
        <v>0.32626471</v>
      </c>
      <c r="M67" s="18" t="n">
        <v>0</v>
      </c>
      <c r="N67" s="20" t="n">
        <v>0</v>
      </c>
      <c r="O67" s="18" t="n">
        <v>0</v>
      </c>
      <c r="P67" s="20" t="n">
        <v>0</v>
      </c>
      <c r="Q67" s="18" t="n">
        <v>0.82433419</v>
      </c>
      <c r="R67" s="20" t="n">
        <v>0.50575416</v>
      </c>
    </row>
    <row r="68" spans="1:18">
      <c r="A68" s="15" t="s">
        <v>492</v>
      </c>
      <c r="B68" s="17" t="n">
        <v>6049</v>
      </c>
      <c r="C68" s="18">
        <f>(5024.0/B68*100)</f>
        <v/>
      </c>
      <c r="D68" s="19" t="n">
        <v>1025</v>
      </c>
      <c r="E68" s="18" t="n">
        <v>55.43181251</v>
      </c>
      <c r="F68" s="20" t="n">
        <v>1.58414332</v>
      </c>
      <c r="G68" s="18" t="n">
        <v>39.46279312</v>
      </c>
      <c r="H68" s="20" t="n">
        <v>1.54490219</v>
      </c>
      <c r="I68" s="18" t="s">
        <v>431</v>
      </c>
      <c r="J68" s="20" t="s">
        <v>431</v>
      </c>
      <c r="K68" s="18" t="n">
        <v>3.87023017</v>
      </c>
      <c r="L68" s="20" t="n">
        <v>0.55394465</v>
      </c>
      <c r="M68" s="18" t="n">
        <v>0</v>
      </c>
      <c r="N68" s="20" t="n">
        <v>0</v>
      </c>
      <c r="O68" s="18" t="n">
        <v>0</v>
      </c>
      <c r="P68" s="20" t="n">
        <v>0</v>
      </c>
      <c r="Q68" s="18" t="n">
        <v>1.2351642</v>
      </c>
      <c r="R68" s="20" t="n">
        <v>0.34932799</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(2144.0/B75*100)</f>
        <v/>
      </c>
      <c r="D75" s="19" t="n">
        <v>262</v>
      </c>
      <c r="E75" s="18" t="n">
        <v>23.11786155</v>
      </c>
      <c r="F75" s="20" t="n">
        <v>2.94549848</v>
      </c>
      <c r="G75" s="18" t="n">
        <v>71.55684685999999</v>
      </c>
      <c r="H75" s="20" t="n">
        <v>3.09527835</v>
      </c>
      <c r="I75" s="18" t="s">
        <v>431</v>
      </c>
      <c r="J75" s="20" t="s">
        <v>431</v>
      </c>
      <c r="K75" s="18" t="n">
        <v>3.84487495</v>
      </c>
      <c r="L75" s="20" t="n">
        <v>0.9859979</v>
      </c>
      <c r="M75" s="18" t="n">
        <v>0</v>
      </c>
      <c r="N75" s="20" t="n">
        <v>0</v>
      </c>
      <c r="O75" s="18" t="n">
        <v>0</v>
      </c>
      <c r="P75" s="20" t="n">
        <v>0</v>
      </c>
      <c r="Q75" s="18" t="n">
        <v>1.48041664</v>
      </c>
      <c r="R75" s="20" t="n">
        <v>1.04222264</v>
      </c>
    </row>
    <row r="76" spans="1:18">
      <c r="A76" s="15" t="s">
        <v>500</v>
      </c>
      <c r="B76" s="17" t="n">
        <v>7052</v>
      </c>
      <c r="C76" s="18">
        <f>(6201.0/B76*100)</f>
        <v/>
      </c>
      <c r="D76" s="19" t="n">
        <v>851</v>
      </c>
      <c r="E76" s="18" t="n">
        <v>54.63177152</v>
      </c>
      <c r="F76" s="20" t="n">
        <v>2.14581029</v>
      </c>
      <c r="G76" s="18" t="n">
        <v>43.20564703</v>
      </c>
      <c r="H76" s="20" t="n">
        <v>2.07088647</v>
      </c>
      <c r="I76" s="18" t="s">
        <v>431</v>
      </c>
      <c r="J76" s="20" t="s">
        <v>431</v>
      </c>
      <c r="K76" s="18" t="n">
        <v>1.52608262</v>
      </c>
      <c r="L76" s="20" t="n">
        <v>0.46214939</v>
      </c>
      <c r="M76" s="18" t="n">
        <v>0</v>
      </c>
      <c r="N76" s="20" t="n">
        <v>0</v>
      </c>
      <c r="O76" s="18" t="n">
        <v>0</v>
      </c>
      <c r="P76" s="20" t="n">
        <v>0</v>
      </c>
      <c r="Q76" s="18" t="n">
        <v>0.63649883</v>
      </c>
      <c r="R76" s="20" t="n">
        <v>0.25999212</v>
      </c>
    </row>
    <row r="77" spans="1:18">
      <c r="A77" s="15" t="s">
        <v>501</v>
      </c>
      <c r="B77" s="17" t="n">
        <v>2908</v>
      </c>
      <c r="C77" s="18">
        <f>(2586.0/B77*100)</f>
        <v/>
      </c>
      <c r="D77" s="19" t="n">
        <v>322</v>
      </c>
      <c r="E77" s="18" t="n">
        <v>34.75413904</v>
      </c>
      <c r="F77" s="20" t="n">
        <v>3.21585909</v>
      </c>
      <c r="G77" s="18" t="n">
        <v>62.55622066</v>
      </c>
      <c r="H77" s="20" t="n">
        <v>3.33267645</v>
      </c>
      <c r="I77" s="18" t="s">
        <v>431</v>
      </c>
      <c r="J77" s="20" t="s">
        <v>431</v>
      </c>
      <c r="K77" s="18" t="n">
        <v>0.87823491</v>
      </c>
      <c r="L77" s="20" t="n">
        <v>0.48886249</v>
      </c>
      <c r="M77" s="18" t="n">
        <v>0</v>
      </c>
      <c r="N77" s="20" t="n">
        <v>0</v>
      </c>
      <c r="O77" s="18" t="n">
        <v>0</v>
      </c>
      <c r="P77" s="20" t="n">
        <v>0</v>
      </c>
      <c r="Q77" s="18" t="n">
        <v>1.81140539</v>
      </c>
      <c r="R77" s="20" t="n">
        <v>0.8266358499999999</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(3671.0/B81*100)</f>
        <v/>
      </c>
      <c r="D81" s="19" t="n">
        <v>492</v>
      </c>
      <c r="E81" s="18" t="n">
        <v>51.62064856</v>
      </c>
      <c r="F81" s="20" t="n">
        <v>3.06064627</v>
      </c>
      <c r="G81" s="18" t="n">
        <v>47.00831778</v>
      </c>
      <c r="H81" s="20" t="n">
        <v>3.19616039</v>
      </c>
      <c r="I81" s="18" t="s">
        <v>431</v>
      </c>
      <c r="J81" s="20" t="s">
        <v>431</v>
      </c>
      <c r="K81" s="18" t="n">
        <v>1.37103366</v>
      </c>
      <c r="L81" s="20" t="n">
        <v>0.64660153</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(3129.0/B11*100)</f>
        <v/>
      </c>
      <c r="D11" s="19" t="n">
        <v>424</v>
      </c>
      <c r="E11" s="18" t="n">
        <v>5.28694817</v>
      </c>
      <c r="F11" s="20" t="n">
        <v>1.4065145</v>
      </c>
      <c r="G11" s="18" t="n">
        <v>93.14394458</v>
      </c>
      <c r="H11" s="20" t="n">
        <v>1.59743429</v>
      </c>
      <c r="I11" s="18" t="s">
        <v>431</v>
      </c>
      <c r="J11" s="20" t="s">
        <v>431</v>
      </c>
      <c r="K11" s="18" t="n">
        <v>1.24556589</v>
      </c>
      <c r="L11" s="20" t="n">
        <v>0.80893842</v>
      </c>
      <c r="M11" s="18" t="n">
        <v>0</v>
      </c>
      <c r="N11" s="20" t="n">
        <v>0</v>
      </c>
      <c r="O11" s="18" t="n">
        <v>0</v>
      </c>
      <c r="P11" s="20" t="n">
        <v>0</v>
      </c>
      <c r="Q11" s="18" t="n">
        <v>0.32354136</v>
      </c>
      <c r="R11" s="20" t="n">
        <v>0.32064944</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(3358.0/B28*100)</f>
        <v/>
      </c>
      <c r="D28" s="19" t="n">
        <v>407</v>
      </c>
      <c r="E28" s="18" t="n">
        <v>5.75548214</v>
      </c>
      <c r="F28" s="20" t="n">
        <v>1.43082979</v>
      </c>
      <c r="G28" s="18" t="n">
        <v>93.28551538000001</v>
      </c>
      <c r="H28" s="20" t="n">
        <v>1.56001194</v>
      </c>
      <c r="I28" s="18" t="s">
        <v>431</v>
      </c>
      <c r="J28" s="20" t="s">
        <v>431</v>
      </c>
      <c r="K28" s="18" t="n">
        <v>0.56806301</v>
      </c>
      <c r="L28" s="20" t="n">
        <v>0.47811078</v>
      </c>
      <c r="M28" s="18" t="n">
        <v>0.39093947</v>
      </c>
      <c r="N28" s="20" t="n">
        <v>0.39082891</v>
      </c>
      <c r="O28" s="18" t="n">
        <v>0</v>
      </c>
      <c r="P28" s="20" t="n">
        <v>0</v>
      </c>
      <c r="Q28" s="18" t="n">
        <v>0</v>
      </c>
      <c r="R28" s="20" t="n">
        <v>0</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(9969.0/B46*100)</f>
        <v/>
      </c>
      <c r="D46" s="19" t="n">
        <v>1099</v>
      </c>
      <c r="E46" s="18" t="n">
        <v>10.16110563</v>
      </c>
      <c r="F46" s="20" t="n">
        <v>1.31153709</v>
      </c>
      <c r="G46" s="18" t="n">
        <v>85.17976835</v>
      </c>
      <c r="H46" s="20" t="n">
        <v>1.51068923</v>
      </c>
      <c r="I46" s="18" t="s">
        <v>431</v>
      </c>
      <c r="J46" s="20" t="s">
        <v>431</v>
      </c>
      <c r="K46" s="18" t="n">
        <v>2.91306967</v>
      </c>
      <c r="L46" s="20" t="n">
        <v>0.64064745</v>
      </c>
      <c r="M46" s="18" t="n">
        <v>0.0408792</v>
      </c>
      <c r="N46" s="20" t="n">
        <v>0.03761654</v>
      </c>
      <c r="O46" s="18" t="n">
        <v>0</v>
      </c>
      <c r="P46" s="20" t="n">
        <v>0</v>
      </c>
      <c r="Q46" s="18" t="n">
        <v>1.70517714</v>
      </c>
      <c r="R46" s="20" t="n">
        <v>0.51782977</v>
      </c>
    </row>
    <row r="47" spans="1:18">
      <c r="A47" s="15" t="s">
        <v>471</v>
      </c>
      <c r="B47" s="17" t="n">
        <v>3105</v>
      </c>
      <c r="C47" s="18">
        <f>(2743.0/B47*100)</f>
        <v/>
      </c>
      <c r="D47" s="19" t="n">
        <v>362</v>
      </c>
      <c r="E47" s="18" t="n">
        <v>18.21604679</v>
      </c>
      <c r="F47" s="20" t="n">
        <v>2.16615725</v>
      </c>
      <c r="G47" s="18" t="n">
        <v>76.14972385</v>
      </c>
      <c r="H47" s="20" t="n">
        <v>2.5768039</v>
      </c>
      <c r="I47" s="18" t="s">
        <v>431</v>
      </c>
      <c r="J47" s="20" t="s">
        <v>431</v>
      </c>
      <c r="K47" s="18" t="n">
        <v>3.64995906</v>
      </c>
      <c r="L47" s="20" t="n">
        <v>1.05172696</v>
      </c>
      <c r="M47" s="18" t="n">
        <v>0</v>
      </c>
      <c r="N47" s="20" t="n">
        <v>0</v>
      </c>
      <c r="O47" s="18" t="n">
        <v>0</v>
      </c>
      <c r="P47" s="20" t="n">
        <v>0</v>
      </c>
      <c r="Q47" s="18" t="n">
        <v>1.98427029</v>
      </c>
      <c r="R47" s="20" t="n">
        <v>0.78671055</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(4961.0/B50*100)</f>
        <v/>
      </c>
      <c r="D50" s="19" t="n">
        <v>676</v>
      </c>
      <c r="E50" s="18" t="n">
        <v>6.81518567</v>
      </c>
      <c r="F50" s="20" t="n">
        <v>1.39115485</v>
      </c>
      <c r="G50" s="18" t="n">
        <v>90.85969799999999</v>
      </c>
      <c r="H50" s="20" t="n">
        <v>1.54593758</v>
      </c>
      <c r="I50" s="18" t="s">
        <v>431</v>
      </c>
      <c r="J50" s="20" t="s">
        <v>431</v>
      </c>
      <c r="K50" s="18" t="n">
        <v>2.15445919</v>
      </c>
      <c r="L50" s="20" t="n">
        <v>0.73132682</v>
      </c>
      <c r="M50" s="18" t="n">
        <v>0</v>
      </c>
      <c r="N50" s="20" t="n">
        <v>0</v>
      </c>
      <c r="O50" s="18" t="n">
        <v>0</v>
      </c>
      <c r="P50" s="20" t="n">
        <v>0</v>
      </c>
      <c r="Q50" s="18" t="n">
        <v>0.17065714</v>
      </c>
      <c r="R50" s="20" t="n">
        <v>0.17035842</v>
      </c>
    </row>
    <row r="51" spans="1:18">
      <c r="A51" s="15" t="s">
        <v>475</v>
      </c>
      <c r="B51" s="17" t="n">
        <v>3372</v>
      </c>
      <c r="C51" s="18">
        <f>(3033.0/B51*100)</f>
        <v/>
      </c>
      <c r="D51" s="19" t="n">
        <v>339</v>
      </c>
      <c r="E51" s="18" t="n">
        <v>3.03745212</v>
      </c>
      <c r="F51" s="20" t="n">
        <v>0.88728357</v>
      </c>
      <c r="G51" s="18" t="n">
        <v>96.2615473</v>
      </c>
      <c r="H51" s="20" t="n">
        <v>1.01841908</v>
      </c>
      <c r="I51" s="18" t="s">
        <v>431</v>
      </c>
      <c r="J51" s="20" t="s">
        <v>431</v>
      </c>
      <c r="K51" s="18" t="n">
        <v>0.70100058</v>
      </c>
      <c r="L51" s="20" t="n">
        <v>0.47947052</v>
      </c>
      <c r="M51" s="18" t="n">
        <v>0</v>
      </c>
      <c r="N51" s="20" t="n">
        <v>0</v>
      </c>
      <c r="O51" s="18" t="n">
        <v>0</v>
      </c>
      <c r="P51" s="20" t="n">
        <v>0</v>
      </c>
      <c r="Q51" s="18" t="n">
        <v>0</v>
      </c>
      <c r="R51" s="20" t="n">
        <v>0</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(2481.0/B53*100)</f>
        <v/>
      </c>
      <c r="D53" s="19" t="n">
        <v>330</v>
      </c>
      <c r="E53" s="18" t="n">
        <v>8.25846267</v>
      </c>
      <c r="F53" s="20" t="n">
        <v>1.48397834</v>
      </c>
      <c r="G53" s="18" t="n">
        <v>87.10593347</v>
      </c>
      <c r="H53" s="20" t="n">
        <v>1.88056188</v>
      </c>
      <c r="I53" s="18" t="s">
        <v>431</v>
      </c>
      <c r="J53" s="20" t="s">
        <v>431</v>
      </c>
      <c r="K53" s="18" t="n">
        <v>3.96649237</v>
      </c>
      <c r="L53" s="20" t="n">
        <v>1.11400355</v>
      </c>
      <c r="M53" s="18" t="n">
        <v>0</v>
      </c>
      <c r="N53" s="20" t="n">
        <v>0</v>
      </c>
      <c r="O53" s="18" t="n">
        <v>0</v>
      </c>
      <c r="P53" s="20" t="n">
        <v>0</v>
      </c>
      <c r="Q53" s="18" t="n">
        <v>0.6691115</v>
      </c>
      <c r="R53" s="20" t="n">
        <v>0.39019262</v>
      </c>
    </row>
    <row r="54" spans="1:18">
      <c r="A54" s="15" t="s">
        <v>478</v>
      </c>
      <c r="B54" s="17" t="n">
        <v>2266</v>
      </c>
      <c r="C54" s="18">
        <f>(1905.0/B54*100)</f>
        <v/>
      </c>
      <c r="D54" s="19" t="n">
        <v>361</v>
      </c>
      <c r="E54" s="18" t="n">
        <v>22.08407017</v>
      </c>
      <c r="F54" s="20" t="n">
        <v>2.02488596</v>
      </c>
      <c r="G54" s="18" t="n">
        <v>67.63066295</v>
      </c>
      <c r="H54" s="20" t="n">
        <v>2.66074423</v>
      </c>
      <c r="I54" s="18" t="s">
        <v>431</v>
      </c>
      <c r="J54" s="20" t="s">
        <v>431</v>
      </c>
      <c r="K54" s="18" t="n">
        <v>8.17898271</v>
      </c>
      <c r="L54" s="20" t="n">
        <v>1.60541672</v>
      </c>
      <c r="M54" s="18" t="n">
        <v>1.10447104</v>
      </c>
      <c r="N54" s="20" t="n">
        <v>0.90847737</v>
      </c>
      <c r="O54" s="18" t="n">
        <v>0</v>
      </c>
      <c r="P54" s="20" t="n">
        <v>0</v>
      </c>
      <c r="Q54" s="18" t="n">
        <v>1.00181313</v>
      </c>
      <c r="R54" s="20" t="n">
        <v>0.33608561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(3137.0/B67*100)</f>
        <v/>
      </c>
      <c r="D67" s="19" t="n">
        <v>374</v>
      </c>
      <c r="E67" s="18" t="n">
        <v>9.539180849999999</v>
      </c>
      <c r="F67" s="20" t="n">
        <v>1.60772965</v>
      </c>
      <c r="G67" s="18" t="n">
        <v>89.70081958</v>
      </c>
      <c r="H67" s="20" t="n">
        <v>1.73764833</v>
      </c>
      <c r="I67" s="18" t="s">
        <v>431</v>
      </c>
      <c r="J67" s="20" t="s">
        <v>431</v>
      </c>
      <c r="K67" s="18" t="n">
        <v>0.34888495</v>
      </c>
      <c r="L67" s="20" t="n">
        <v>0.34877709</v>
      </c>
      <c r="M67" s="18" t="n">
        <v>0</v>
      </c>
      <c r="N67" s="20" t="n">
        <v>0</v>
      </c>
      <c r="O67" s="18" t="n">
        <v>0</v>
      </c>
      <c r="P67" s="20" t="n">
        <v>0</v>
      </c>
      <c r="Q67" s="18" t="n">
        <v>0.41111462</v>
      </c>
      <c r="R67" s="20" t="n">
        <v>0.28808291</v>
      </c>
    </row>
    <row r="68" spans="1:18">
      <c r="A68" s="15" t="s">
        <v>492</v>
      </c>
      <c r="B68" s="17" t="n">
        <v>6049</v>
      </c>
      <c r="C68" s="18">
        <f>(5028.0/B68*100)</f>
        <v/>
      </c>
      <c r="D68" s="19" t="n">
        <v>1021</v>
      </c>
      <c r="E68" s="18" t="n">
        <v>23.8793665</v>
      </c>
      <c r="F68" s="20" t="n">
        <v>1.21946252</v>
      </c>
      <c r="G68" s="18" t="n">
        <v>62.26837879</v>
      </c>
      <c r="H68" s="20" t="n">
        <v>1.52299198</v>
      </c>
      <c r="I68" s="18" t="s">
        <v>431</v>
      </c>
      <c r="J68" s="20" t="s">
        <v>431</v>
      </c>
      <c r="K68" s="18" t="n">
        <v>10.55523312</v>
      </c>
      <c r="L68" s="20" t="n">
        <v>0.99569449</v>
      </c>
      <c r="M68" s="18" t="n">
        <v>0</v>
      </c>
      <c r="N68" s="20" t="n">
        <v>0</v>
      </c>
      <c r="O68" s="18" t="n">
        <v>0</v>
      </c>
      <c r="P68" s="20" t="n">
        <v>0</v>
      </c>
      <c r="Q68" s="18" t="n">
        <v>3.29702158</v>
      </c>
      <c r="R68" s="20" t="n">
        <v>0.62135735</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(2153.0/B75*100)</f>
        <v/>
      </c>
      <c r="D75" s="19" t="n">
        <v>253</v>
      </c>
      <c r="E75" s="18" t="n">
        <v>22.64974081</v>
      </c>
      <c r="F75" s="20" t="n">
        <v>2.77843946</v>
      </c>
      <c r="G75" s="18" t="n">
        <v>58.81595553</v>
      </c>
      <c r="H75" s="20" t="n">
        <v>3.77801443</v>
      </c>
      <c r="I75" s="18" t="s">
        <v>431</v>
      </c>
      <c r="J75" s="20" t="s">
        <v>431</v>
      </c>
      <c r="K75" s="18" t="n">
        <v>10.32715867</v>
      </c>
      <c r="L75" s="20" t="n">
        <v>2.69229546</v>
      </c>
      <c r="M75" s="18" t="n">
        <v>0</v>
      </c>
      <c r="N75" s="20" t="n">
        <v>0</v>
      </c>
      <c r="O75" s="18" t="n">
        <v>0</v>
      </c>
      <c r="P75" s="20" t="n">
        <v>0</v>
      </c>
      <c r="Q75" s="18" t="n">
        <v>8.207144980000001</v>
      </c>
      <c r="R75" s="20" t="n">
        <v>2.14193755</v>
      </c>
    </row>
    <row r="76" spans="1:18">
      <c r="A76" s="15" t="s">
        <v>500</v>
      </c>
      <c r="B76" s="17" t="n">
        <v>7052</v>
      </c>
      <c r="C76" s="18">
        <f>(6201.0/B76*100)</f>
        <v/>
      </c>
      <c r="D76" s="19" t="n">
        <v>851</v>
      </c>
      <c r="E76" s="18" t="n">
        <v>19.89238523</v>
      </c>
      <c r="F76" s="20" t="n">
        <v>1.89477241</v>
      </c>
      <c r="G76" s="18" t="n">
        <v>74.18024414</v>
      </c>
      <c r="H76" s="20" t="n">
        <v>2.08208093</v>
      </c>
      <c r="I76" s="18" t="s">
        <v>431</v>
      </c>
      <c r="J76" s="20" t="s">
        <v>431</v>
      </c>
      <c r="K76" s="18" t="n">
        <v>4.47492275</v>
      </c>
      <c r="L76" s="20" t="n">
        <v>1.04485585</v>
      </c>
      <c r="M76" s="18" t="n">
        <v>0.27584026</v>
      </c>
      <c r="N76" s="20" t="n">
        <v>0.17865093</v>
      </c>
      <c r="O76" s="18" t="n">
        <v>0</v>
      </c>
      <c r="P76" s="20" t="n">
        <v>0</v>
      </c>
      <c r="Q76" s="18" t="n">
        <v>1.17660761</v>
      </c>
      <c r="R76" s="20" t="n">
        <v>0.5891701499999999</v>
      </c>
    </row>
    <row r="77" spans="1:18">
      <c r="A77" s="15" t="s">
        <v>501</v>
      </c>
      <c r="B77" s="17" t="n">
        <v>2908</v>
      </c>
      <c r="C77" s="18">
        <f>(2589.0/B77*100)</f>
        <v/>
      </c>
      <c r="D77" s="19" t="n">
        <v>319</v>
      </c>
      <c r="E77" s="18" t="n">
        <v>7.65987545</v>
      </c>
      <c r="F77" s="20" t="n">
        <v>1.5835957</v>
      </c>
      <c r="G77" s="18" t="n">
        <v>89.03445388999999</v>
      </c>
      <c r="H77" s="20" t="n">
        <v>2.03258471</v>
      </c>
      <c r="I77" s="18" t="s">
        <v>431</v>
      </c>
      <c r="J77" s="20" t="s">
        <v>431</v>
      </c>
      <c r="K77" s="18" t="n">
        <v>1.1487781</v>
      </c>
      <c r="L77" s="20" t="n">
        <v>0.54326871</v>
      </c>
      <c r="M77" s="18" t="n">
        <v>0</v>
      </c>
      <c r="N77" s="20" t="n">
        <v>0</v>
      </c>
      <c r="O77" s="18" t="n">
        <v>0</v>
      </c>
      <c r="P77" s="20" t="n">
        <v>0</v>
      </c>
      <c r="Q77" s="18" t="n">
        <v>2.15689257</v>
      </c>
      <c r="R77" s="20" t="n">
        <v>0.8240086599999999</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(3675.0/B81*100)</f>
        <v/>
      </c>
      <c r="D81" s="19" t="n">
        <v>488</v>
      </c>
      <c r="E81" s="18" t="n">
        <v>7.64417198</v>
      </c>
      <c r="F81" s="20" t="n">
        <v>1.62213252</v>
      </c>
      <c r="G81" s="18" t="n">
        <v>89.85306351</v>
      </c>
      <c r="H81" s="20" t="n">
        <v>1.85717604</v>
      </c>
      <c r="I81" s="18" t="s">
        <v>431</v>
      </c>
      <c r="J81" s="20" t="s">
        <v>431</v>
      </c>
      <c r="K81" s="18" t="n">
        <v>2.50276451</v>
      </c>
      <c r="L81" s="20" t="n">
        <v>0.86831011</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(3129.0/B11*100)</f>
        <v/>
      </c>
      <c r="D11" s="19" t="n">
        <v>424</v>
      </c>
      <c r="E11" s="18" t="n">
        <v>25.4376129</v>
      </c>
      <c r="F11" s="20" t="n">
        <v>2.56192913</v>
      </c>
      <c r="G11" s="18" t="n">
        <v>69.07998041</v>
      </c>
      <c r="H11" s="20" t="n">
        <v>2.91124339</v>
      </c>
      <c r="I11" s="18" t="s">
        <v>431</v>
      </c>
      <c r="J11" s="20" t="s">
        <v>431</v>
      </c>
      <c r="K11" s="18" t="n">
        <v>1.57226114</v>
      </c>
      <c r="L11" s="20" t="n">
        <v>0.8514258099999999</v>
      </c>
      <c r="M11" s="18" t="n">
        <v>0</v>
      </c>
      <c r="N11" s="20" t="n">
        <v>0</v>
      </c>
      <c r="O11" s="18" t="n">
        <v>0</v>
      </c>
      <c r="P11" s="20" t="n">
        <v>0</v>
      </c>
      <c r="Q11" s="18" t="n">
        <v>3.91014556</v>
      </c>
      <c r="R11" s="20" t="n">
        <v>1.34960692</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(3359.0/B28*100)</f>
        <v/>
      </c>
      <c r="D28" s="19" t="n">
        <v>406</v>
      </c>
      <c r="E28" s="18" t="n">
        <v>42.54839193</v>
      </c>
      <c r="F28" s="20" t="n">
        <v>2.70863904</v>
      </c>
      <c r="G28" s="18" t="n">
        <v>54.93432065</v>
      </c>
      <c r="H28" s="20" t="n">
        <v>2.80612757</v>
      </c>
      <c r="I28" s="18" t="s">
        <v>431</v>
      </c>
      <c r="J28" s="20" t="s">
        <v>431</v>
      </c>
      <c r="K28" s="18" t="n">
        <v>0.57033212</v>
      </c>
      <c r="L28" s="20" t="n">
        <v>0.48010914</v>
      </c>
      <c r="M28" s="18" t="n">
        <v>0.39250107</v>
      </c>
      <c r="N28" s="20" t="n">
        <v>0.3923685</v>
      </c>
      <c r="O28" s="18" t="n">
        <v>0</v>
      </c>
      <c r="P28" s="20" t="n">
        <v>0</v>
      </c>
      <c r="Q28" s="18" t="n">
        <v>1.55445424</v>
      </c>
      <c r="R28" s="20" t="n">
        <v>0.69710911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(9969.0/B46*100)</f>
        <v/>
      </c>
      <c r="D46" s="19" t="n">
        <v>1099</v>
      </c>
      <c r="E46" s="18" t="n">
        <v>43.51074914</v>
      </c>
      <c r="F46" s="20" t="n">
        <v>1.80883208</v>
      </c>
      <c r="G46" s="18" t="n">
        <v>43.64245215</v>
      </c>
      <c r="H46" s="20" t="n">
        <v>2.11726057</v>
      </c>
      <c r="I46" s="18" t="s">
        <v>431</v>
      </c>
      <c r="J46" s="20" t="s">
        <v>431</v>
      </c>
      <c r="K46" s="18" t="n">
        <v>5.26489336</v>
      </c>
      <c r="L46" s="20" t="n">
        <v>0.89616679</v>
      </c>
      <c r="M46" s="18" t="n">
        <v>0.0408792</v>
      </c>
      <c r="N46" s="20" t="n">
        <v>0.03761654</v>
      </c>
      <c r="O46" s="18" t="n">
        <v>0</v>
      </c>
      <c r="P46" s="20" t="n">
        <v>0</v>
      </c>
      <c r="Q46" s="18" t="n">
        <v>7.54102614</v>
      </c>
      <c r="R46" s="20" t="n">
        <v>1.05208493</v>
      </c>
    </row>
    <row r="47" spans="1:18">
      <c r="A47" s="15" t="s">
        <v>471</v>
      </c>
      <c r="B47" s="17" t="n">
        <v>3105</v>
      </c>
      <c r="C47" s="18">
        <f>(2743.0/B47*100)</f>
        <v/>
      </c>
      <c r="D47" s="19" t="n">
        <v>362</v>
      </c>
      <c r="E47" s="18" t="n">
        <v>31.95849387</v>
      </c>
      <c r="F47" s="20" t="n">
        <v>2.93293591</v>
      </c>
      <c r="G47" s="18" t="n">
        <v>59.01755359</v>
      </c>
      <c r="H47" s="20" t="n">
        <v>3.11301011</v>
      </c>
      <c r="I47" s="18" t="s">
        <v>431</v>
      </c>
      <c r="J47" s="20" t="s">
        <v>431</v>
      </c>
      <c r="K47" s="18" t="n">
        <v>4.34870186</v>
      </c>
      <c r="L47" s="20" t="n">
        <v>1.07884411</v>
      </c>
      <c r="M47" s="18" t="n">
        <v>0</v>
      </c>
      <c r="N47" s="20" t="n">
        <v>0</v>
      </c>
      <c r="O47" s="18" t="n">
        <v>0</v>
      </c>
      <c r="P47" s="20" t="n">
        <v>0</v>
      </c>
      <c r="Q47" s="18" t="n">
        <v>4.67525069</v>
      </c>
      <c r="R47" s="20" t="n">
        <v>1.00268434</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(4961.0/B50*100)</f>
        <v/>
      </c>
      <c r="D50" s="19" t="n">
        <v>676</v>
      </c>
      <c r="E50" s="18" t="n">
        <v>41.98200827</v>
      </c>
      <c r="F50" s="20" t="n">
        <v>2.79552156</v>
      </c>
      <c r="G50" s="18" t="n">
        <v>52.75571216</v>
      </c>
      <c r="H50" s="20" t="n">
        <v>2.75296025</v>
      </c>
      <c r="I50" s="18" t="s">
        <v>431</v>
      </c>
      <c r="J50" s="20" t="s">
        <v>431</v>
      </c>
      <c r="K50" s="18" t="n">
        <v>3.09624635</v>
      </c>
      <c r="L50" s="20" t="n">
        <v>0.94490668</v>
      </c>
      <c r="M50" s="18" t="n">
        <v>0</v>
      </c>
      <c r="N50" s="20" t="n">
        <v>0</v>
      </c>
      <c r="O50" s="18" t="n">
        <v>0</v>
      </c>
      <c r="P50" s="20" t="n">
        <v>0</v>
      </c>
      <c r="Q50" s="18" t="n">
        <v>2.16603322</v>
      </c>
      <c r="R50" s="20" t="n">
        <v>0.81617023</v>
      </c>
    </row>
    <row r="51" spans="1:18">
      <c r="A51" s="15" t="s">
        <v>475</v>
      </c>
      <c r="B51" s="17" t="n">
        <v>3372</v>
      </c>
      <c r="C51" s="18">
        <f>(3032.0/B51*100)</f>
        <v/>
      </c>
      <c r="D51" s="19" t="n">
        <v>340</v>
      </c>
      <c r="E51" s="18" t="n">
        <v>49.09865572</v>
      </c>
      <c r="F51" s="20" t="n">
        <v>3.06607987</v>
      </c>
      <c r="G51" s="18" t="n">
        <v>45.57481631</v>
      </c>
      <c r="H51" s="20" t="n">
        <v>2.88822378</v>
      </c>
      <c r="I51" s="18" t="s">
        <v>431</v>
      </c>
      <c r="J51" s="20" t="s">
        <v>431</v>
      </c>
      <c r="K51" s="18" t="n">
        <v>1.44109905</v>
      </c>
      <c r="L51" s="20" t="n">
        <v>0.88624954</v>
      </c>
      <c r="M51" s="18" t="n">
        <v>0</v>
      </c>
      <c r="N51" s="20" t="n">
        <v>0</v>
      </c>
      <c r="O51" s="18" t="n">
        <v>0</v>
      </c>
      <c r="P51" s="20" t="n">
        <v>0</v>
      </c>
      <c r="Q51" s="18" t="n">
        <v>3.88542892</v>
      </c>
      <c r="R51" s="20" t="n">
        <v>1.08613203</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(2481.0/B53*100)</f>
        <v/>
      </c>
      <c r="D53" s="19" t="n">
        <v>330</v>
      </c>
      <c r="E53" s="18" t="n">
        <v>29.8512527</v>
      </c>
      <c r="F53" s="20" t="n">
        <v>2.83738459</v>
      </c>
      <c r="G53" s="18" t="n">
        <v>60.72160483</v>
      </c>
      <c r="H53" s="20" t="n">
        <v>2.93467806</v>
      </c>
      <c r="I53" s="18" t="s">
        <v>431</v>
      </c>
      <c r="J53" s="20" t="s">
        <v>431</v>
      </c>
      <c r="K53" s="18" t="n">
        <v>4.56689892</v>
      </c>
      <c r="L53" s="20" t="n">
        <v>1.18471499</v>
      </c>
      <c r="M53" s="18" t="n">
        <v>0</v>
      </c>
      <c r="N53" s="20" t="n">
        <v>0</v>
      </c>
      <c r="O53" s="18" t="n">
        <v>0</v>
      </c>
      <c r="P53" s="20" t="n">
        <v>0</v>
      </c>
      <c r="Q53" s="18" t="n">
        <v>4.86024355</v>
      </c>
      <c r="R53" s="20" t="n">
        <v>1.24302268</v>
      </c>
    </row>
    <row r="54" spans="1:18">
      <c r="A54" s="15" t="s">
        <v>478</v>
      </c>
      <c r="B54" s="17" t="n">
        <v>2266</v>
      </c>
      <c r="C54" s="18">
        <f>(1905.0/B54*100)</f>
        <v/>
      </c>
      <c r="D54" s="19" t="n">
        <v>361</v>
      </c>
      <c r="E54" s="18" t="n">
        <v>66.12210797</v>
      </c>
      <c r="F54" s="20" t="n">
        <v>2.85588751</v>
      </c>
      <c r="G54" s="18" t="n">
        <v>14.62564632</v>
      </c>
      <c r="H54" s="20" t="n">
        <v>2.13289017</v>
      </c>
      <c r="I54" s="18" t="s">
        <v>431</v>
      </c>
      <c r="J54" s="20" t="s">
        <v>431</v>
      </c>
      <c r="K54" s="18" t="n">
        <v>11.3854115</v>
      </c>
      <c r="L54" s="20" t="n">
        <v>1.83476931</v>
      </c>
      <c r="M54" s="18" t="n">
        <v>1.10447104</v>
      </c>
      <c r="N54" s="20" t="n">
        <v>0.90847737</v>
      </c>
      <c r="O54" s="18" t="n">
        <v>0</v>
      </c>
      <c r="P54" s="20" t="n">
        <v>0</v>
      </c>
      <c r="Q54" s="18" t="n">
        <v>6.76236318</v>
      </c>
      <c r="R54" s="20" t="n">
        <v>1.21362283</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(3137.0/B67*100)</f>
        <v/>
      </c>
      <c r="D67" s="19" t="n">
        <v>374</v>
      </c>
      <c r="E67" s="18" t="n">
        <v>53.76120225</v>
      </c>
      <c r="F67" s="20" t="n">
        <v>2.61577045</v>
      </c>
      <c r="G67" s="18" t="n">
        <v>42.27137378</v>
      </c>
      <c r="H67" s="20" t="n">
        <v>2.51920788</v>
      </c>
      <c r="I67" s="18" t="s">
        <v>431</v>
      </c>
      <c r="J67" s="20" t="s">
        <v>431</v>
      </c>
      <c r="K67" s="18" t="n">
        <v>0.56168241</v>
      </c>
      <c r="L67" s="20" t="n">
        <v>0.4153987</v>
      </c>
      <c r="M67" s="18" t="n">
        <v>0</v>
      </c>
      <c r="N67" s="20" t="n">
        <v>0</v>
      </c>
      <c r="O67" s="18" t="n">
        <v>0</v>
      </c>
      <c r="P67" s="20" t="n">
        <v>0</v>
      </c>
      <c r="Q67" s="18" t="n">
        <v>3.40574156</v>
      </c>
      <c r="R67" s="20" t="n">
        <v>0.92584093</v>
      </c>
    </row>
    <row r="68" spans="1:18">
      <c r="A68" s="15" t="s">
        <v>492</v>
      </c>
      <c r="B68" s="17" t="n">
        <v>6049</v>
      </c>
      <c r="C68" s="18">
        <f>(5029.0/B68*100)</f>
        <v/>
      </c>
      <c r="D68" s="19" t="n">
        <v>1020</v>
      </c>
      <c r="E68" s="18" t="n">
        <v>52.13749496</v>
      </c>
      <c r="F68" s="20" t="n">
        <v>1.81196774</v>
      </c>
      <c r="G68" s="18" t="n">
        <v>27.5223275</v>
      </c>
      <c r="H68" s="20" t="n">
        <v>1.48128859</v>
      </c>
      <c r="I68" s="18" t="s">
        <v>431</v>
      </c>
      <c r="J68" s="20" t="s">
        <v>431</v>
      </c>
      <c r="K68" s="18" t="n">
        <v>13.55418454</v>
      </c>
      <c r="L68" s="20" t="n">
        <v>1.16812826</v>
      </c>
      <c r="M68" s="18" t="n">
        <v>0</v>
      </c>
      <c r="N68" s="20" t="n">
        <v>0</v>
      </c>
      <c r="O68" s="18" t="n">
        <v>0</v>
      </c>
      <c r="P68" s="20" t="n">
        <v>0</v>
      </c>
      <c r="Q68" s="18" t="n">
        <v>6.78599301</v>
      </c>
      <c r="R68" s="20" t="n">
        <v>0.81109517</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(2151.0/B75*100)</f>
        <v/>
      </c>
      <c r="D75" s="19" t="n">
        <v>255</v>
      </c>
      <c r="E75" s="18" t="n">
        <v>40.24618888</v>
      </c>
      <c r="F75" s="20" t="n">
        <v>3.14446245</v>
      </c>
      <c r="G75" s="18" t="n">
        <v>40.20356553</v>
      </c>
      <c r="H75" s="20" t="n">
        <v>3.16502755</v>
      </c>
      <c r="I75" s="18" t="s">
        <v>431</v>
      </c>
      <c r="J75" s="20" t="s">
        <v>431</v>
      </c>
      <c r="K75" s="18" t="n">
        <v>12.50976223</v>
      </c>
      <c r="L75" s="20" t="n">
        <v>2.77763214</v>
      </c>
      <c r="M75" s="18" t="n">
        <v>0</v>
      </c>
      <c r="N75" s="20" t="n">
        <v>0</v>
      </c>
      <c r="O75" s="18" t="n">
        <v>0</v>
      </c>
      <c r="P75" s="20" t="n">
        <v>0</v>
      </c>
      <c r="Q75" s="18" t="n">
        <v>7.04048337</v>
      </c>
      <c r="R75" s="20" t="n">
        <v>1.54921505</v>
      </c>
    </row>
    <row r="76" spans="1:18">
      <c r="A76" s="15" t="s">
        <v>500</v>
      </c>
      <c r="B76" s="17" t="n">
        <v>7052</v>
      </c>
      <c r="C76" s="18">
        <f>(6200.0/B76*100)</f>
        <v/>
      </c>
      <c r="D76" s="19" t="n">
        <v>852</v>
      </c>
      <c r="E76" s="18" t="n">
        <v>60.68711848</v>
      </c>
      <c r="F76" s="20" t="n">
        <v>2.13307728</v>
      </c>
      <c r="G76" s="18" t="n">
        <v>30.82532121</v>
      </c>
      <c r="H76" s="20" t="n">
        <v>1.81815511</v>
      </c>
      <c r="I76" s="18" t="s">
        <v>431</v>
      </c>
      <c r="J76" s="20" t="s">
        <v>431</v>
      </c>
      <c r="K76" s="18" t="n">
        <v>5.99464891</v>
      </c>
      <c r="L76" s="20" t="n">
        <v>1.18428316</v>
      </c>
      <c r="M76" s="18" t="n">
        <v>0.27532284</v>
      </c>
      <c r="N76" s="20" t="n">
        <v>0.17830549</v>
      </c>
      <c r="O76" s="18" t="n">
        <v>0</v>
      </c>
      <c r="P76" s="20" t="n">
        <v>0</v>
      </c>
      <c r="Q76" s="18" t="n">
        <v>2.21758856</v>
      </c>
      <c r="R76" s="20" t="n">
        <v>0.51927055</v>
      </c>
    </row>
    <row r="77" spans="1:18">
      <c r="A77" s="15" t="s">
        <v>501</v>
      </c>
      <c r="B77" s="17" t="n">
        <v>2908</v>
      </c>
      <c r="C77" s="18">
        <f>(2589.0/B77*100)</f>
        <v/>
      </c>
      <c r="D77" s="19" t="n">
        <v>319</v>
      </c>
      <c r="E77" s="18" t="n">
        <v>41.13680019</v>
      </c>
      <c r="F77" s="20" t="n">
        <v>2.95585176</v>
      </c>
      <c r="G77" s="18" t="n">
        <v>48.76220652</v>
      </c>
      <c r="H77" s="20" t="n">
        <v>3.1791476</v>
      </c>
      <c r="I77" s="18" t="s">
        <v>431</v>
      </c>
      <c r="J77" s="20" t="s">
        <v>431</v>
      </c>
      <c r="K77" s="18" t="n">
        <v>2.91802598</v>
      </c>
      <c r="L77" s="20" t="n">
        <v>0.76904501</v>
      </c>
      <c r="M77" s="18" t="n">
        <v>0</v>
      </c>
      <c r="N77" s="20" t="n">
        <v>0</v>
      </c>
      <c r="O77" s="18" t="n">
        <v>0</v>
      </c>
      <c r="P77" s="20" t="n">
        <v>0</v>
      </c>
      <c r="Q77" s="18" t="n">
        <v>7.18296731</v>
      </c>
      <c r="R77" s="20" t="n">
        <v>1.59152567</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(3674.0/B81*100)</f>
        <v/>
      </c>
      <c r="D81" s="19" t="n">
        <v>489</v>
      </c>
      <c r="E81" s="18" t="n">
        <v>63.686021</v>
      </c>
      <c r="F81" s="20" t="n">
        <v>2.69526354</v>
      </c>
      <c r="G81" s="18" t="n">
        <v>30.81383208</v>
      </c>
      <c r="H81" s="20" t="n">
        <v>2.52732561</v>
      </c>
      <c r="I81" s="18" t="s">
        <v>431</v>
      </c>
      <c r="J81" s="20" t="s">
        <v>431</v>
      </c>
      <c r="K81" s="18" t="n">
        <v>2.78652588</v>
      </c>
      <c r="L81" s="20" t="n">
        <v>0.8981355600000001</v>
      </c>
      <c r="M81" s="18" t="n">
        <v>0</v>
      </c>
      <c r="N81" s="20" t="n">
        <v>0</v>
      </c>
      <c r="O81" s="18" t="n">
        <v>0</v>
      </c>
      <c r="P81" s="20" t="n">
        <v>0</v>
      </c>
      <c r="Q81" s="18" t="n">
        <v>2.71362103</v>
      </c>
      <c r="R81" s="20" t="n">
        <v>0.89997999</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(3129.0/B11*100)</f>
        <v/>
      </c>
      <c r="D11" s="19" t="n">
        <v>424</v>
      </c>
      <c r="E11" s="18" t="n">
        <v>26.4695975</v>
      </c>
      <c r="F11" s="20" t="n">
        <v>2.23722917</v>
      </c>
      <c r="G11" s="18" t="n">
        <v>68.06692974000001</v>
      </c>
      <c r="H11" s="20" t="n">
        <v>2.47593055</v>
      </c>
      <c r="I11" s="18" t="s">
        <v>431</v>
      </c>
      <c r="J11" s="20" t="s">
        <v>431</v>
      </c>
      <c r="K11" s="18" t="n">
        <v>2.15652354</v>
      </c>
      <c r="L11" s="20" t="n">
        <v>0.9421064099999999</v>
      </c>
      <c r="M11" s="18" t="n">
        <v>0</v>
      </c>
      <c r="N11" s="20" t="n">
        <v>0</v>
      </c>
      <c r="O11" s="18" t="n">
        <v>0</v>
      </c>
      <c r="P11" s="20" t="n">
        <v>0</v>
      </c>
      <c r="Q11" s="18" t="n">
        <v>3.30694922</v>
      </c>
      <c r="R11" s="20" t="n">
        <v>0.97630811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(3358.0/B28*100)</f>
        <v/>
      </c>
      <c r="D28" s="19" t="n">
        <v>407</v>
      </c>
      <c r="E28" s="18" t="n">
        <v>31.20268736</v>
      </c>
      <c r="F28" s="20" t="n">
        <v>2.58333917</v>
      </c>
      <c r="G28" s="18" t="n">
        <v>66.64865073</v>
      </c>
      <c r="H28" s="20" t="n">
        <v>2.68654705</v>
      </c>
      <c r="I28" s="18" t="s">
        <v>431</v>
      </c>
      <c r="J28" s="20" t="s">
        <v>431</v>
      </c>
      <c r="K28" s="18" t="n">
        <v>1.03071712</v>
      </c>
      <c r="L28" s="20" t="n">
        <v>0.58722607</v>
      </c>
      <c r="M28" s="18" t="n">
        <v>0.39093947</v>
      </c>
      <c r="N28" s="20" t="n">
        <v>0.39082891</v>
      </c>
      <c r="O28" s="18" t="n">
        <v>0</v>
      </c>
      <c r="P28" s="20" t="n">
        <v>0</v>
      </c>
      <c r="Q28" s="18" t="n">
        <v>0.72700532</v>
      </c>
      <c r="R28" s="20" t="n">
        <v>0.37320491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(9969.0/B46*100)</f>
        <v/>
      </c>
      <c r="D46" s="19" t="n">
        <v>1099</v>
      </c>
      <c r="E46" s="18" t="n">
        <v>33.52825457</v>
      </c>
      <c r="F46" s="20" t="n">
        <v>2.05735006</v>
      </c>
      <c r="G46" s="18" t="n">
        <v>53.95854953</v>
      </c>
      <c r="H46" s="20" t="n">
        <v>2.13147066</v>
      </c>
      <c r="I46" s="18" t="s">
        <v>431</v>
      </c>
      <c r="J46" s="20" t="s">
        <v>431</v>
      </c>
      <c r="K46" s="18" t="n">
        <v>7.23495989</v>
      </c>
      <c r="L46" s="20" t="n">
        <v>1.00851925</v>
      </c>
      <c r="M46" s="18" t="n">
        <v>0.0408792</v>
      </c>
      <c r="N46" s="20" t="n">
        <v>0.03761654</v>
      </c>
      <c r="O46" s="18" t="n">
        <v>0</v>
      </c>
      <c r="P46" s="20" t="n">
        <v>0</v>
      </c>
      <c r="Q46" s="18" t="n">
        <v>5.23735681</v>
      </c>
      <c r="R46" s="20" t="n">
        <v>1.08233604</v>
      </c>
    </row>
    <row r="47" spans="1:18">
      <c r="A47" s="15" t="s">
        <v>471</v>
      </c>
      <c r="B47" s="17" t="n">
        <v>3105</v>
      </c>
      <c r="C47" s="18">
        <f>(2743.0/B47*100)</f>
        <v/>
      </c>
      <c r="D47" s="19" t="n">
        <v>362</v>
      </c>
      <c r="E47" s="18" t="n">
        <v>28.38863037</v>
      </c>
      <c r="F47" s="20" t="n">
        <v>2.6494896</v>
      </c>
      <c r="G47" s="18" t="n">
        <v>56.0283271</v>
      </c>
      <c r="H47" s="20" t="n">
        <v>3.19726211</v>
      </c>
      <c r="I47" s="18" t="s">
        <v>431</v>
      </c>
      <c r="J47" s="20" t="s">
        <v>431</v>
      </c>
      <c r="K47" s="18" t="n">
        <v>8.261767150000001</v>
      </c>
      <c r="L47" s="20" t="n">
        <v>1.51424406</v>
      </c>
      <c r="M47" s="18" t="n">
        <v>0</v>
      </c>
      <c r="N47" s="20" t="n">
        <v>0</v>
      </c>
      <c r="O47" s="18" t="n">
        <v>0</v>
      </c>
      <c r="P47" s="20" t="n">
        <v>0</v>
      </c>
      <c r="Q47" s="18" t="n">
        <v>7.32127538</v>
      </c>
      <c r="R47" s="20" t="n">
        <v>1.33399154</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(4961.0/B50*100)</f>
        <v/>
      </c>
      <c r="D50" s="19" t="n">
        <v>676</v>
      </c>
      <c r="E50" s="18" t="n">
        <v>21.24500884</v>
      </c>
      <c r="F50" s="20" t="n">
        <v>2.5797299</v>
      </c>
      <c r="G50" s="18" t="n">
        <v>72.89219657</v>
      </c>
      <c r="H50" s="20" t="n">
        <v>2.73340675</v>
      </c>
      <c r="I50" s="18" t="s">
        <v>431</v>
      </c>
      <c r="J50" s="20" t="s">
        <v>431</v>
      </c>
      <c r="K50" s="18" t="n">
        <v>3.50702793</v>
      </c>
      <c r="L50" s="20" t="n">
        <v>0.98128112</v>
      </c>
      <c r="M50" s="18" t="n">
        <v>0</v>
      </c>
      <c r="N50" s="20" t="n">
        <v>0</v>
      </c>
      <c r="O50" s="18" t="n">
        <v>0</v>
      </c>
      <c r="P50" s="20" t="n">
        <v>0</v>
      </c>
      <c r="Q50" s="18" t="n">
        <v>2.35576665</v>
      </c>
      <c r="R50" s="20" t="n">
        <v>0.6202915</v>
      </c>
    </row>
    <row r="51" spans="1:18">
      <c r="A51" s="15" t="s">
        <v>475</v>
      </c>
      <c r="B51" s="17" t="n">
        <v>3372</v>
      </c>
      <c r="C51" s="18">
        <f>(3032.0/B51*100)</f>
        <v/>
      </c>
      <c r="D51" s="19" t="n">
        <v>340</v>
      </c>
      <c r="E51" s="18" t="n">
        <v>36.88867573</v>
      </c>
      <c r="F51" s="20" t="n">
        <v>3.22174172</v>
      </c>
      <c r="G51" s="18" t="n">
        <v>57.77958305</v>
      </c>
      <c r="H51" s="20" t="n">
        <v>3.29674671</v>
      </c>
      <c r="I51" s="18" t="s">
        <v>431</v>
      </c>
      <c r="J51" s="20" t="s">
        <v>431</v>
      </c>
      <c r="K51" s="18" t="n">
        <v>1.67087789</v>
      </c>
      <c r="L51" s="20" t="n">
        <v>0.9128273099999999</v>
      </c>
      <c r="M51" s="18" t="n">
        <v>0</v>
      </c>
      <c r="N51" s="20" t="n">
        <v>0</v>
      </c>
      <c r="O51" s="18" t="n">
        <v>0</v>
      </c>
      <c r="P51" s="20" t="n">
        <v>0</v>
      </c>
      <c r="Q51" s="18" t="n">
        <v>3.66086332</v>
      </c>
      <c r="R51" s="20" t="n">
        <v>1.2280605</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(2481.0/B53*100)</f>
        <v/>
      </c>
      <c r="D53" s="19" t="n">
        <v>330</v>
      </c>
      <c r="E53" s="18" t="n">
        <v>31.48798545</v>
      </c>
      <c r="F53" s="20" t="n">
        <v>2.76096624</v>
      </c>
      <c r="G53" s="18" t="n">
        <v>56.66915744</v>
      </c>
      <c r="H53" s="20" t="n">
        <v>2.81550114</v>
      </c>
      <c r="I53" s="18" t="s">
        <v>431</v>
      </c>
      <c r="J53" s="20" t="s">
        <v>431</v>
      </c>
      <c r="K53" s="18" t="n">
        <v>5.94449959</v>
      </c>
      <c r="L53" s="20" t="n">
        <v>1.24237175</v>
      </c>
      <c r="M53" s="18" t="n">
        <v>0</v>
      </c>
      <c r="N53" s="20" t="n">
        <v>0</v>
      </c>
      <c r="O53" s="18" t="n">
        <v>0</v>
      </c>
      <c r="P53" s="20" t="n">
        <v>0</v>
      </c>
      <c r="Q53" s="18" t="n">
        <v>5.89835752</v>
      </c>
      <c r="R53" s="20" t="n">
        <v>1.36026285</v>
      </c>
    </row>
    <row r="54" spans="1:18">
      <c r="A54" s="15" t="s">
        <v>478</v>
      </c>
      <c r="B54" s="17" t="n">
        <v>2266</v>
      </c>
      <c r="C54" s="18">
        <f>(1905.0/B54*100)</f>
        <v/>
      </c>
      <c r="D54" s="19" t="n">
        <v>361</v>
      </c>
      <c r="E54" s="18" t="n">
        <v>40.5341607</v>
      </c>
      <c r="F54" s="20" t="n">
        <v>2.98547379</v>
      </c>
      <c r="G54" s="18" t="n">
        <v>37.23847453</v>
      </c>
      <c r="H54" s="20" t="n">
        <v>3.35684624</v>
      </c>
      <c r="I54" s="18" t="s">
        <v>431</v>
      </c>
      <c r="J54" s="20" t="s">
        <v>431</v>
      </c>
      <c r="K54" s="18" t="n">
        <v>14.99299822</v>
      </c>
      <c r="L54" s="20" t="n">
        <v>2.00690768</v>
      </c>
      <c r="M54" s="18" t="n">
        <v>1.10447104</v>
      </c>
      <c r="N54" s="20" t="n">
        <v>0.90847737</v>
      </c>
      <c r="O54" s="18" t="n">
        <v>0</v>
      </c>
      <c r="P54" s="20" t="n">
        <v>0</v>
      </c>
      <c r="Q54" s="18" t="n">
        <v>6.12989552</v>
      </c>
      <c r="R54" s="20" t="n">
        <v>1.80929838</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(3137.0/B67*100)</f>
        <v/>
      </c>
      <c r="D67" s="19" t="n">
        <v>374</v>
      </c>
      <c r="E67" s="18" t="n">
        <v>59.865612</v>
      </c>
      <c r="F67" s="20" t="n">
        <v>2.54185069</v>
      </c>
      <c r="G67" s="18" t="n">
        <v>31.57548987</v>
      </c>
      <c r="H67" s="20" t="n">
        <v>2.48728435</v>
      </c>
      <c r="I67" s="18" t="s">
        <v>431</v>
      </c>
      <c r="J67" s="20" t="s">
        <v>431</v>
      </c>
      <c r="K67" s="18" t="n">
        <v>2.68845779</v>
      </c>
      <c r="L67" s="20" t="n">
        <v>0.84102015</v>
      </c>
      <c r="M67" s="18" t="n">
        <v>0</v>
      </c>
      <c r="N67" s="20" t="n">
        <v>0</v>
      </c>
      <c r="O67" s="18" t="n">
        <v>0</v>
      </c>
      <c r="P67" s="20" t="n">
        <v>0</v>
      </c>
      <c r="Q67" s="18" t="n">
        <v>5.87044035</v>
      </c>
      <c r="R67" s="20" t="n">
        <v>1.36589596</v>
      </c>
    </row>
    <row r="68" spans="1:18">
      <c r="A68" s="15" t="s">
        <v>492</v>
      </c>
      <c r="B68" s="17" t="n">
        <v>6049</v>
      </c>
      <c r="C68" s="18">
        <f>(5028.0/B68*100)</f>
        <v/>
      </c>
      <c r="D68" s="19" t="n">
        <v>1021</v>
      </c>
      <c r="E68" s="18" t="n">
        <v>41.46025981</v>
      </c>
      <c r="F68" s="20" t="n">
        <v>1.69039777</v>
      </c>
      <c r="G68" s="18" t="n">
        <v>38.63575974</v>
      </c>
      <c r="H68" s="20" t="n">
        <v>1.51090301</v>
      </c>
      <c r="I68" s="18" t="s">
        <v>431</v>
      </c>
      <c r="J68" s="20" t="s">
        <v>431</v>
      </c>
      <c r="K68" s="18" t="n">
        <v>15.60491405</v>
      </c>
      <c r="L68" s="20" t="n">
        <v>1.18915522</v>
      </c>
      <c r="M68" s="18" t="n">
        <v>0</v>
      </c>
      <c r="N68" s="20" t="n">
        <v>0</v>
      </c>
      <c r="O68" s="18" t="n">
        <v>0</v>
      </c>
      <c r="P68" s="20" t="n">
        <v>0</v>
      </c>
      <c r="Q68" s="18" t="n">
        <v>4.29906639</v>
      </c>
      <c r="R68" s="20" t="n">
        <v>0.60584185</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(2152.0/B75*100)</f>
        <v/>
      </c>
      <c r="D75" s="19" t="n">
        <v>254</v>
      </c>
      <c r="E75" s="18" t="n">
        <v>53.11765551</v>
      </c>
      <c r="F75" s="20" t="n">
        <v>3.10142704</v>
      </c>
      <c r="G75" s="18" t="n">
        <v>23.46798672</v>
      </c>
      <c r="H75" s="20" t="n">
        <v>2.89140658</v>
      </c>
      <c r="I75" s="18" t="s">
        <v>431</v>
      </c>
      <c r="J75" s="20" t="s">
        <v>431</v>
      </c>
      <c r="K75" s="18" t="n">
        <v>17.24309497</v>
      </c>
      <c r="L75" s="20" t="n">
        <v>2.9610788</v>
      </c>
      <c r="M75" s="18" t="n">
        <v>0</v>
      </c>
      <c r="N75" s="20" t="n">
        <v>0</v>
      </c>
      <c r="O75" s="18" t="n">
        <v>0</v>
      </c>
      <c r="P75" s="20" t="n">
        <v>0</v>
      </c>
      <c r="Q75" s="18" t="n">
        <v>6.17126279</v>
      </c>
      <c r="R75" s="20" t="n">
        <v>1.51458924</v>
      </c>
    </row>
    <row r="76" spans="1:18">
      <c r="A76" s="15" t="s">
        <v>500</v>
      </c>
      <c r="B76" s="17" t="n">
        <v>7052</v>
      </c>
      <c r="C76" s="18">
        <f>(6200.0/B76*100)</f>
        <v/>
      </c>
      <c r="D76" s="19" t="n">
        <v>852</v>
      </c>
      <c r="E76" s="18" t="n">
        <v>41.39005451</v>
      </c>
      <c r="F76" s="20" t="n">
        <v>2.20591324</v>
      </c>
      <c r="G76" s="18" t="n">
        <v>49.4292282</v>
      </c>
      <c r="H76" s="20" t="n">
        <v>2.22729271</v>
      </c>
      <c r="I76" s="18" t="s">
        <v>431</v>
      </c>
      <c r="J76" s="20" t="s">
        <v>431</v>
      </c>
      <c r="K76" s="18" t="n">
        <v>6.56340041</v>
      </c>
      <c r="L76" s="20" t="n">
        <v>1.15986126</v>
      </c>
      <c r="M76" s="18" t="n">
        <v>0.27532284</v>
      </c>
      <c r="N76" s="20" t="n">
        <v>0.17830549</v>
      </c>
      <c r="O76" s="18" t="n">
        <v>0</v>
      </c>
      <c r="P76" s="20" t="n">
        <v>0</v>
      </c>
      <c r="Q76" s="18" t="n">
        <v>2.34199404</v>
      </c>
      <c r="R76" s="20" t="n">
        <v>0.6476769</v>
      </c>
    </row>
    <row r="77" spans="1:18">
      <c r="A77" s="15" t="s">
        <v>501</v>
      </c>
      <c r="B77" s="17" t="n">
        <v>2908</v>
      </c>
      <c r="C77" s="18">
        <f>(2589.0/B77*100)</f>
        <v/>
      </c>
      <c r="D77" s="19" t="n">
        <v>319</v>
      </c>
      <c r="E77" s="18" t="n">
        <v>31.3495967</v>
      </c>
      <c r="F77" s="20" t="n">
        <v>2.88372569</v>
      </c>
      <c r="G77" s="18" t="n">
        <v>52.58135483</v>
      </c>
      <c r="H77" s="20" t="n">
        <v>3.2576689</v>
      </c>
      <c r="I77" s="18" t="s">
        <v>431</v>
      </c>
      <c r="J77" s="20" t="s">
        <v>431</v>
      </c>
      <c r="K77" s="18" t="n">
        <v>4.01037238</v>
      </c>
      <c r="L77" s="20" t="n">
        <v>1.01811744</v>
      </c>
      <c r="M77" s="18" t="n">
        <v>0</v>
      </c>
      <c r="N77" s="20" t="n">
        <v>0</v>
      </c>
      <c r="O77" s="18" t="n">
        <v>0</v>
      </c>
      <c r="P77" s="20" t="n">
        <v>0</v>
      </c>
      <c r="Q77" s="18" t="n">
        <v>12.05867609</v>
      </c>
      <c r="R77" s="20" t="n">
        <v>1.85402214</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(3674.0/B81*100)</f>
        <v/>
      </c>
      <c r="D81" s="19" t="n">
        <v>489</v>
      </c>
      <c r="E81" s="18" t="n">
        <v>43.42392353</v>
      </c>
      <c r="F81" s="20" t="n">
        <v>2.67154686</v>
      </c>
      <c r="G81" s="18" t="n">
        <v>51.69836652</v>
      </c>
      <c r="H81" s="20" t="n">
        <v>2.53490733</v>
      </c>
      <c r="I81" s="18" t="s">
        <v>431</v>
      </c>
      <c r="J81" s="20" t="s">
        <v>431</v>
      </c>
      <c r="K81" s="18" t="n">
        <v>3.08227758</v>
      </c>
      <c r="L81" s="20" t="n">
        <v>0.93690957</v>
      </c>
      <c r="M81" s="18" t="n">
        <v>0</v>
      </c>
      <c r="N81" s="20" t="n">
        <v>0</v>
      </c>
      <c r="O81" s="18" t="n">
        <v>0</v>
      </c>
      <c r="P81" s="20" t="n">
        <v>0</v>
      </c>
      <c r="Q81" s="18" t="n">
        <v>1.79543237</v>
      </c>
      <c r="R81" s="20" t="n">
        <v>0.81221707</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(3129.0/B11*100)</f>
        <v/>
      </c>
      <c r="D11" s="19" t="n">
        <v>424</v>
      </c>
      <c r="E11" s="18" t="n">
        <v>62.83920512</v>
      </c>
      <c r="F11" s="20" t="n">
        <v>2.62432657</v>
      </c>
      <c r="G11" s="18" t="n">
        <v>32.90066716</v>
      </c>
      <c r="H11" s="20" t="n">
        <v>2.47073275</v>
      </c>
      <c r="I11" s="18" t="s">
        <v>431</v>
      </c>
      <c r="J11" s="20" t="s">
        <v>431</v>
      </c>
      <c r="K11" s="18" t="n">
        <v>4.26012772</v>
      </c>
      <c r="L11" s="20" t="n">
        <v>1.14588871</v>
      </c>
      <c r="M11" s="18" t="n">
        <v>0</v>
      </c>
      <c r="N11" s="20" t="n">
        <v>0</v>
      </c>
      <c r="O11" s="18" t="n">
        <v>0</v>
      </c>
      <c r="P11" s="20" t="n">
        <v>0</v>
      </c>
      <c r="Q11" s="18" t="n">
        <v>0</v>
      </c>
      <c r="R11" s="20" t="n">
        <v>0</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(3358.0/B28*100)</f>
        <v/>
      </c>
      <c r="D28" s="19" t="n">
        <v>407</v>
      </c>
      <c r="E28" s="18" t="n">
        <v>69.29801628</v>
      </c>
      <c r="F28" s="20" t="n">
        <v>2.5991313</v>
      </c>
      <c r="G28" s="18" t="n">
        <v>28.40025789</v>
      </c>
      <c r="H28" s="20" t="n">
        <v>2.56673767</v>
      </c>
      <c r="I28" s="18" t="s">
        <v>431</v>
      </c>
      <c r="J28" s="20" t="s">
        <v>431</v>
      </c>
      <c r="K28" s="18" t="n">
        <v>1.91078636</v>
      </c>
      <c r="L28" s="20" t="n">
        <v>0.79860655</v>
      </c>
      <c r="M28" s="18" t="n">
        <v>0.39093947</v>
      </c>
      <c r="N28" s="20" t="n">
        <v>0.39082891</v>
      </c>
      <c r="O28" s="18" t="n">
        <v>0</v>
      </c>
      <c r="P28" s="20" t="n">
        <v>0</v>
      </c>
      <c r="Q28" s="18" t="n">
        <v>0</v>
      </c>
      <c r="R28" s="20" t="n">
        <v>0</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(9969.0/B46*100)</f>
        <v/>
      </c>
      <c r="D46" s="19" t="n">
        <v>1099</v>
      </c>
      <c r="E46" s="18" t="n">
        <v>56.07936874</v>
      </c>
      <c r="F46" s="20" t="n">
        <v>1.98392412</v>
      </c>
      <c r="G46" s="18" t="n">
        <v>33.67222792</v>
      </c>
      <c r="H46" s="20" t="n">
        <v>1.95775739</v>
      </c>
      <c r="I46" s="18" t="s">
        <v>431</v>
      </c>
      <c r="J46" s="20" t="s">
        <v>431</v>
      </c>
      <c r="K46" s="18" t="n">
        <v>10.20752413</v>
      </c>
      <c r="L46" s="20" t="n">
        <v>1.13159759</v>
      </c>
      <c r="M46" s="18" t="n">
        <v>0.0408792</v>
      </c>
      <c r="N46" s="20" t="n">
        <v>0.03761654</v>
      </c>
      <c r="O46" s="18" t="n">
        <v>0</v>
      </c>
      <c r="P46" s="20" t="n">
        <v>0</v>
      </c>
      <c r="Q46" s="18" t="n">
        <v>0</v>
      </c>
      <c r="R46" s="20" t="n">
        <v>0</v>
      </c>
    </row>
    <row r="47" spans="1:18">
      <c r="A47" s="15" t="s">
        <v>471</v>
      </c>
      <c r="B47" s="17" t="n">
        <v>3105</v>
      </c>
      <c r="C47" s="18">
        <f>(2743.0/B47*100)</f>
        <v/>
      </c>
      <c r="D47" s="19" t="n">
        <v>362</v>
      </c>
      <c r="E47" s="18" t="n">
        <v>47.86093823</v>
      </c>
      <c r="F47" s="20" t="n">
        <v>2.6060831</v>
      </c>
      <c r="G47" s="18" t="n">
        <v>39.11223845</v>
      </c>
      <c r="H47" s="20" t="n">
        <v>2.53025755</v>
      </c>
      <c r="I47" s="18" t="s">
        <v>431</v>
      </c>
      <c r="J47" s="20" t="s">
        <v>431</v>
      </c>
      <c r="K47" s="18" t="n">
        <v>13.02682332</v>
      </c>
      <c r="L47" s="20" t="n">
        <v>1.81297305</v>
      </c>
      <c r="M47" s="18" t="n">
        <v>0</v>
      </c>
      <c r="N47" s="20" t="n">
        <v>0</v>
      </c>
      <c r="O47" s="18" t="n">
        <v>0</v>
      </c>
      <c r="P47" s="20" t="n">
        <v>0</v>
      </c>
      <c r="Q47" s="18" t="n">
        <v>0</v>
      </c>
      <c r="R47" s="20" t="n">
        <v>0</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(4961.0/B50*100)</f>
        <v/>
      </c>
      <c r="D50" s="19" t="n">
        <v>676</v>
      </c>
      <c r="E50" s="18" t="n">
        <v>56.90757967</v>
      </c>
      <c r="F50" s="20" t="n">
        <v>2.48721688</v>
      </c>
      <c r="G50" s="18" t="n">
        <v>38.27314186</v>
      </c>
      <c r="H50" s="20" t="n">
        <v>2.11653373</v>
      </c>
      <c r="I50" s="18" t="s">
        <v>431</v>
      </c>
      <c r="J50" s="20" t="s">
        <v>431</v>
      </c>
      <c r="K50" s="18" t="n">
        <v>4.81927847</v>
      </c>
      <c r="L50" s="20" t="n">
        <v>1.25400971</v>
      </c>
      <c r="M50" s="18" t="n">
        <v>0</v>
      </c>
      <c r="N50" s="20" t="n">
        <v>0</v>
      </c>
      <c r="O50" s="18" t="n">
        <v>0</v>
      </c>
      <c r="P50" s="20" t="n">
        <v>0</v>
      </c>
      <c r="Q50" s="18" t="n">
        <v>0</v>
      </c>
      <c r="R50" s="20" t="n">
        <v>0</v>
      </c>
    </row>
    <row r="51" spans="1:18">
      <c r="A51" s="15" t="s">
        <v>475</v>
      </c>
      <c r="B51" s="17" t="n">
        <v>3372</v>
      </c>
      <c r="C51" s="18">
        <f>(3032.0/B51*100)</f>
        <v/>
      </c>
      <c r="D51" s="19" t="n">
        <v>340</v>
      </c>
      <c r="E51" s="18" t="n">
        <v>61.21737692</v>
      </c>
      <c r="F51" s="20" t="n">
        <v>3.00557316</v>
      </c>
      <c r="G51" s="18" t="n">
        <v>36.8317151</v>
      </c>
      <c r="H51" s="20" t="n">
        <v>2.92928671</v>
      </c>
      <c r="I51" s="18" t="s">
        <v>431</v>
      </c>
      <c r="J51" s="20" t="s">
        <v>431</v>
      </c>
      <c r="K51" s="18" t="n">
        <v>1.95090798</v>
      </c>
      <c r="L51" s="20" t="n">
        <v>0.85567627</v>
      </c>
      <c r="M51" s="18" t="n">
        <v>0</v>
      </c>
      <c r="N51" s="20" t="n">
        <v>0</v>
      </c>
      <c r="O51" s="18" t="n">
        <v>0</v>
      </c>
      <c r="P51" s="20" t="n">
        <v>0</v>
      </c>
      <c r="Q51" s="18" t="n">
        <v>0</v>
      </c>
      <c r="R51" s="20" t="n">
        <v>0</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(2481.0/B53*100)</f>
        <v/>
      </c>
      <c r="D53" s="19" t="n">
        <v>330</v>
      </c>
      <c r="E53" s="18" t="n">
        <v>34.08805656</v>
      </c>
      <c r="F53" s="20" t="n">
        <v>3.16848064</v>
      </c>
      <c r="G53" s="18" t="n">
        <v>57.94835668</v>
      </c>
      <c r="H53" s="20" t="n">
        <v>3.26136073</v>
      </c>
      <c r="I53" s="18" t="s">
        <v>431</v>
      </c>
      <c r="J53" s="20" t="s">
        <v>431</v>
      </c>
      <c r="K53" s="18" t="n">
        <v>7.96358677</v>
      </c>
      <c r="L53" s="20" t="n">
        <v>1.36985355</v>
      </c>
      <c r="M53" s="18" t="n">
        <v>0</v>
      </c>
      <c r="N53" s="20" t="n">
        <v>0</v>
      </c>
      <c r="O53" s="18" t="n">
        <v>0</v>
      </c>
      <c r="P53" s="20" t="n">
        <v>0</v>
      </c>
      <c r="Q53" s="18" t="n">
        <v>0</v>
      </c>
      <c r="R53" s="20" t="n">
        <v>0</v>
      </c>
    </row>
    <row r="54" spans="1:18">
      <c r="A54" s="15" t="s">
        <v>478</v>
      </c>
      <c r="B54" s="17" t="n">
        <v>2266</v>
      </c>
      <c r="C54" s="18">
        <f>(1905.0/B54*100)</f>
        <v/>
      </c>
      <c r="D54" s="19" t="n">
        <v>361</v>
      </c>
      <c r="E54" s="18" t="n">
        <v>51.22082759</v>
      </c>
      <c r="F54" s="20" t="n">
        <v>2.72516926</v>
      </c>
      <c r="G54" s="18" t="n">
        <v>25.50057495</v>
      </c>
      <c r="H54" s="20" t="n">
        <v>2.5245708</v>
      </c>
      <c r="I54" s="18" t="s">
        <v>431</v>
      </c>
      <c r="J54" s="20" t="s">
        <v>431</v>
      </c>
      <c r="K54" s="18" t="n">
        <v>22.17412642</v>
      </c>
      <c r="L54" s="20" t="n">
        <v>2.13607954</v>
      </c>
      <c r="M54" s="18" t="n">
        <v>1.10447104</v>
      </c>
      <c r="N54" s="20" t="n">
        <v>0.90847737</v>
      </c>
      <c r="O54" s="18" t="n">
        <v>0</v>
      </c>
      <c r="P54" s="20" t="n">
        <v>0</v>
      </c>
      <c r="Q54" s="18" t="n">
        <v>0</v>
      </c>
      <c r="R54" s="20" t="n">
        <v>0</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(3137.0/B67*100)</f>
        <v/>
      </c>
      <c r="D67" s="19" t="n">
        <v>374</v>
      </c>
      <c r="E67" s="18" t="n">
        <v>69.1624006</v>
      </c>
      <c r="F67" s="20" t="n">
        <v>2.50698882</v>
      </c>
      <c r="G67" s="18" t="n">
        <v>25.44457182</v>
      </c>
      <c r="H67" s="20" t="n">
        <v>2.35305691</v>
      </c>
      <c r="I67" s="18" t="s">
        <v>431</v>
      </c>
      <c r="J67" s="20" t="s">
        <v>431</v>
      </c>
      <c r="K67" s="18" t="n">
        <v>5.39302758</v>
      </c>
      <c r="L67" s="20" t="n">
        <v>1.2726129</v>
      </c>
      <c r="M67" s="18" t="n">
        <v>0</v>
      </c>
      <c r="N67" s="20" t="n">
        <v>0</v>
      </c>
      <c r="O67" s="18" t="n">
        <v>0</v>
      </c>
      <c r="P67" s="20" t="n">
        <v>0</v>
      </c>
      <c r="Q67" s="18" t="n">
        <v>0</v>
      </c>
      <c r="R67" s="20" t="n">
        <v>0</v>
      </c>
    </row>
    <row r="68" spans="1:18">
      <c r="A68" s="15" t="s">
        <v>492</v>
      </c>
      <c r="B68" s="17" t="n">
        <v>6049</v>
      </c>
      <c r="C68" s="18">
        <f>(5028.0/B68*100)</f>
        <v/>
      </c>
      <c r="D68" s="19" t="n">
        <v>1021</v>
      </c>
      <c r="E68" s="18" t="n">
        <v>56.53335478</v>
      </c>
      <c r="F68" s="20" t="n">
        <v>1.60755857</v>
      </c>
      <c r="G68" s="18" t="n">
        <v>25.86883147</v>
      </c>
      <c r="H68" s="20" t="n">
        <v>1.33153295</v>
      </c>
      <c r="I68" s="18" t="s">
        <v>431</v>
      </c>
      <c r="J68" s="20" t="s">
        <v>431</v>
      </c>
      <c r="K68" s="18" t="n">
        <v>17.59781375</v>
      </c>
      <c r="L68" s="20" t="n">
        <v>1.25378801</v>
      </c>
      <c r="M68" s="18" t="n">
        <v>0</v>
      </c>
      <c r="N68" s="20" t="n">
        <v>0</v>
      </c>
      <c r="O68" s="18" t="n">
        <v>0</v>
      </c>
      <c r="P68" s="20" t="n">
        <v>0</v>
      </c>
      <c r="Q68" s="18" t="n">
        <v>0</v>
      </c>
      <c r="R68" s="20" t="n">
        <v>0</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(2151.0/B75*100)</f>
        <v/>
      </c>
      <c r="D75" s="19" t="n">
        <v>255</v>
      </c>
      <c r="E75" s="18" t="n">
        <v>37.30064958</v>
      </c>
      <c r="F75" s="20" t="n">
        <v>3.30787663</v>
      </c>
      <c r="G75" s="18" t="n">
        <v>40.91959511</v>
      </c>
      <c r="H75" s="20" t="n">
        <v>3.32783051</v>
      </c>
      <c r="I75" s="18" t="s">
        <v>431</v>
      </c>
      <c r="J75" s="20" t="s">
        <v>431</v>
      </c>
      <c r="K75" s="18" t="n">
        <v>21.77975531</v>
      </c>
      <c r="L75" s="20" t="n">
        <v>3.09869002</v>
      </c>
      <c r="M75" s="18" t="n">
        <v>0</v>
      </c>
      <c r="N75" s="20" t="n">
        <v>0</v>
      </c>
      <c r="O75" s="18" t="n">
        <v>0</v>
      </c>
      <c r="P75" s="20" t="n">
        <v>0</v>
      </c>
      <c r="Q75" s="18" t="n">
        <v>0</v>
      </c>
      <c r="R75" s="20" t="n">
        <v>0</v>
      </c>
    </row>
    <row r="76" spans="1:18">
      <c r="A76" s="15" t="s">
        <v>500</v>
      </c>
      <c r="B76" s="17" t="n">
        <v>7052</v>
      </c>
      <c r="C76" s="18">
        <f>(6200.0/B76*100)</f>
        <v/>
      </c>
      <c r="D76" s="19" t="n">
        <v>852</v>
      </c>
      <c r="E76" s="18" t="n">
        <v>49.26075238</v>
      </c>
      <c r="F76" s="20" t="n">
        <v>2.27885354</v>
      </c>
      <c r="G76" s="18" t="n">
        <v>42.14744394</v>
      </c>
      <c r="H76" s="20" t="n">
        <v>2.22646645</v>
      </c>
      <c r="I76" s="18" t="s">
        <v>431</v>
      </c>
      <c r="J76" s="20" t="s">
        <v>431</v>
      </c>
      <c r="K76" s="18" t="n">
        <v>8.316480840000001</v>
      </c>
      <c r="L76" s="20" t="n">
        <v>1.2765636</v>
      </c>
      <c r="M76" s="18" t="n">
        <v>0.27532284</v>
      </c>
      <c r="N76" s="20" t="n">
        <v>0.17830549</v>
      </c>
      <c r="O76" s="18" t="n">
        <v>0</v>
      </c>
      <c r="P76" s="20" t="n">
        <v>0</v>
      </c>
      <c r="Q76" s="18" t="n">
        <v>0</v>
      </c>
      <c r="R76" s="20" t="n">
        <v>0</v>
      </c>
    </row>
    <row r="77" spans="1:18">
      <c r="A77" s="15" t="s">
        <v>501</v>
      </c>
      <c r="B77" s="17" t="n">
        <v>2908</v>
      </c>
      <c r="C77" s="18">
        <f>(2589.0/B77*100)</f>
        <v/>
      </c>
      <c r="D77" s="19" t="n">
        <v>319</v>
      </c>
      <c r="E77" s="18" t="n">
        <v>56.99783499</v>
      </c>
      <c r="F77" s="20" t="n">
        <v>2.94304091</v>
      </c>
      <c r="G77" s="18" t="n">
        <v>38.08969008</v>
      </c>
      <c r="H77" s="20" t="n">
        <v>2.98047474</v>
      </c>
      <c r="I77" s="18" t="s">
        <v>431</v>
      </c>
      <c r="J77" s="20" t="s">
        <v>431</v>
      </c>
      <c r="K77" s="18" t="n">
        <v>4.91247493</v>
      </c>
      <c r="L77" s="20" t="n">
        <v>1.13371142</v>
      </c>
      <c r="M77" s="18" t="n">
        <v>0</v>
      </c>
      <c r="N77" s="20" t="n">
        <v>0</v>
      </c>
      <c r="O77" s="18" t="n">
        <v>0</v>
      </c>
      <c r="P77" s="20" t="n">
        <v>0</v>
      </c>
      <c r="Q77" s="18" t="n">
        <v>0</v>
      </c>
      <c r="R77" s="20" t="n">
        <v>0</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(3674.0/B81*100)</f>
        <v/>
      </c>
      <c r="D81" s="19" t="n">
        <v>489</v>
      </c>
      <c r="E81" s="18" t="n">
        <v>44.60398131</v>
      </c>
      <c r="F81" s="20" t="n">
        <v>2.95040502</v>
      </c>
      <c r="G81" s="18" t="n">
        <v>51.20843673</v>
      </c>
      <c r="H81" s="20" t="n">
        <v>2.9500817</v>
      </c>
      <c r="I81" s="18" t="s">
        <v>431</v>
      </c>
      <c r="J81" s="20" t="s">
        <v>431</v>
      </c>
      <c r="K81" s="18" t="n">
        <v>4.18758196</v>
      </c>
      <c r="L81" s="20" t="n">
        <v>1.01814167</v>
      </c>
      <c r="M81" s="18" t="n">
        <v>0</v>
      </c>
      <c r="N81" s="20" t="n">
        <v>0</v>
      </c>
      <c r="O81" s="18" t="n">
        <v>0</v>
      </c>
      <c r="P81" s="20" t="n">
        <v>0</v>
      </c>
      <c r="Q81" s="18" t="n">
        <v>0</v>
      </c>
      <c r="R81" s="20" t="n">
        <v>0</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(2075.0/B44*100)</f>
        <v/>
      </c>
      <c r="D44" s="19" t="n">
        <v>449</v>
      </c>
      <c r="E44" s="18" t="n">
        <v>32.14203611</v>
      </c>
      <c r="F44" s="20" t="n">
        <v>2.64792778</v>
      </c>
      <c r="G44" s="18" t="n">
        <v>18.90644056</v>
      </c>
      <c r="H44" s="20" t="n">
        <v>2.40591806</v>
      </c>
      <c r="I44" s="18" t="s">
        <v>431</v>
      </c>
      <c r="J44" s="20" t="s">
        <v>431</v>
      </c>
      <c r="K44" s="18" t="n">
        <v>3.57355548</v>
      </c>
      <c r="L44" s="20" t="n">
        <v>1.01790588</v>
      </c>
      <c r="M44" s="18" t="n">
        <v>0</v>
      </c>
      <c r="N44" s="20" t="n">
        <v>0</v>
      </c>
      <c r="O44" s="18" t="n">
        <v>0</v>
      </c>
      <c r="P44" s="20" t="n">
        <v>0</v>
      </c>
      <c r="Q44" s="18" t="n">
        <v>45.37796784</v>
      </c>
      <c r="R44" s="20" t="n">
        <v>2.39349655</v>
      </c>
    </row>
    <row r="45" spans="1:18">
      <c r="A45" s="15" t="s">
        <v>469</v>
      </c>
      <c r="B45" s="17" t="n">
        <v>2849</v>
      </c>
      <c r="C45" s="18">
        <f>(2371.0/B45*100)</f>
        <v/>
      </c>
      <c r="D45" s="19" t="n">
        <v>478</v>
      </c>
      <c r="E45" s="18" t="n">
        <v>19.15640911</v>
      </c>
      <c r="F45" s="20" t="n">
        <v>1.94934316</v>
      </c>
      <c r="G45" s="18" t="n">
        <v>7.37736566</v>
      </c>
      <c r="H45" s="20" t="n">
        <v>1.20763705</v>
      </c>
      <c r="I45" s="18" t="s">
        <v>431</v>
      </c>
      <c r="J45" s="20" t="s">
        <v>431</v>
      </c>
      <c r="K45" s="18" t="n">
        <v>7.01628408</v>
      </c>
      <c r="L45" s="20" t="n">
        <v>1.54923433</v>
      </c>
      <c r="M45" s="18" t="n">
        <v>0.3883874</v>
      </c>
      <c r="N45" s="20" t="n">
        <v>0.28549565</v>
      </c>
      <c r="O45" s="18" t="n">
        <v>0</v>
      </c>
      <c r="P45" s="20" t="n">
        <v>0</v>
      </c>
      <c r="Q45" s="18" t="n">
        <v>66.06155373999999</v>
      </c>
      <c r="R45" s="20" t="n">
        <v>2.32182567</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(2529.0/B49*100)</f>
        <v/>
      </c>
      <c r="D49" s="19" t="n">
        <v>489</v>
      </c>
      <c r="E49" s="18" t="n">
        <v>31.9927341</v>
      </c>
      <c r="F49" s="20" t="n">
        <v>2.69125196</v>
      </c>
      <c r="G49" s="18" t="n">
        <v>25.75025414</v>
      </c>
      <c r="H49" s="20" t="n">
        <v>2.31674166</v>
      </c>
      <c r="I49" s="18" t="s">
        <v>431</v>
      </c>
      <c r="J49" s="20" t="s">
        <v>431</v>
      </c>
      <c r="K49" s="18" t="n">
        <v>1.54092835</v>
      </c>
      <c r="L49" s="20" t="n">
        <v>0.6086571</v>
      </c>
      <c r="M49" s="18" t="n">
        <v>2.21571975</v>
      </c>
      <c r="N49" s="20" t="n">
        <v>0.75915181</v>
      </c>
      <c r="O49" s="18" t="n">
        <v>0</v>
      </c>
      <c r="P49" s="20" t="n">
        <v>0</v>
      </c>
      <c r="Q49" s="18" t="n">
        <v>38.50036368</v>
      </c>
      <c r="R49" s="20" t="n">
        <v>2.7060662</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(2314.0/B55*100)</f>
        <v/>
      </c>
      <c r="D55" s="19" t="n">
        <v>445</v>
      </c>
      <c r="E55" s="18" t="n">
        <v>35.69416505</v>
      </c>
      <c r="F55" s="20" t="n">
        <v>2.2902578</v>
      </c>
      <c r="G55" s="18" t="n">
        <v>11.63946998</v>
      </c>
      <c r="H55" s="20" t="n">
        <v>1.77030579</v>
      </c>
      <c r="I55" s="18" t="s">
        <v>431</v>
      </c>
      <c r="J55" s="20" t="s">
        <v>431</v>
      </c>
      <c r="K55" s="18" t="n">
        <v>0.94851241</v>
      </c>
      <c r="L55" s="20" t="n">
        <v>0.49790229</v>
      </c>
      <c r="M55" s="18" t="n">
        <v>0</v>
      </c>
      <c r="N55" s="20" t="n">
        <v>0</v>
      </c>
      <c r="O55" s="18" t="n">
        <v>0</v>
      </c>
      <c r="P55" s="20" t="n">
        <v>0</v>
      </c>
      <c r="Q55" s="18" t="n">
        <v>51.71785256</v>
      </c>
      <c r="R55" s="20" t="n">
        <v>2.29394139</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21.71741899</v>
      </c>
      <c r="F57" s="20" t="n">
        <v>2.30228878</v>
      </c>
      <c r="G57" s="18" t="n">
        <v>17.55831611</v>
      </c>
      <c r="H57" s="20" t="n">
        <v>1.81323227</v>
      </c>
      <c r="I57" s="18" t="s">
        <v>431</v>
      </c>
      <c r="J57" s="20" t="s">
        <v>431</v>
      </c>
      <c r="K57" s="18" t="n">
        <v>1.38345935</v>
      </c>
      <c r="L57" s="20" t="n">
        <v>0.62455034</v>
      </c>
      <c r="M57" s="18" t="n">
        <v>0.16322499</v>
      </c>
      <c r="N57" s="20" t="n">
        <v>0.16896054</v>
      </c>
      <c r="O57" s="18" t="n">
        <v>0</v>
      </c>
      <c r="P57" s="20" t="n">
        <v>0</v>
      </c>
      <c r="Q57" s="18" t="n">
        <v>59.17758055</v>
      </c>
      <c r="R57" s="20" t="n">
        <v>2.69472227</v>
      </c>
    </row>
    <row r="58" spans="1:18">
      <c r="A58" s="15" t="s">
        <v>482</v>
      </c>
      <c r="B58" s="17" t="n">
        <v>3530</v>
      </c>
      <c r="C58" s="18">
        <f>(2943.0/B58*100)</f>
        <v/>
      </c>
      <c r="D58" s="19" t="n">
        <v>587</v>
      </c>
      <c r="E58" s="18" t="n">
        <v>34.17250919</v>
      </c>
      <c r="F58" s="20" t="n">
        <v>2.4251463</v>
      </c>
      <c r="G58" s="18" t="n">
        <v>20.38745677</v>
      </c>
      <c r="H58" s="20" t="n">
        <v>1.84280579</v>
      </c>
      <c r="I58" s="18" t="s">
        <v>431</v>
      </c>
      <c r="J58" s="20" t="s">
        <v>431</v>
      </c>
      <c r="K58" s="18" t="n">
        <v>2.66402486</v>
      </c>
      <c r="L58" s="20" t="n">
        <v>0.8223591</v>
      </c>
      <c r="M58" s="18" t="n">
        <v>0</v>
      </c>
      <c r="N58" s="20" t="n">
        <v>0</v>
      </c>
      <c r="O58" s="18" t="n">
        <v>0.03142803</v>
      </c>
      <c r="P58" s="20" t="n">
        <v>0.03138437</v>
      </c>
      <c r="Q58" s="18" t="n">
        <v>42.74458115</v>
      </c>
      <c r="R58" s="20" t="n">
        <v>2.40067356</v>
      </c>
    </row>
    <row r="59" spans="1:18">
      <c r="A59" s="15" t="s">
        <v>483</v>
      </c>
      <c r="B59" s="17" t="n">
        <v>2548</v>
      </c>
      <c r="C59" s="18">
        <f>(2124.0/B59*100)</f>
        <v/>
      </c>
      <c r="D59" s="19" t="n">
        <v>424</v>
      </c>
      <c r="E59" s="18" t="n">
        <v>38.55107565</v>
      </c>
      <c r="F59" s="20" t="n">
        <v>2.89343511</v>
      </c>
      <c r="G59" s="18" t="n">
        <v>14.14155785</v>
      </c>
      <c r="H59" s="20" t="n">
        <v>1.82399433</v>
      </c>
      <c r="I59" s="18" t="s">
        <v>431</v>
      </c>
      <c r="J59" s="20" t="s">
        <v>431</v>
      </c>
      <c r="K59" s="18" t="n">
        <v>1.25548278</v>
      </c>
      <c r="L59" s="20" t="n">
        <v>0.70419596</v>
      </c>
      <c r="M59" s="18" t="n">
        <v>0</v>
      </c>
      <c r="N59" s="20" t="n">
        <v>0</v>
      </c>
      <c r="O59" s="18" t="n">
        <v>0</v>
      </c>
      <c r="P59" s="20" t="n">
        <v>0</v>
      </c>
      <c r="Q59" s="18" t="n">
        <v>46.05188372</v>
      </c>
      <c r="R59" s="20" t="n">
        <v>2.91945308</v>
      </c>
    </row>
    <row r="60" spans="1:18">
      <c r="A60" s="15" t="s">
        <v>484</v>
      </c>
      <c r="B60" s="17" t="n">
        <v>2095</v>
      </c>
      <c r="C60" s="18">
        <f>(1743.0/B60*100)</f>
        <v/>
      </c>
      <c r="D60" s="19" t="n">
        <v>352</v>
      </c>
      <c r="E60" s="18" t="n">
        <v>18.15434942</v>
      </c>
      <c r="F60" s="20" t="n">
        <v>2.18877594</v>
      </c>
      <c r="G60" s="18" t="n">
        <v>15.98608296</v>
      </c>
      <c r="H60" s="20" t="n">
        <v>2.4871888</v>
      </c>
      <c r="I60" s="18" t="s">
        <v>431</v>
      </c>
      <c r="J60" s="20" t="s">
        <v>431</v>
      </c>
      <c r="K60" s="18" t="n">
        <v>7.79581742</v>
      </c>
      <c r="L60" s="20" t="n">
        <v>1.80541923</v>
      </c>
      <c r="M60" s="18" t="n">
        <v>0</v>
      </c>
      <c r="N60" s="20" t="n">
        <v>0</v>
      </c>
      <c r="O60" s="18" t="n">
        <v>0</v>
      </c>
      <c r="P60" s="20" t="n">
        <v>0</v>
      </c>
      <c r="Q60" s="18" t="n">
        <v>58.0637502</v>
      </c>
      <c r="R60" s="20" t="n">
        <v>3.03423172</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(2353.0/B63*100)</f>
        <v/>
      </c>
      <c r="D63" s="19" t="n">
        <v>460</v>
      </c>
      <c r="E63" s="18" t="n">
        <v>22.62935191</v>
      </c>
      <c r="F63" s="20" t="n">
        <v>2.27884495</v>
      </c>
      <c r="G63" s="18" t="n">
        <v>12.51691515</v>
      </c>
      <c r="H63" s="20" t="n">
        <v>1.65256062</v>
      </c>
      <c r="I63" s="18" t="s">
        <v>431</v>
      </c>
      <c r="J63" s="20" t="s">
        <v>431</v>
      </c>
      <c r="K63" s="18" t="n">
        <v>3.36212263</v>
      </c>
      <c r="L63" s="20" t="n">
        <v>0.87666398</v>
      </c>
      <c r="M63" s="18" t="n">
        <v>0</v>
      </c>
      <c r="N63" s="20" t="n">
        <v>0</v>
      </c>
      <c r="O63" s="18" t="n">
        <v>0</v>
      </c>
      <c r="P63" s="20" t="n">
        <v>0</v>
      </c>
      <c r="Q63" s="18" t="n">
        <v>61.4916103</v>
      </c>
      <c r="R63" s="20" t="n">
        <v>2.67290932</v>
      </c>
    </row>
    <row r="64" spans="1:18">
      <c r="A64" s="15" t="s">
        <v>488</v>
      </c>
      <c r="B64" s="17" t="n">
        <v>1844</v>
      </c>
      <c r="C64" s="18">
        <f>(1531.0/B64*100)</f>
        <v/>
      </c>
      <c r="D64" s="19" t="n">
        <v>313</v>
      </c>
      <c r="E64" s="18" t="n">
        <v>21.76641836</v>
      </c>
      <c r="F64" s="20" t="n">
        <v>2.46542863</v>
      </c>
      <c r="G64" s="18" t="n">
        <v>55.22761589</v>
      </c>
      <c r="H64" s="20" t="n">
        <v>3.10593812</v>
      </c>
      <c r="I64" s="18" t="s">
        <v>431</v>
      </c>
      <c r="J64" s="20" t="s">
        <v>431</v>
      </c>
      <c r="K64" s="18" t="n">
        <v>1.94229155</v>
      </c>
      <c r="L64" s="20" t="n">
        <v>0.79519204</v>
      </c>
      <c r="M64" s="18" t="n">
        <v>0</v>
      </c>
      <c r="N64" s="20" t="n">
        <v>0</v>
      </c>
      <c r="O64" s="18" t="n">
        <v>0</v>
      </c>
      <c r="P64" s="20" t="n">
        <v>0</v>
      </c>
      <c r="Q64" s="18" t="n">
        <v>21.06367421</v>
      </c>
      <c r="R64" s="20" t="n">
        <v>2.48779408</v>
      </c>
    </row>
    <row r="65" spans="1:18">
      <c r="A65" s="15" t="s">
        <v>489</v>
      </c>
      <c r="B65" s="17" t="n">
        <v>2691</v>
      </c>
      <c r="C65" s="18">
        <f>(2241.0/B65*100)</f>
        <v/>
      </c>
      <c r="D65" s="19" t="n">
        <v>450</v>
      </c>
      <c r="E65" s="18" t="n">
        <v>28.26404625</v>
      </c>
      <c r="F65" s="20" t="n">
        <v>2.24330416</v>
      </c>
      <c r="G65" s="18" t="n">
        <v>23.52509878</v>
      </c>
      <c r="H65" s="20" t="n">
        <v>2.10621406</v>
      </c>
      <c r="I65" s="18" t="s">
        <v>431</v>
      </c>
      <c r="J65" s="20" t="s">
        <v>431</v>
      </c>
      <c r="K65" s="18" t="n">
        <v>3.81253743</v>
      </c>
      <c r="L65" s="20" t="n">
        <v>1.03664346</v>
      </c>
      <c r="M65" s="18" t="n">
        <v>0</v>
      </c>
      <c r="N65" s="20" t="n">
        <v>0</v>
      </c>
      <c r="O65" s="18" t="n">
        <v>0</v>
      </c>
      <c r="P65" s="20" t="n">
        <v>0</v>
      </c>
      <c r="Q65" s="18" t="n">
        <v>44.39831755</v>
      </c>
      <c r="R65" s="20" t="n">
        <v>2.43634861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(2029.0/B69*100)</f>
        <v/>
      </c>
      <c r="D69" s="19" t="n">
        <v>381</v>
      </c>
      <c r="E69" s="18" t="n">
        <v>33.34977564</v>
      </c>
      <c r="F69" s="20" t="n">
        <v>2.48350355</v>
      </c>
      <c r="G69" s="18" t="n">
        <v>57.14005383</v>
      </c>
      <c r="H69" s="20" t="n">
        <v>2.62799247</v>
      </c>
      <c r="I69" s="18" t="s">
        <v>431</v>
      </c>
      <c r="J69" s="20" t="s">
        <v>431</v>
      </c>
      <c r="K69" s="18" t="n">
        <v>0.25645587</v>
      </c>
      <c r="L69" s="20" t="n">
        <v>0.25552472</v>
      </c>
      <c r="M69" s="18" t="n">
        <v>0</v>
      </c>
      <c r="N69" s="20" t="n">
        <v>0</v>
      </c>
      <c r="O69" s="18" t="n">
        <v>0</v>
      </c>
      <c r="P69" s="20" t="n">
        <v>0</v>
      </c>
      <c r="Q69" s="18" t="n">
        <v>9.25371466</v>
      </c>
      <c r="R69" s="20" t="n">
        <v>1.42965759</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(1846.0/B74*100)</f>
        <v/>
      </c>
      <c r="D74" s="19" t="n">
        <v>393</v>
      </c>
      <c r="E74" s="18" t="n">
        <v>35.73546364</v>
      </c>
      <c r="F74" s="20" t="n">
        <v>2.56203486</v>
      </c>
      <c r="G74" s="18" t="n">
        <v>23.12504831</v>
      </c>
      <c r="H74" s="20" t="n">
        <v>2.43574629</v>
      </c>
      <c r="I74" s="18" t="s">
        <v>431</v>
      </c>
      <c r="J74" s="20" t="s">
        <v>431</v>
      </c>
      <c r="K74" s="18" t="n">
        <v>6.68549455</v>
      </c>
      <c r="L74" s="20" t="n">
        <v>1.09255413</v>
      </c>
      <c r="M74" s="18" t="n">
        <v>0</v>
      </c>
      <c r="N74" s="20" t="n">
        <v>0</v>
      </c>
      <c r="O74" s="18" t="n">
        <v>0</v>
      </c>
      <c r="P74" s="20" t="n">
        <v>0</v>
      </c>
      <c r="Q74" s="18" t="n">
        <v>34.45399351</v>
      </c>
      <c r="R74" s="20" t="n">
        <v>2.81688673</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(2338.0/B78*100)</f>
        <v/>
      </c>
      <c r="D78" s="19" t="n">
        <v>448</v>
      </c>
      <c r="E78" s="18" t="n">
        <v>39.50960893</v>
      </c>
      <c r="F78" s="20" t="n">
        <v>2.9935531</v>
      </c>
      <c r="G78" s="18" t="n">
        <v>25.58834156</v>
      </c>
      <c r="H78" s="20" t="n">
        <v>2.50310912</v>
      </c>
      <c r="I78" s="18" t="s">
        <v>431</v>
      </c>
      <c r="J78" s="20" t="s">
        <v>431</v>
      </c>
      <c r="K78" s="18" t="n">
        <v>0</v>
      </c>
      <c r="L78" s="20" t="n">
        <v>0</v>
      </c>
      <c r="M78" s="18" t="n">
        <v>0</v>
      </c>
      <c r="N78" s="20" t="n">
        <v>0</v>
      </c>
      <c r="O78" s="18" t="n">
        <v>0</v>
      </c>
      <c r="P78" s="20" t="n">
        <v>0</v>
      </c>
      <c r="Q78" s="18" t="n">
        <v>34.9020495</v>
      </c>
      <c r="R78" s="20" t="n">
        <v>3.41086916</v>
      </c>
    </row>
    <row customHeight="1" ht="25" r="79" spans="1:18">
      <c r="A79" s="15" t="s">
        <v>503</v>
      </c>
      <c r="B79" s="17" t="n">
        <v>787</v>
      </c>
      <c r="C79" s="18">
        <f>(669.0/B79*100)</f>
        <v/>
      </c>
      <c r="D79" s="19" t="n">
        <v>118</v>
      </c>
      <c r="E79" s="18" t="n">
        <v>21.58675845</v>
      </c>
      <c r="F79" s="20" t="n">
        <v>3.66038532</v>
      </c>
      <c r="G79" s="18" t="n">
        <v>56.79804079</v>
      </c>
      <c r="H79" s="20" t="n">
        <v>4.88230373</v>
      </c>
      <c r="I79" s="18" t="s">
        <v>431</v>
      </c>
      <c r="J79" s="20" t="s">
        <v>431</v>
      </c>
      <c r="K79" s="18" t="n">
        <v>0.51604081</v>
      </c>
      <c r="L79" s="20" t="n">
        <v>0.50192727</v>
      </c>
      <c r="M79" s="18" t="n">
        <v>3.85644597</v>
      </c>
      <c r="N79" s="20" t="n">
        <v>1.81633306</v>
      </c>
      <c r="O79" s="18" t="n">
        <v>0</v>
      </c>
      <c r="P79" s="20" t="n">
        <v>0</v>
      </c>
      <c r="Q79" s="18" t="n">
        <v>17.24271399</v>
      </c>
      <c r="R79" s="20" t="n">
        <v>4.0156445</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(2075.0/B44*100)</f>
        <v/>
      </c>
      <c r="D44" s="19" t="n">
        <v>449</v>
      </c>
      <c r="E44" s="18" t="n">
        <v>48.04405628</v>
      </c>
      <c r="F44" s="20" t="n">
        <v>2.4769069</v>
      </c>
      <c r="G44" s="18" t="n">
        <v>8.406586130000001</v>
      </c>
      <c r="H44" s="20" t="n">
        <v>1.94900836</v>
      </c>
      <c r="I44" s="18" t="s">
        <v>431</v>
      </c>
      <c r="J44" s="20" t="s">
        <v>431</v>
      </c>
      <c r="K44" s="18" t="n">
        <v>3.57355548</v>
      </c>
      <c r="L44" s="20" t="n">
        <v>1.01790588</v>
      </c>
      <c r="M44" s="18" t="n">
        <v>0</v>
      </c>
      <c r="N44" s="20" t="n">
        <v>0</v>
      </c>
      <c r="O44" s="18" t="n">
        <v>0</v>
      </c>
      <c r="P44" s="20" t="n">
        <v>0</v>
      </c>
      <c r="Q44" s="18" t="n">
        <v>39.9758021</v>
      </c>
      <c r="R44" s="20" t="n">
        <v>2.37955691</v>
      </c>
    </row>
    <row r="45" spans="1:18">
      <c r="A45" s="15" t="s">
        <v>469</v>
      </c>
      <c r="B45" s="17" t="n">
        <v>2849</v>
      </c>
      <c r="C45" s="18">
        <f>(2371.0/B45*100)</f>
        <v/>
      </c>
      <c r="D45" s="19" t="n">
        <v>478</v>
      </c>
      <c r="E45" s="18" t="n">
        <v>27.24793153</v>
      </c>
      <c r="F45" s="20" t="n">
        <v>2.33284197</v>
      </c>
      <c r="G45" s="18" t="n">
        <v>6.23291537</v>
      </c>
      <c r="H45" s="20" t="n">
        <v>1.19982546</v>
      </c>
      <c r="I45" s="18" t="s">
        <v>431</v>
      </c>
      <c r="J45" s="20" t="s">
        <v>431</v>
      </c>
      <c r="K45" s="18" t="n">
        <v>7.01628408</v>
      </c>
      <c r="L45" s="20" t="n">
        <v>1.54923433</v>
      </c>
      <c r="M45" s="18" t="n">
        <v>0.3883874</v>
      </c>
      <c r="N45" s="20" t="n">
        <v>0.28549565</v>
      </c>
      <c r="O45" s="18" t="n">
        <v>0</v>
      </c>
      <c r="P45" s="20" t="n">
        <v>0</v>
      </c>
      <c r="Q45" s="18" t="n">
        <v>59.11448162</v>
      </c>
      <c r="R45" s="20" t="n">
        <v>2.55061972</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(2529.0/B49*100)</f>
        <v/>
      </c>
      <c r="D49" s="19" t="n">
        <v>489</v>
      </c>
      <c r="E49" s="18" t="n">
        <v>22.70595366</v>
      </c>
      <c r="F49" s="20" t="n">
        <v>2.11735666</v>
      </c>
      <c r="G49" s="18" t="n">
        <v>38.94639427</v>
      </c>
      <c r="H49" s="20" t="n">
        <v>2.61960604</v>
      </c>
      <c r="I49" s="18" t="s">
        <v>431</v>
      </c>
      <c r="J49" s="20" t="s">
        <v>431</v>
      </c>
      <c r="K49" s="18" t="n">
        <v>1.54092835</v>
      </c>
      <c r="L49" s="20" t="n">
        <v>0.6086571</v>
      </c>
      <c r="M49" s="18" t="n">
        <v>2.21571975</v>
      </c>
      <c r="N49" s="20" t="n">
        <v>0.75915181</v>
      </c>
      <c r="O49" s="18" t="n">
        <v>0</v>
      </c>
      <c r="P49" s="20" t="n">
        <v>0</v>
      </c>
      <c r="Q49" s="18" t="n">
        <v>34.59100398</v>
      </c>
      <c r="R49" s="20" t="n">
        <v>2.64884201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(2314.0/B55*100)</f>
        <v/>
      </c>
      <c r="D55" s="19" t="n">
        <v>445</v>
      </c>
      <c r="E55" s="18" t="n">
        <v>38.02541847</v>
      </c>
      <c r="F55" s="20" t="n">
        <v>2.54220958</v>
      </c>
      <c r="G55" s="18" t="n">
        <v>13.57707453</v>
      </c>
      <c r="H55" s="20" t="n">
        <v>1.83400248</v>
      </c>
      <c r="I55" s="18" t="s">
        <v>431</v>
      </c>
      <c r="J55" s="20" t="s">
        <v>431</v>
      </c>
      <c r="K55" s="18" t="n">
        <v>0.94851241</v>
      </c>
      <c r="L55" s="20" t="n">
        <v>0.49790229</v>
      </c>
      <c r="M55" s="18" t="n">
        <v>0</v>
      </c>
      <c r="N55" s="20" t="n">
        <v>0</v>
      </c>
      <c r="O55" s="18" t="n">
        <v>0</v>
      </c>
      <c r="P55" s="20" t="n">
        <v>0</v>
      </c>
      <c r="Q55" s="18" t="n">
        <v>47.44899459</v>
      </c>
      <c r="R55" s="20" t="n">
        <v>2.47605491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20.9492924</v>
      </c>
      <c r="F57" s="20" t="n">
        <v>1.72906163</v>
      </c>
      <c r="G57" s="18" t="n">
        <v>23.84991967</v>
      </c>
      <c r="H57" s="20" t="n">
        <v>2.40280442</v>
      </c>
      <c r="I57" s="18" t="s">
        <v>431</v>
      </c>
      <c r="J57" s="20" t="s">
        <v>431</v>
      </c>
      <c r="K57" s="18" t="n">
        <v>1.38345935</v>
      </c>
      <c r="L57" s="20" t="n">
        <v>0.62455034</v>
      </c>
      <c r="M57" s="18" t="n">
        <v>0.16322499</v>
      </c>
      <c r="N57" s="20" t="n">
        <v>0.16896054</v>
      </c>
      <c r="O57" s="18" t="n">
        <v>0</v>
      </c>
      <c r="P57" s="20" t="n">
        <v>0</v>
      </c>
      <c r="Q57" s="18" t="n">
        <v>53.65410358</v>
      </c>
      <c r="R57" s="20" t="n">
        <v>2.76255045</v>
      </c>
    </row>
    <row r="58" spans="1:18">
      <c r="A58" s="15" t="s">
        <v>482</v>
      </c>
      <c r="B58" s="17" t="n">
        <v>3530</v>
      </c>
      <c r="C58" s="18">
        <f>(2943.0/B58*100)</f>
        <v/>
      </c>
      <c r="D58" s="19" t="n">
        <v>587</v>
      </c>
      <c r="E58" s="18" t="n">
        <v>37.90209317</v>
      </c>
      <c r="F58" s="20" t="n">
        <v>2.60596489</v>
      </c>
      <c r="G58" s="18" t="n">
        <v>20.75701529</v>
      </c>
      <c r="H58" s="20" t="n">
        <v>1.77836198</v>
      </c>
      <c r="I58" s="18" t="s">
        <v>431</v>
      </c>
      <c r="J58" s="20" t="s">
        <v>431</v>
      </c>
      <c r="K58" s="18" t="n">
        <v>2.93208128</v>
      </c>
      <c r="L58" s="20" t="n">
        <v>0.9425719299999999</v>
      </c>
      <c r="M58" s="18" t="n">
        <v>0</v>
      </c>
      <c r="N58" s="20" t="n">
        <v>0</v>
      </c>
      <c r="O58" s="18" t="n">
        <v>0</v>
      </c>
      <c r="P58" s="20" t="n">
        <v>0</v>
      </c>
      <c r="Q58" s="18" t="n">
        <v>38.40881025</v>
      </c>
      <c r="R58" s="20" t="n">
        <v>2.54485761</v>
      </c>
    </row>
    <row r="59" spans="1:18">
      <c r="A59" s="15" t="s">
        <v>483</v>
      </c>
      <c r="B59" s="17" t="n">
        <v>2548</v>
      </c>
      <c r="C59" s="18">
        <f>(2124.0/B59*100)</f>
        <v/>
      </c>
      <c r="D59" s="19" t="n">
        <v>424</v>
      </c>
      <c r="E59" s="18" t="n">
        <v>55.56061722</v>
      </c>
      <c r="F59" s="20" t="n">
        <v>2.44553921</v>
      </c>
      <c r="G59" s="18" t="n">
        <v>3.69867488</v>
      </c>
      <c r="H59" s="20" t="n">
        <v>0.9278634</v>
      </c>
      <c r="I59" s="18" t="s">
        <v>431</v>
      </c>
      <c r="J59" s="20" t="s">
        <v>431</v>
      </c>
      <c r="K59" s="18" t="n">
        <v>1.25548278</v>
      </c>
      <c r="L59" s="20" t="n">
        <v>0.70419596</v>
      </c>
      <c r="M59" s="18" t="n">
        <v>0</v>
      </c>
      <c r="N59" s="20" t="n">
        <v>0</v>
      </c>
      <c r="O59" s="18" t="n">
        <v>0</v>
      </c>
      <c r="P59" s="20" t="n">
        <v>0</v>
      </c>
      <c r="Q59" s="18" t="n">
        <v>39.48522512</v>
      </c>
      <c r="R59" s="20" t="n">
        <v>2.65863477</v>
      </c>
    </row>
    <row r="60" spans="1:18">
      <c r="A60" s="15" t="s">
        <v>484</v>
      </c>
      <c r="B60" s="17" t="n">
        <v>2095</v>
      </c>
      <c r="C60" s="18">
        <f>(1743.0/B60*100)</f>
        <v/>
      </c>
      <c r="D60" s="19" t="n">
        <v>352</v>
      </c>
      <c r="E60" s="18" t="n">
        <v>14.89349288</v>
      </c>
      <c r="F60" s="20" t="n">
        <v>2.03207226</v>
      </c>
      <c r="G60" s="18" t="n">
        <v>22.94175345</v>
      </c>
      <c r="H60" s="20" t="n">
        <v>2.54046687</v>
      </c>
      <c r="I60" s="18" t="s">
        <v>431</v>
      </c>
      <c r="J60" s="20" t="s">
        <v>431</v>
      </c>
      <c r="K60" s="18" t="n">
        <v>7.79581742</v>
      </c>
      <c r="L60" s="20" t="n">
        <v>1.80541923</v>
      </c>
      <c r="M60" s="18" t="n">
        <v>0</v>
      </c>
      <c r="N60" s="20" t="n">
        <v>0</v>
      </c>
      <c r="O60" s="18" t="n">
        <v>0</v>
      </c>
      <c r="P60" s="20" t="n">
        <v>0</v>
      </c>
      <c r="Q60" s="18" t="n">
        <v>54.36893626</v>
      </c>
      <c r="R60" s="20" t="n">
        <v>2.90183366</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(2353.0/B63*100)</f>
        <v/>
      </c>
      <c r="D63" s="19" t="n">
        <v>460</v>
      </c>
      <c r="E63" s="18" t="n">
        <v>28.26548984</v>
      </c>
      <c r="F63" s="20" t="n">
        <v>2.21480291</v>
      </c>
      <c r="G63" s="18" t="n">
        <v>14.89708554</v>
      </c>
      <c r="H63" s="20" t="n">
        <v>2.05550165</v>
      </c>
      <c r="I63" s="18" t="s">
        <v>431</v>
      </c>
      <c r="J63" s="20" t="s">
        <v>431</v>
      </c>
      <c r="K63" s="18" t="n">
        <v>3.36212263</v>
      </c>
      <c r="L63" s="20" t="n">
        <v>0.87666398</v>
      </c>
      <c r="M63" s="18" t="n">
        <v>0</v>
      </c>
      <c r="N63" s="20" t="n">
        <v>0</v>
      </c>
      <c r="O63" s="18" t="n">
        <v>0</v>
      </c>
      <c r="P63" s="20" t="n">
        <v>0</v>
      </c>
      <c r="Q63" s="18" t="n">
        <v>53.47530198</v>
      </c>
      <c r="R63" s="20" t="n">
        <v>2.67530157</v>
      </c>
    </row>
    <row r="64" spans="1:18">
      <c r="A64" s="15" t="s">
        <v>488</v>
      </c>
      <c r="B64" s="17" t="n">
        <v>1844</v>
      </c>
      <c r="C64" s="18">
        <f>(1531.0/B64*100)</f>
        <v/>
      </c>
      <c r="D64" s="19" t="n">
        <v>313</v>
      </c>
      <c r="E64" s="18" t="n">
        <v>14.27551226</v>
      </c>
      <c r="F64" s="20" t="n">
        <v>2.19080668</v>
      </c>
      <c r="G64" s="18" t="n">
        <v>66.47712734</v>
      </c>
      <c r="H64" s="20" t="n">
        <v>3.1546352</v>
      </c>
      <c r="I64" s="18" t="s">
        <v>431</v>
      </c>
      <c r="J64" s="20" t="s">
        <v>431</v>
      </c>
      <c r="K64" s="18" t="n">
        <v>2.28701214</v>
      </c>
      <c r="L64" s="20" t="n">
        <v>0.86048633</v>
      </c>
      <c r="M64" s="18" t="n">
        <v>0</v>
      </c>
      <c r="N64" s="20" t="n">
        <v>0</v>
      </c>
      <c r="O64" s="18" t="n">
        <v>0</v>
      </c>
      <c r="P64" s="20" t="n">
        <v>0</v>
      </c>
      <c r="Q64" s="18" t="n">
        <v>16.96034826</v>
      </c>
      <c r="R64" s="20" t="n">
        <v>2.23788344</v>
      </c>
    </row>
    <row r="65" spans="1:18">
      <c r="A65" s="15" t="s">
        <v>489</v>
      </c>
      <c r="B65" s="17" t="n">
        <v>2691</v>
      </c>
      <c r="C65" s="18">
        <f>(2241.0/B65*100)</f>
        <v/>
      </c>
      <c r="D65" s="19" t="n">
        <v>450</v>
      </c>
      <c r="E65" s="18" t="n">
        <v>24.76685621</v>
      </c>
      <c r="F65" s="20" t="n">
        <v>2.27445295</v>
      </c>
      <c r="G65" s="18" t="n">
        <v>30.75558166</v>
      </c>
      <c r="H65" s="20" t="n">
        <v>2.17724667</v>
      </c>
      <c r="I65" s="18" t="s">
        <v>431</v>
      </c>
      <c r="J65" s="20" t="s">
        <v>431</v>
      </c>
      <c r="K65" s="18" t="n">
        <v>3.81253743</v>
      </c>
      <c r="L65" s="20" t="n">
        <v>1.03664346</v>
      </c>
      <c r="M65" s="18" t="n">
        <v>0</v>
      </c>
      <c r="N65" s="20" t="n">
        <v>0</v>
      </c>
      <c r="O65" s="18" t="n">
        <v>0</v>
      </c>
      <c r="P65" s="20" t="n">
        <v>0</v>
      </c>
      <c r="Q65" s="18" t="n">
        <v>40.66502471</v>
      </c>
      <c r="R65" s="20" t="n">
        <v>2.30789702</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(2029.0/B69*100)</f>
        <v/>
      </c>
      <c r="D69" s="19" t="n">
        <v>381</v>
      </c>
      <c r="E69" s="18" t="n">
        <v>50.37737561</v>
      </c>
      <c r="F69" s="20" t="n">
        <v>2.63207743</v>
      </c>
      <c r="G69" s="18" t="n">
        <v>42.13190526</v>
      </c>
      <c r="H69" s="20" t="n">
        <v>2.50127618</v>
      </c>
      <c r="I69" s="18" t="s">
        <v>431</v>
      </c>
      <c r="J69" s="20" t="s">
        <v>431</v>
      </c>
      <c r="K69" s="18" t="n">
        <v>0.25645587</v>
      </c>
      <c r="L69" s="20" t="n">
        <v>0.25552472</v>
      </c>
      <c r="M69" s="18" t="n">
        <v>0</v>
      </c>
      <c r="N69" s="20" t="n">
        <v>0</v>
      </c>
      <c r="O69" s="18" t="n">
        <v>0</v>
      </c>
      <c r="P69" s="20" t="n">
        <v>0</v>
      </c>
      <c r="Q69" s="18" t="n">
        <v>7.23426327</v>
      </c>
      <c r="R69" s="20" t="n">
        <v>1.27466474</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(1846.0/B74*100)</f>
        <v/>
      </c>
      <c r="D74" s="19" t="n">
        <v>393</v>
      </c>
      <c r="E74" s="18" t="n">
        <v>22.25548831</v>
      </c>
      <c r="F74" s="20" t="n">
        <v>2.36244679</v>
      </c>
      <c r="G74" s="18" t="n">
        <v>43.31071465</v>
      </c>
      <c r="H74" s="20" t="n">
        <v>2.78723138</v>
      </c>
      <c r="I74" s="18" t="s">
        <v>431</v>
      </c>
      <c r="J74" s="20" t="s">
        <v>431</v>
      </c>
      <c r="K74" s="18" t="n">
        <v>6.68549455</v>
      </c>
      <c r="L74" s="20" t="n">
        <v>1.09255413</v>
      </c>
      <c r="M74" s="18" t="n">
        <v>0</v>
      </c>
      <c r="N74" s="20" t="n">
        <v>0</v>
      </c>
      <c r="O74" s="18" t="n">
        <v>0</v>
      </c>
      <c r="P74" s="20" t="n">
        <v>0</v>
      </c>
      <c r="Q74" s="18" t="n">
        <v>27.74830249</v>
      </c>
      <c r="R74" s="20" t="n">
        <v>2.64578845</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(2338.0/B78*100)</f>
        <v/>
      </c>
      <c r="D78" s="19" t="n">
        <v>448</v>
      </c>
      <c r="E78" s="18" t="n">
        <v>23.50553035</v>
      </c>
      <c r="F78" s="20" t="n">
        <v>2.32651154</v>
      </c>
      <c r="G78" s="18" t="n">
        <v>45.07174108</v>
      </c>
      <c r="H78" s="20" t="n">
        <v>3.44711148</v>
      </c>
      <c r="I78" s="18" t="s">
        <v>431</v>
      </c>
      <c r="J78" s="20" t="s">
        <v>431</v>
      </c>
      <c r="K78" s="18" t="n">
        <v>0</v>
      </c>
      <c r="L78" s="20" t="n">
        <v>0</v>
      </c>
      <c r="M78" s="18" t="n">
        <v>0</v>
      </c>
      <c r="N78" s="20" t="n">
        <v>0</v>
      </c>
      <c r="O78" s="18" t="n">
        <v>0</v>
      </c>
      <c r="P78" s="20" t="n">
        <v>0</v>
      </c>
      <c r="Q78" s="18" t="n">
        <v>31.42272857</v>
      </c>
      <c r="R78" s="20" t="n">
        <v>3.63987854</v>
      </c>
    </row>
    <row customHeight="1" ht="25" r="79" spans="1:18">
      <c r="A79" s="15" t="s">
        <v>503</v>
      </c>
      <c r="B79" s="17" t="n">
        <v>787</v>
      </c>
      <c r="C79" s="18">
        <f>(669.0/B79*100)</f>
        <v/>
      </c>
      <c r="D79" s="19" t="n">
        <v>118</v>
      </c>
      <c r="E79" s="18" t="n">
        <v>10.88292381</v>
      </c>
      <c r="F79" s="20" t="n">
        <v>2.21773544</v>
      </c>
      <c r="G79" s="18" t="n">
        <v>66.01823065000001</v>
      </c>
      <c r="H79" s="20" t="n">
        <v>3.20703691</v>
      </c>
      <c r="I79" s="18" t="s">
        <v>431</v>
      </c>
      <c r="J79" s="20" t="s">
        <v>431</v>
      </c>
      <c r="K79" s="18" t="n">
        <v>0.51604081</v>
      </c>
      <c r="L79" s="20" t="n">
        <v>0.50192727</v>
      </c>
      <c r="M79" s="18" t="n">
        <v>3.85644597</v>
      </c>
      <c r="N79" s="20" t="n">
        <v>1.81633306</v>
      </c>
      <c r="O79" s="18" t="n">
        <v>0</v>
      </c>
      <c r="P79" s="20" t="n">
        <v>0</v>
      </c>
      <c r="Q79" s="18" t="n">
        <v>18.72635876</v>
      </c>
      <c r="R79" s="20" t="n">
        <v>3.94532833</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(2075.0/B44*100)</f>
        <v/>
      </c>
      <c r="D44" s="19" t="n">
        <v>449</v>
      </c>
      <c r="E44" s="18" t="n">
        <v>27.24068623</v>
      </c>
      <c r="F44" s="20" t="n">
        <v>2.40696878</v>
      </c>
      <c r="G44" s="18" t="n">
        <v>40.89646399</v>
      </c>
      <c r="H44" s="20" t="n">
        <v>2.47637272</v>
      </c>
      <c r="I44" s="18" t="s">
        <v>431</v>
      </c>
      <c r="J44" s="20" t="s">
        <v>431</v>
      </c>
      <c r="K44" s="18" t="n">
        <v>3.84640168</v>
      </c>
      <c r="L44" s="20" t="n">
        <v>1.05378592</v>
      </c>
      <c r="M44" s="18" t="n">
        <v>0</v>
      </c>
      <c r="N44" s="20" t="n">
        <v>0</v>
      </c>
      <c r="O44" s="18" t="n">
        <v>0</v>
      </c>
      <c r="P44" s="20" t="n">
        <v>0</v>
      </c>
      <c r="Q44" s="18" t="n">
        <v>28.0164481</v>
      </c>
      <c r="R44" s="20" t="n">
        <v>2.28746477</v>
      </c>
    </row>
    <row r="45" spans="1:18">
      <c r="A45" s="15" t="s">
        <v>469</v>
      </c>
      <c r="B45" s="17" t="n">
        <v>2849</v>
      </c>
      <c r="C45" s="18">
        <f>(2371.0/B45*100)</f>
        <v/>
      </c>
      <c r="D45" s="19" t="n">
        <v>478</v>
      </c>
      <c r="E45" s="18" t="n">
        <v>41.70898289</v>
      </c>
      <c r="F45" s="20" t="n">
        <v>2.51212732</v>
      </c>
      <c r="G45" s="18" t="n">
        <v>18.29621677</v>
      </c>
      <c r="H45" s="20" t="n">
        <v>2.07947099</v>
      </c>
      <c r="I45" s="18" t="s">
        <v>431</v>
      </c>
      <c r="J45" s="20" t="s">
        <v>431</v>
      </c>
      <c r="K45" s="18" t="n">
        <v>7.30538955</v>
      </c>
      <c r="L45" s="20" t="n">
        <v>1.563514</v>
      </c>
      <c r="M45" s="18" t="n">
        <v>0.29233641</v>
      </c>
      <c r="N45" s="20" t="n">
        <v>0.2138034</v>
      </c>
      <c r="O45" s="18" t="n">
        <v>0</v>
      </c>
      <c r="P45" s="20" t="n">
        <v>0</v>
      </c>
      <c r="Q45" s="18" t="n">
        <v>32.39707438</v>
      </c>
      <c r="R45" s="20" t="n">
        <v>2.72352617</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(2529.0/B49*100)</f>
        <v/>
      </c>
      <c r="D49" s="19" t="n">
        <v>489</v>
      </c>
      <c r="E49" s="18" t="n">
        <v>28.71956072</v>
      </c>
      <c r="F49" s="20" t="n">
        <v>2.13984542</v>
      </c>
      <c r="G49" s="18" t="n">
        <v>47.82231238</v>
      </c>
      <c r="H49" s="20" t="n">
        <v>2.34653471</v>
      </c>
      <c r="I49" s="18" t="s">
        <v>431</v>
      </c>
      <c r="J49" s="20" t="s">
        <v>431</v>
      </c>
      <c r="K49" s="18" t="n">
        <v>1.56962674</v>
      </c>
      <c r="L49" s="20" t="n">
        <v>0.60956076</v>
      </c>
      <c r="M49" s="18" t="n">
        <v>2.21571975</v>
      </c>
      <c r="N49" s="20" t="n">
        <v>0.75915181</v>
      </c>
      <c r="O49" s="18" t="n">
        <v>0.35230733</v>
      </c>
      <c r="P49" s="20" t="n">
        <v>0.32635071</v>
      </c>
      <c r="Q49" s="18" t="n">
        <v>19.32047309</v>
      </c>
      <c r="R49" s="20" t="n">
        <v>2.13414003</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(2314.0/B55*100)</f>
        <v/>
      </c>
      <c r="D55" s="19" t="n">
        <v>445</v>
      </c>
      <c r="E55" s="18" t="n">
        <v>25.55180139</v>
      </c>
      <c r="F55" s="20" t="n">
        <v>1.94666792</v>
      </c>
      <c r="G55" s="18" t="n">
        <v>39.54578203</v>
      </c>
      <c r="H55" s="20" t="n">
        <v>1.99396924</v>
      </c>
      <c r="I55" s="18" t="s">
        <v>431</v>
      </c>
      <c r="J55" s="20" t="s">
        <v>431</v>
      </c>
      <c r="K55" s="18" t="n">
        <v>0.94851241</v>
      </c>
      <c r="L55" s="20" t="n">
        <v>0.49790229</v>
      </c>
      <c r="M55" s="18" t="n">
        <v>0</v>
      </c>
      <c r="N55" s="20" t="n">
        <v>0</v>
      </c>
      <c r="O55" s="18" t="n">
        <v>0.39096784</v>
      </c>
      <c r="P55" s="20" t="n">
        <v>0.37350902</v>
      </c>
      <c r="Q55" s="18" t="n">
        <v>33.56293633</v>
      </c>
      <c r="R55" s="20" t="n">
        <v>2.10739009</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52.68525983</v>
      </c>
      <c r="F57" s="20" t="n">
        <v>2.77649416</v>
      </c>
      <c r="G57" s="18" t="n">
        <v>38.91019693</v>
      </c>
      <c r="H57" s="20" t="n">
        <v>2.72753251</v>
      </c>
      <c r="I57" s="18" t="s">
        <v>431</v>
      </c>
      <c r="J57" s="20" t="s">
        <v>431</v>
      </c>
      <c r="K57" s="18" t="n">
        <v>1.38345935</v>
      </c>
      <c r="L57" s="20" t="n">
        <v>0.62455034</v>
      </c>
      <c r="M57" s="18" t="n">
        <v>0.16322499</v>
      </c>
      <c r="N57" s="20" t="n">
        <v>0.16896054</v>
      </c>
      <c r="O57" s="18" t="n">
        <v>0</v>
      </c>
      <c r="P57" s="20" t="n">
        <v>0</v>
      </c>
      <c r="Q57" s="18" t="n">
        <v>6.85785889</v>
      </c>
      <c r="R57" s="20" t="n">
        <v>1.28259418</v>
      </c>
    </row>
    <row r="58" spans="1:18">
      <c r="A58" s="15" t="s">
        <v>482</v>
      </c>
      <c r="B58" s="17" t="n">
        <v>3530</v>
      </c>
      <c r="C58" s="18">
        <f>(2943.0/B58*100)</f>
        <v/>
      </c>
      <c r="D58" s="19" t="n">
        <v>587</v>
      </c>
      <c r="E58" s="18" t="n">
        <v>25.79951553</v>
      </c>
      <c r="F58" s="20" t="n">
        <v>2.00508772</v>
      </c>
      <c r="G58" s="18" t="n">
        <v>49.24767829</v>
      </c>
      <c r="H58" s="20" t="n">
        <v>2.4790222</v>
      </c>
      <c r="I58" s="18" t="s">
        <v>431</v>
      </c>
      <c r="J58" s="20" t="s">
        <v>431</v>
      </c>
      <c r="K58" s="18" t="n">
        <v>3.27793712</v>
      </c>
      <c r="L58" s="20" t="n">
        <v>0.92075193</v>
      </c>
      <c r="M58" s="18" t="n">
        <v>0</v>
      </c>
      <c r="N58" s="20" t="n">
        <v>0</v>
      </c>
      <c r="O58" s="18" t="n">
        <v>0</v>
      </c>
      <c r="P58" s="20" t="n">
        <v>0</v>
      </c>
      <c r="Q58" s="18" t="n">
        <v>21.67486906</v>
      </c>
      <c r="R58" s="20" t="n">
        <v>2.40202452</v>
      </c>
    </row>
    <row r="59" spans="1:18">
      <c r="A59" s="15" t="s">
        <v>483</v>
      </c>
      <c r="B59" s="17" t="n">
        <v>2548</v>
      </c>
      <c r="C59" s="18">
        <f>(2124.0/B59*100)</f>
        <v/>
      </c>
      <c r="D59" s="19" t="n">
        <v>424</v>
      </c>
      <c r="E59" s="18" t="n">
        <v>43.98606959</v>
      </c>
      <c r="F59" s="20" t="n">
        <v>3.22684781</v>
      </c>
      <c r="G59" s="18" t="n">
        <v>33.08054614</v>
      </c>
      <c r="H59" s="20" t="n">
        <v>3.06188128</v>
      </c>
      <c r="I59" s="18" t="s">
        <v>431</v>
      </c>
      <c r="J59" s="20" t="s">
        <v>431</v>
      </c>
      <c r="K59" s="18" t="n">
        <v>1.25548278</v>
      </c>
      <c r="L59" s="20" t="n">
        <v>0.70419596</v>
      </c>
      <c r="M59" s="18" t="n">
        <v>0</v>
      </c>
      <c r="N59" s="20" t="n">
        <v>0</v>
      </c>
      <c r="O59" s="18" t="n">
        <v>0</v>
      </c>
      <c r="P59" s="20" t="n">
        <v>0</v>
      </c>
      <c r="Q59" s="18" t="n">
        <v>21.6779015</v>
      </c>
      <c r="R59" s="20" t="n">
        <v>2.36771713</v>
      </c>
    </row>
    <row r="60" spans="1:18">
      <c r="A60" s="15" t="s">
        <v>484</v>
      </c>
      <c r="B60" s="17" t="n">
        <v>2095</v>
      </c>
      <c r="C60" s="18">
        <f>(1743.0/B60*100)</f>
        <v/>
      </c>
      <c r="D60" s="19" t="n">
        <v>352</v>
      </c>
      <c r="E60" s="18" t="n">
        <v>24.93966955</v>
      </c>
      <c r="F60" s="20" t="n">
        <v>2.86471342</v>
      </c>
      <c r="G60" s="18" t="n">
        <v>28.52296924</v>
      </c>
      <c r="H60" s="20" t="n">
        <v>2.7741135</v>
      </c>
      <c r="I60" s="18" t="s">
        <v>431</v>
      </c>
      <c r="J60" s="20" t="s">
        <v>431</v>
      </c>
      <c r="K60" s="18" t="n">
        <v>7.79581742</v>
      </c>
      <c r="L60" s="20" t="n">
        <v>1.80541923</v>
      </c>
      <c r="M60" s="18" t="n">
        <v>0.34046191</v>
      </c>
      <c r="N60" s="20" t="n">
        <v>0.33716444</v>
      </c>
      <c r="O60" s="18" t="n">
        <v>0</v>
      </c>
      <c r="P60" s="20" t="n">
        <v>0</v>
      </c>
      <c r="Q60" s="18" t="n">
        <v>38.40108188</v>
      </c>
      <c r="R60" s="20" t="n">
        <v>3.08374568</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(2353.0/B63*100)</f>
        <v/>
      </c>
      <c r="D63" s="19" t="n">
        <v>460</v>
      </c>
      <c r="E63" s="18" t="n">
        <v>22.36046091</v>
      </c>
      <c r="F63" s="20" t="n">
        <v>2.13893618</v>
      </c>
      <c r="G63" s="18" t="n">
        <v>30.30961674</v>
      </c>
      <c r="H63" s="20" t="n">
        <v>2.44945101</v>
      </c>
      <c r="I63" s="18" t="s">
        <v>431</v>
      </c>
      <c r="J63" s="20" t="s">
        <v>431</v>
      </c>
      <c r="K63" s="18" t="n">
        <v>3.44495845</v>
      </c>
      <c r="L63" s="20" t="n">
        <v>0.87877882</v>
      </c>
      <c r="M63" s="18" t="n">
        <v>0</v>
      </c>
      <c r="N63" s="20" t="n">
        <v>0</v>
      </c>
      <c r="O63" s="18" t="n">
        <v>0</v>
      </c>
      <c r="P63" s="20" t="n">
        <v>0</v>
      </c>
      <c r="Q63" s="18" t="n">
        <v>43.8849639</v>
      </c>
      <c r="R63" s="20" t="n">
        <v>2.32677118</v>
      </c>
    </row>
    <row r="64" spans="1:18">
      <c r="A64" s="15" t="s">
        <v>488</v>
      </c>
      <c r="B64" s="17" t="n">
        <v>1844</v>
      </c>
      <c r="C64" s="18">
        <f>(1531.0/B64*100)</f>
        <v/>
      </c>
      <c r="D64" s="19" t="n">
        <v>313</v>
      </c>
      <c r="E64" s="18" t="n">
        <v>16.65458109</v>
      </c>
      <c r="F64" s="20" t="n">
        <v>1.81906652</v>
      </c>
      <c r="G64" s="18" t="n">
        <v>69.85987325000001</v>
      </c>
      <c r="H64" s="20" t="n">
        <v>2.86032343</v>
      </c>
      <c r="I64" s="18" t="s">
        <v>431</v>
      </c>
      <c r="J64" s="20" t="s">
        <v>431</v>
      </c>
      <c r="K64" s="18" t="n">
        <v>3.6309936</v>
      </c>
      <c r="L64" s="20" t="n">
        <v>1.11619677</v>
      </c>
      <c r="M64" s="18" t="n">
        <v>0</v>
      </c>
      <c r="N64" s="20" t="n">
        <v>0</v>
      </c>
      <c r="O64" s="18" t="n">
        <v>0</v>
      </c>
      <c r="P64" s="20" t="n">
        <v>0</v>
      </c>
      <c r="Q64" s="18" t="n">
        <v>9.85455207</v>
      </c>
      <c r="R64" s="20" t="n">
        <v>1.94525968</v>
      </c>
    </row>
    <row r="65" spans="1:18">
      <c r="A65" s="15" t="s">
        <v>489</v>
      </c>
      <c r="B65" s="17" t="n">
        <v>2691</v>
      </c>
      <c r="C65" s="18">
        <f>(2241.0/B65*100)</f>
        <v/>
      </c>
      <c r="D65" s="19" t="n">
        <v>450</v>
      </c>
      <c r="E65" s="18" t="n">
        <v>21.75500923</v>
      </c>
      <c r="F65" s="20" t="n">
        <v>2.44044045</v>
      </c>
      <c r="G65" s="18" t="n">
        <v>39.37949612</v>
      </c>
      <c r="H65" s="20" t="n">
        <v>2.23321299</v>
      </c>
      <c r="I65" s="18" t="s">
        <v>431</v>
      </c>
      <c r="J65" s="20" t="s">
        <v>431</v>
      </c>
      <c r="K65" s="18" t="n">
        <v>4.44314364</v>
      </c>
      <c r="L65" s="20" t="n">
        <v>1.05434197</v>
      </c>
      <c r="M65" s="18" t="n">
        <v>0</v>
      </c>
      <c r="N65" s="20" t="n">
        <v>0</v>
      </c>
      <c r="O65" s="18" t="n">
        <v>0</v>
      </c>
      <c r="P65" s="20" t="n">
        <v>0</v>
      </c>
      <c r="Q65" s="18" t="n">
        <v>34.42235101</v>
      </c>
      <c r="R65" s="20" t="n">
        <v>2.7022376</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(2029.0/B69*100)</f>
        <v/>
      </c>
      <c r="D69" s="19" t="n">
        <v>381</v>
      </c>
      <c r="E69" s="18" t="n">
        <v>34.02534374</v>
      </c>
      <c r="F69" s="20" t="n">
        <v>2.54339522</v>
      </c>
      <c r="G69" s="18" t="n">
        <v>63.29390909</v>
      </c>
      <c r="H69" s="20" t="n">
        <v>2.74262706</v>
      </c>
      <c r="I69" s="18" t="s">
        <v>431</v>
      </c>
      <c r="J69" s="20" t="s">
        <v>431</v>
      </c>
      <c r="K69" s="18" t="n">
        <v>0.25645587</v>
      </c>
      <c r="L69" s="20" t="n">
        <v>0.25552472</v>
      </c>
      <c r="M69" s="18" t="n">
        <v>0</v>
      </c>
      <c r="N69" s="20" t="n">
        <v>0</v>
      </c>
      <c r="O69" s="18" t="n">
        <v>0</v>
      </c>
      <c r="P69" s="20" t="n">
        <v>0</v>
      </c>
      <c r="Q69" s="18" t="n">
        <v>2.4242913</v>
      </c>
      <c r="R69" s="20" t="n">
        <v>0.88750304</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(1846.0/B74*100)</f>
        <v/>
      </c>
      <c r="D74" s="19" t="n">
        <v>393</v>
      </c>
      <c r="E74" s="18" t="n">
        <v>22.45123593</v>
      </c>
      <c r="F74" s="20" t="n">
        <v>2.43358166</v>
      </c>
      <c r="G74" s="18" t="n">
        <v>54.59978772</v>
      </c>
      <c r="H74" s="20" t="n">
        <v>3.07178884</v>
      </c>
      <c r="I74" s="18" t="s">
        <v>431</v>
      </c>
      <c r="J74" s="20" t="s">
        <v>431</v>
      </c>
      <c r="K74" s="18" t="n">
        <v>6.802214</v>
      </c>
      <c r="L74" s="20" t="n">
        <v>1.07261712</v>
      </c>
      <c r="M74" s="18" t="n">
        <v>0</v>
      </c>
      <c r="N74" s="20" t="n">
        <v>0</v>
      </c>
      <c r="O74" s="18" t="n">
        <v>0</v>
      </c>
      <c r="P74" s="20" t="n">
        <v>0</v>
      </c>
      <c r="Q74" s="18" t="n">
        <v>16.14676235</v>
      </c>
      <c r="R74" s="20" t="n">
        <v>1.92510497</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(2338.0/B78*100)</f>
        <v/>
      </c>
      <c r="D78" s="19" t="n">
        <v>448</v>
      </c>
      <c r="E78" s="18" t="n">
        <v>18.91207332</v>
      </c>
      <c r="F78" s="20" t="n">
        <v>2.50251304</v>
      </c>
      <c r="G78" s="18" t="n">
        <v>79.01751018</v>
      </c>
      <c r="H78" s="20" t="n">
        <v>2.55132169</v>
      </c>
      <c r="I78" s="18" t="s">
        <v>431</v>
      </c>
      <c r="J78" s="20" t="s">
        <v>431</v>
      </c>
      <c r="K78" s="18" t="n">
        <v>0</v>
      </c>
      <c r="L78" s="20" t="n">
        <v>0</v>
      </c>
      <c r="M78" s="18" t="n">
        <v>0</v>
      </c>
      <c r="N78" s="20" t="n">
        <v>0</v>
      </c>
      <c r="O78" s="18" t="n">
        <v>0</v>
      </c>
      <c r="P78" s="20" t="n">
        <v>0</v>
      </c>
      <c r="Q78" s="18" t="n">
        <v>2.0704165</v>
      </c>
      <c r="R78" s="20" t="n">
        <v>0.84871274</v>
      </c>
    </row>
    <row customHeight="1" ht="25" r="79" spans="1:18">
      <c r="A79" s="15" t="s">
        <v>503</v>
      </c>
      <c r="B79" s="17" t="n">
        <v>787</v>
      </c>
      <c r="C79" s="18">
        <f>(669.0/B79*100)</f>
        <v/>
      </c>
      <c r="D79" s="19" t="n">
        <v>118</v>
      </c>
      <c r="E79" s="18" t="n">
        <v>16.06702851</v>
      </c>
      <c r="F79" s="20" t="n">
        <v>3.04812694</v>
      </c>
      <c r="G79" s="18" t="n">
        <v>73.12305564</v>
      </c>
      <c r="H79" s="20" t="n">
        <v>3.50659502</v>
      </c>
      <c r="I79" s="18" t="s">
        <v>431</v>
      </c>
      <c r="J79" s="20" t="s">
        <v>431</v>
      </c>
      <c r="K79" s="18" t="n">
        <v>0.91369307</v>
      </c>
      <c r="L79" s="20" t="n">
        <v>0.63167069</v>
      </c>
      <c r="M79" s="18" t="n">
        <v>3.85644597</v>
      </c>
      <c r="N79" s="20" t="n">
        <v>1.81633306</v>
      </c>
      <c r="O79" s="18" t="n">
        <v>0</v>
      </c>
      <c r="P79" s="20" t="n">
        <v>0</v>
      </c>
      <c r="Q79" s="18" t="n">
        <v>6.03977681</v>
      </c>
      <c r="R79" s="20" t="n">
        <v>2.22229984</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(2075.0/B44*100)</f>
        <v/>
      </c>
      <c r="D44" s="19" t="n">
        <v>449</v>
      </c>
      <c r="E44" s="18" t="n">
        <v>15.9418969</v>
      </c>
      <c r="F44" s="20" t="n">
        <v>2.08802364</v>
      </c>
      <c r="G44" s="18" t="n">
        <v>74.49610383</v>
      </c>
      <c r="H44" s="20" t="n">
        <v>2.81726144</v>
      </c>
      <c r="I44" s="18" t="s">
        <v>431</v>
      </c>
      <c r="J44" s="20" t="s">
        <v>431</v>
      </c>
      <c r="K44" s="18" t="n">
        <v>3.84640168</v>
      </c>
      <c r="L44" s="20" t="n">
        <v>1.05378592</v>
      </c>
      <c r="M44" s="18" t="n">
        <v>0</v>
      </c>
      <c r="N44" s="20" t="n">
        <v>0</v>
      </c>
      <c r="O44" s="18" t="n">
        <v>1.26716497</v>
      </c>
      <c r="P44" s="20" t="n">
        <v>0.46542915</v>
      </c>
      <c r="Q44" s="18" t="n">
        <v>4.44843262</v>
      </c>
      <c r="R44" s="20" t="n">
        <v>1.13632527</v>
      </c>
    </row>
    <row r="45" spans="1:18">
      <c r="A45" s="15" t="s">
        <v>469</v>
      </c>
      <c r="B45" s="17" t="n">
        <v>2849</v>
      </c>
      <c r="C45" s="18">
        <f>(2371.0/B45*100)</f>
        <v/>
      </c>
      <c r="D45" s="19" t="n">
        <v>478</v>
      </c>
      <c r="E45" s="18" t="n">
        <v>30.00167598</v>
      </c>
      <c r="F45" s="20" t="n">
        <v>2.03350408</v>
      </c>
      <c r="G45" s="18" t="n">
        <v>51.56918331</v>
      </c>
      <c r="H45" s="20" t="n">
        <v>2.19724023</v>
      </c>
      <c r="I45" s="18" t="s">
        <v>431</v>
      </c>
      <c r="J45" s="20" t="s">
        <v>431</v>
      </c>
      <c r="K45" s="18" t="n">
        <v>7.4812653</v>
      </c>
      <c r="L45" s="20" t="n">
        <v>1.56638113</v>
      </c>
      <c r="M45" s="18" t="n">
        <v>0.56174254</v>
      </c>
      <c r="N45" s="20" t="n">
        <v>0.37594589</v>
      </c>
      <c r="O45" s="18" t="n">
        <v>2.7652199</v>
      </c>
      <c r="P45" s="20" t="n">
        <v>0.88743124</v>
      </c>
      <c r="Q45" s="18" t="n">
        <v>7.62091297</v>
      </c>
      <c r="R45" s="20" t="n">
        <v>1.23948961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(2529.0/B49*100)</f>
        <v/>
      </c>
      <c r="D49" s="19" t="n">
        <v>489</v>
      </c>
      <c r="E49" s="18" t="n">
        <v>18.02323947</v>
      </c>
      <c r="F49" s="20" t="n">
        <v>1.82830911</v>
      </c>
      <c r="G49" s="18" t="n">
        <v>75.29314949</v>
      </c>
      <c r="H49" s="20" t="n">
        <v>2.17635819</v>
      </c>
      <c r="I49" s="18" t="s">
        <v>431</v>
      </c>
      <c r="J49" s="20" t="s">
        <v>431</v>
      </c>
      <c r="K49" s="18" t="n">
        <v>2.42198452</v>
      </c>
      <c r="L49" s="20" t="n">
        <v>0.70320489</v>
      </c>
      <c r="M49" s="18" t="n">
        <v>2.21571975</v>
      </c>
      <c r="N49" s="20" t="n">
        <v>0.75915181</v>
      </c>
      <c r="O49" s="18" t="n">
        <v>0.63350932</v>
      </c>
      <c r="P49" s="20" t="n">
        <v>0.40666564</v>
      </c>
      <c r="Q49" s="18" t="n">
        <v>1.41239746</v>
      </c>
      <c r="R49" s="20" t="n">
        <v>0.59947725</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(2314.0/B55*100)</f>
        <v/>
      </c>
      <c r="D55" s="19" t="n">
        <v>445</v>
      </c>
      <c r="E55" s="18" t="n">
        <v>21.49881214</v>
      </c>
      <c r="F55" s="20" t="n">
        <v>1.94252549</v>
      </c>
      <c r="G55" s="18" t="n">
        <v>74.69228781</v>
      </c>
      <c r="H55" s="20" t="n">
        <v>1.89907201</v>
      </c>
      <c r="I55" s="18" t="s">
        <v>431</v>
      </c>
      <c r="J55" s="20" t="s">
        <v>431</v>
      </c>
      <c r="K55" s="18" t="n">
        <v>1.40311321</v>
      </c>
      <c r="L55" s="20" t="n">
        <v>0.58685642</v>
      </c>
      <c r="M55" s="18" t="n">
        <v>0.18606531</v>
      </c>
      <c r="N55" s="20" t="n">
        <v>0.19364061</v>
      </c>
      <c r="O55" s="18" t="n">
        <v>0.39582569</v>
      </c>
      <c r="P55" s="20" t="n">
        <v>0.28757399</v>
      </c>
      <c r="Q55" s="18" t="n">
        <v>1.82389583</v>
      </c>
      <c r="R55" s="20" t="n">
        <v>0.64320369</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15.98221124</v>
      </c>
      <c r="F57" s="20" t="n">
        <v>1.79941425</v>
      </c>
      <c r="G57" s="18" t="n">
        <v>81.22833488000001</v>
      </c>
      <c r="H57" s="20" t="n">
        <v>1.96442471</v>
      </c>
      <c r="I57" s="18" t="s">
        <v>431</v>
      </c>
      <c r="J57" s="20" t="s">
        <v>431</v>
      </c>
      <c r="K57" s="18" t="n">
        <v>1.38345935</v>
      </c>
      <c r="L57" s="20" t="n">
        <v>0.62455034</v>
      </c>
      <c r="M57" s="18" t="n">
        <v>0</v>
      </c>
      <c r="N57" s="20" t="n">
        <v>0</v>
      </c>
      <c r="O57" s="18" t="n">
        <v>0</v>
      </c>
      <c r="P57" s="20" t="n">
        <v>0</v>
      </c>
      <c r="Q57" s="18" t="n">
        <v>1.40599452</v>
      </c>
      <c r="R57" s="20" t="n">
        <v>0.61209623</v>
      </c>
    </row>
    <row r="58" spans="1:18">
      <c r="A58" s="15" t="s">
        <v>482</v>
      </c>
      <c r="B58" s="17" t="n">
        <v>3530</v>
      </c>
      <c r="C58" s="18">
        <f>(2943.0/B58*100)</f>
        <v/>
      </c>
      <c r="D58" s="19" t="n">
        <v>587</v>
      </c>
      <c r="E58" s="18" t="n">
        <v>23.72108818</v>
      </c>
      <c r="F58" s="20" t="n">
        <v>2.23091365</v>
      </c>
      <c r="G58" s="18" t="n">
        <v>66.07333995</v>
      </c>
      <c r="H58" s="20" t="n">
        <v>2.73144917</v>
      </c>
      <c r="I58" s="18" t="s">
        <v>431</v>
      </c>
      <c r="J58" s="20" t="s">
        <v>431</v>
      </c>
      <c r="K58" s="18" t="n">
        <v>4.22536197</v>
      </c>
      <c r="L58" s="20" t="n">
        <v>0.9205696</v>
      </c>
      <c r="M58" s="18" t="n">
        <v>0</v>
      </c>
      <c r="N58" s="20" t="n">
        <v>0</v>
      </c>
      <c r="O58" s="18" t="n">
        <v>0.76281502</v>
      </c>
      <c r="P58" s="20" t="n">
        <v>0.40434703</v>
      </c>
      <c r="Q58" s="18" t="n">
        <v>5.21739488</v>
      </c>
      <c r="R58" s="20" t="n">
        <v>1.04164622</v>
      </c>
    </row>
    <row r="59" spans="1:18">
      <c r="A59" s="15" t="s">
        <v>483</v>
      </c>
      <c r="B59" s="17" t="n">
        <v>2548</v>
      </c>
      <c r="C59" s="18">
        <f>(2124.0/B59*100)</f>
        <v/>
      </c>
      <c r="D59" s="19" t="n">
        <v>424</v>
      </c>
      <c r="E59" s="18" t="n">
        <v>34.63647264</v>
      </c>
      <c r="F59" s="20" t="n">
        <v>2.69959342</v>
      </c>
      <c r="G59" s="18" t="n">
        <v>59.38857558</v>
      </c>
      <c r="H59" s="20" t="n">
        <v>2.63988502</v>
      </c>
      <c r="I59" s="18" t="s">
        <v>431</v>
      </c>
      <c r="J59" s="20" t="s">
        <v>431</v>
      </c>
      <c r="K59" s="18" t="n">
        <v>1.36732991</v>
      </c>
      <c r="L59" s="20" t="n">
        <v>0.77964809</v>
      </c>
      <c r="M59" s="18" t="n">
        <v>0</v>
      </c>
      <c r="N59" s="20" t="n">
        <v>0</v>
      </c>
      <c r="O59" s="18" t="n">
        <v>3.09093106</v>
      </c>
      <c r="P59" s="20" t="n">
        <v>0.97213465</v>
      </c>
      <c r="Q59" s="18" t="n">
        <v>1.51669081</v>
      </c>
      <c r="R59" s="20" t="n">
        <v>0.72866783</v>
      </c>
    </row>
    <row r="60" spans="1:18">
      <c r="A60" s="15" t="s">
        <v>484</v>
      </c>
      <c r="B60" s="17" t="n">
        <v>2095</v>
      </c>
      <c r="C60" s="18">
        <f>(1743.0/B60*100)</f>
        <v/>
      </c>
      <c r="D60" s="19" t="n">
        <v>352</v>
      </c>
      <c r="E60" s="18" t="n">
        <v>35.41736567</v>
      </c>
      <c r="F60" s="20" t="n">
        <v>3.02786375</v>
      </c>
      <c r="G60" s="18" t="n">
        <v>48.37785111</v>
      </c>
      <c r="H60" s="20" t="n">
        <v>3.32440214</v>
      </c>
      <c r="I60" s="18" t="s">
        <v>431</v>
      </c>
      <c r="J60" s="20" t="s">
        <v>431</v>
      </c>
      <c r="K60" s="18" t="n">
        <v>8.07438138</v>
      </c>
      <c r="L60" s="20" t="n">
        <v>1.82303814</v>
      </c>
      <c r="M60" s="18" t="n">
        <v>0</v>
      </c>
      <c r="N60" s="20" t="n">
        <v>0</v>
      </c>
      <c r="O60" s="18" t="n">
        <v>2.18532883</v>
      </c>
      <c r="P60" s="20" t="n">
        <v>0.8646712</v>
      </c>
      <c r="Q60" s="18" t="n">
        <v>5.94507301</v>
      </c>
      <c r="R60" s="20" t="n">
        <v>1.39388481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(2353.0/B63*100)</f>
        <v/>
      </c>
      <c r="D63" s="19" t="n">
        <v>460</v>
      </c>
      <c r="E63" s="18" t="n">
        <v>24.85597823</v>
      </c>
      <c r="F63" s="20" t="n">
        <v>2.18514049</v>
      </c>
      <c r="G63" s="18" t="n">
        <v>63.57185405</v>
      </c>
      <c r="H63" s="20" t="n">
        <v>2.45753409</v>
      </c>
      <c r="I63" s="18" t="s">
        <v>431</v>
      </c>
      <c r="J63" s="20" t="s">
        <v>431</v>
      </c>
      <c r="K63" s="18" t="n">
        <v>3.67573126</v>
      </c>
      <c r="L63" s="20" t="n">
        <v>0.90473744</v>
      </c>
      <c r="M63" s="18" t="n">
        <v>0</v>
      </c>
      <c r="N63" s="20" t="n">
        <v>0</v>
      </c>
      <c r="O63" s="18" t="n">
        <v>0.9541971299999999</v>
      </c>
      <c r="P63" s="20" t="n">
        <v>0.45588485</v>
      </c>
      <c r="Q63" s="18" t="n">
        <v>6.94223933</v>
      </c>
      <c r="R63" s="20" t="n">
        <v>1.33467038</v>
      </c>
    </row>
    <row r="64" spans="1:18">
      <c r="A64" s="15" t="s">
        <v>488</v>
      </c>
      <c r="B64" s="17" t="n">
        <v>1844</v>
      </c>
      <c r="C64" s="18">
        <f>(1531.0/B64*100)</f>
        <v/>
      </c>
      <c r="D64" s="19" t="n">
        <v>313</v>
      </c>
      <c r="E64" s="18" t="n">
        <v>21.83357644</v>
      </c>
      <c r="F64" s="20" t="n">
        <v>2.47128717</v>
      </c>
      <c r="G64" s="18" t="n">
        <v>72.18200075</v>
      </c>
      <c r="H64" s="20" t="n">
        <v>2.71604409</v>
      </c>
      <c r="I64" s="18" t="s">
        <v>431</v>
      </c>
      <c r="J64" s="20" t="s">
        <v>431</v>
      </c>
      <c r="K64" s="18" t="n">
        <v>3.97028552</v>
      </c>
      <c r="L64" s="20" t="n">
        <v>1.16908941</v>
      </c>
      <c r="M64" s="18" t="n">
        <v>0</v>
      </c>
      <c r="N64" s="20" t="n">
        <v>0</v>
      </c>
      <c r="O64" s="18" t="n">
        <v>0</v>
      </c>
      <c r="P64" s="20" t="n">
        <v>0</v>
      </c>
      <c r="Q64" s="18" t="n">
        <v>2.01413729</v>
      </c>
      <c r="R64" s="20" t="n">
        <v>0.81614382</v>
      </c>
    </row>
    <row r="65" spans="1:18">
      <c r="A65" s="15" t="s">
        <v>489</v>
      </c>
      <c r="B65" s="17" t="n">
        <v>2691</v>
      </c>
      <c r="C65" s="18">
        <f>(2241.0/B65*100)</f>
        <v/>
      </c>
      <c r="D65" s="19" t="n">
        <v>450</v>
      </c>
      <c r="E65" s="18" t="n">
        <v>16.32559635</v>
      </c>
      <c r="F65" s="20" t="n">
        <v>1.82075608</v>
      </c>
      <c r="G65" s="18" t="n">
        <v>73.58395304</v>
      </c>
      <c r="H65" s="20" t="n">
        <v>2.06515427</v>
      </c>
      <c r="I65" s="18" t="s">
        <v>431</v>
      </c>
      <c r="J65" s="20" t="s">
        <v>431</v>
      </c>
      <c r="K65" s="18" t="n">
        <v>5.11013555</v>
      </c>
      <c r="L65" s="20" t="n">
        <v>1.18032841</v>
      </c>
      <c r="M65" s="18" t="n">
        <v>1.41787376</v>
      </c>
      <c r="N65" s="20" t="n">
        <v>0.58201477</v>
      </c>
      <c r="O65" s="18" t="n">
        <v>0.20756878</v>
      </c>
      <c r="P65" s="20" t="n">
        <v>0.29064222</v>
      </c>
      <c r="Q65" s="18" t="n">
        <v>3.35487252</v>
      </c>
      <c r="R65" s="20" t="n">
        <v>0.81514232</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(2029.0/B69*100)</f>
        <v/>
      </c>
      <c r="D69" s="19" t="n">
        <v>381</v>
      </c>
      <c r="E69" s="18" t="n">
        <v>42.16073615</v>
      </c>
      <c r="F69" s="20" t="n">
        <v>2.99773896</v>
      </c>
      <c r="G69" s="18" t="n">
        <v>57.33641804</v>
      </c>
      <c r="H69" s="20" t="n">
        <v>2.9990094</v>
      </c>
      <c r="I69" s="18" t="s">
        <v>431</v>
      </c>
      <c r="J69" s="20" t="s">
        <v>431</v>
      </c>
      <c r="K69" s="18" t="n">
        <v>0.25645587</v>
      </c>
      <c r="L69" s="20" t="n">
        <v>0.25552472</v>
      </c>
      <c r="M69" s="18" t="n">
        <v>0</v>
      </c>
      <c r="N69" s="20" t="n">
        <v>0</v>
      </c>
      <c r="O69" s="18" t="n">
        <v>0</v>
      </c>
      <c r="P69" s="20" t="n">
        <v>0</v>
      </c>
      <c r="Q69" s="18" t="n">
        <v>0.24638994</v>
      </c>
      <c r="R69" s="20" t="n">
        <v>0.24528273</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(1846.0/B74*100)</f>
        <v/>
      </c>
      <c r="D74" s="19" t="n">
        <v>393</v>
      </c>
      <c r="E74" s="18" t="n">
        <v>19.80692388</v>
      </c>
      <c r="F74" s="20" t="n">
        <v>2.00513914</v>
      </c>
      <c r="G74" s="18" t="n">
        <v>69.39521119</v>
      </c>
      <c r="H74" s="20" t="n">
        <v>2.47203134</v>
      </c>
      <c r="I74" s="18" t="s">
        <v>431</v>
      </c>
      <c r="J74" s="20" t="s">
        <v>431</v>
      </c>
      <c r="K74" s="18" t="n">
        <v>8.4411851</v>
      </c>
      <c r="L74" s="20" t="n">
        <v>1.26591717</v>
      </c>
      <c r="M74" s="18" t="n">
        <v>0</v>
      </c>
      <c r="N74" s="20" t="n">
        <v>0</v>
      </c>
      <c r="O74" s="18" t="n">
        <v>0</v>
      </c>
      <c r="P74" s="20" t="n">
        <v>0</v>
      </c>
      <c r="Q74" s="18" t="n">
        <v>2.35667983</v>
      </c>
      <c r="R74" s="20" t="n">
        <v>0.87944708</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(2338.0/B78*100)</f>
        <v/>
      </c>
      <c r="D78" s="19" t="n">
        <v>448</v>
      </c>
      <c r="E78" s="18" t="n">
        <v>2.68333587</v>
      </c>
      <c r="F78" s="20" t="n">
        <v>0.6505154399999999</v>
      </c>
      <c r="G78" s="18" t="n">
        <v>96.80389561</v>
      </c>
      <c r="H78" s="20" t="n">
        <v>0.83257601</v>
      </c>
      <c r="I78" s="18" t="s">
        <v>431</v>
      </c>
      <c r="J78" s="20" t="s">
        <v>431</v>
      </c>
      <c r="K78" s="18" t="n">
        <v>0</v>
      </c>
      <c r="L78" s="20" t="n">
        <v>0</v>
      </c>
      <c r="M78" s="18" t="n">
        <v>0</v>
      </c>
      <c r="N78" s="20" t="n">
        <v>0</v>
      </c>
      <c r="O78" s="18" t="n">
        <v>0</v>
      </c>
      <c r="P78" s="20" t="n">
        <v>0</v>
      </c>
      <c r="Q78" s="18" t="n">
        <v>0.5127685199999999</v>
      </c>
      <c r="R78" s="20" t="n">
        <v>0.51826699</v>
      </c>
    </row>
    <row customHeight="1" ht="25" r="79" spans="1:18">
      <c r="A79" s="15" t="s">
        <v>503</v>
      </c>
      <c r="B79" s="17" t="n">
        <v>787</v>
      </c>
      <c r="C79" s="18">
        <f>(669.0/B79*100)</f>
        <v/>
      </c>
      <c r="D79" s="19" t="n">
        <v>118</v>
      </c>
      <c r="E79" s="18" t="n">
        <v>8.6543899</v>
      </c>
      <c r="F79" s="20" t="n">
        <v>2.59065001</v>
      </c>
      <c r="G79" s="18" t="n">
        <v>82.32394178</v>
      </c>
      <c r="H79" s="20" t="n">
        <v>3.79187795</v>
      </c>
      <c r="I79" s="18" t="s">
        <v>431</v>
      </c>
      <c r="J79" s="20" t="s">
        <v>431</v>
      </c>
      <c r="K79" s="18" t="n">
        <v>0.91369307</v>
      </c>
      <c r="L79" s="20" t="n">
        <v>0.63167069</v>
      </c>
      <c r="M79" s="18" t="n">
        <v>3.85644597</v>
      </c>
      <c r="N79" s="20" t="n">
        <v>1.81633306</v>
      </c>
      <c r="O79" s="18" t="n">
        <v>1.00136619</v>
      </c>
      <c r="P79" s="20" t="n">
        <v>0.99533532</v>
      </c>
      <c r="Q79" s="18" t="n">
        <v>3.25016308</v>
      </c>
      <c r="R79" s="20" t="n">
        <v>1.78660531</v>
      </c>
    </row>
    <row r="80" spans="1:18">
      <c r="A80" s="15" t="s">
        <v>504</v>
      </c>
      <c r="B80" s="17" t="n">
        <v>3798</v>
      </c>
      <c r="C80" s="18">
        <f>(3167.0/B80*100)</f>
        <v/>
      </c>
      <c r="D80" s="19" t="n">
        <v>631</v>
      </c>
      <c r="E80" s="18" t="n">
        <v>14.36054377</v>
      </c>
      <c r="F80" s="20" t="n">
        <v>1.75344766</v>
      </c>
      <c r="G80" s="18" t="n">
        <v>85.44201396</v>
      </c>
      <c r="H80" s="20" t="n">
        <v>1.76111897</v>
      </c>
      <c r="I80" s="18" t="s">
        <v>431</v>
      </c>
      <c r="J80" s="20" t="s">
        <v>431</v>
      </c>
      <c r="K80" s="18" t="n">
        <v>0.19744227</v>
      </c>
      <c r="L80" s="20" t="n">
        <v>0.19787427</v>
      </c>
      <c r="M80" s="18" t="n">
        <v>0</v>
      </c>
      <c r="N80" s="20" t="n">
        <v>0</v>
      </c>
      <c r="O80" s="18" t="n">
        <v>0</v>
      </c>
      <c r="P80" s="20" t="n">
        <v>0</v>
      </c>
      <c r="Q80" s="18" t="n">
        <v>0</v>
      </c>
      <c r="R80" s="20" t="n">
        <v>0</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632</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(2075.0/B44*100)</f>
        <v/>
      </c>
      <c r="D44" s="19" t="n">
        <v>449</v>
      </c>
      <c r="E44" s="18" t="n">
        <v>27.90939948</v>
      </c>
      <c r="F44" s="20" t="n">
        <v>2.40304509</v>
      </c>
      <c r="G44" s="18" t="n">
        <v>36.78960445</v>
      </c>
      <c r="H44" s="20" t="n">
        <v>2.28425199</v>
      </c>
      <c r="I44" s="18" t="n">
        <v>11.95257874</v>
      </c>
      <c r="J44" s="20" t="n">
        <v>2.14672655</v>
      </c>
      <c r="K44" s="18" t="s">
        <v>431</v>
      </c>
      <c r="L44" s="20" t="s">
        <v>431</v>
      </c>
      <c r="M44" s="18" t="n">
        <v>5.16408541</v>
      </c>
      <c r="N44" s="20" t="n">
        <v>1.21993462</v>
      </c>
      <c r="O44" s="18" t="n">
        <v>0</v>
      </c>
      <c r="P44" s="20" t="n">
        <v>0</v>
      </c>
      <c r="Q44" s="18" t="n">
        <v>0</v>
      </c>
      <c r="R44" s="20" t="n">
        <v>0</v>
      </c>
      <c r="S44" s="18" t="n">
        <v>18.18433192</v>
      </c>
      <c r="T44" s="20" t="n">
        <v>2.13752367</v>
      </c>
    </row>
    <row r="45" spans="1:20">
      <c r="A45" s="15" t="s">
        <v>469</v>
      </c>
      <c r="B45" s="17" t="n">
        <v>2849</v>
      </c>
      <c r="C45" s="18">
        <f>(2371.0/B45*100)</f>
        <v/>
      </c>
      <c r="D45" s="19" t="n">
        <v>478</v>
      </c>
      <c r="E45" s="18" t="n">
        <v>53.70351217</v>
      </c>
      <c r="F45" s="20" t="n">
        <v>2.49083448</v>
      </c>
      <c r="G45" s="18" t="n">
        <v>19.238952</v>
      </c>
      <c r="H45" s="20" t="n">
        <v>2.18638141</v>
      </c>
      <c r="I45" s="18" t="n">
        <v>5.62351728</v>
      </c>
      <c r="J45" s="20" t="n">
        <v>1.14728925</v>
      </c>
      <c r="K45" s="18" t="s">
        <v>431</v>
      </c>
      <c r="L45" s="20" t="s">
        <v>431</v>
      </c>
      <c r="M45" s="18" t="n">
        <v>8.217024820000001</v>
      </c>
      <c r="N45" s="20" t="n">
        <v>1.56392821</v>
      </c>
      <c r="O45" s="18" t="n">
        <v>0.41809831</v>
      </c>
      <c r="P45" s="20" t="n">
        <v>0.31544438</v>
      </c>
      <c r="Q45" s="18" t="n">
        <v>0</v>
      </c>
      <c r="R45" s="20" t="n">
        <v>0</v>
      </c>
      <c r="S45" s="18" t="n">
        <v>12.79889542</v>
      </c>
      <c r="T45" s="20" t="n">
        <v>1.94609237</v>
      </c>
    </row>
    <row r="46" spans="1:20">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3018</v>
      </c>
      <c r="C49" s="18">
        <f>(2529.0/B49*100)</f>
        <v/>
      </c>
      <c r="D49" s="19" t="n">
        <v>489</v>
      </c>
      <c r="E49" s="18" t="n">
        <v>22.1586865</v>
      </c>
      <c r="F49" s="20" t="n">
        <v>2.31767091</v>
      </c>
      <c r="G49" s="18" t="n">
        <v>34.07177154</v>
      </c>
      <c r="H49" s="20" t="n">
        <v>2.34940755</v>
      </c>
      <c r="I49" s="18" t="n">
        <v>30.31651902</v>
      </c>
      <c r="J49" s="20" t="n">
        <v>2.16595628</v>
      </c>
      <c r="K49" s="18" t="s">
        <v>431</v>
      </c>
      <c r="L49" s="20" t="s">
        <v>431</v>
      </c>
      <c r="M49" s="18" t="n">
        <v>2.49325439</v>
      </c>
      <c r="N49" s="20" t="n">
        <v>0.7077485999999999</v>
      </c>
      <c r="O49" s="18" t="n">
        <v>2.21571975</v>
      </c>
      <c r="P49" s="20" t="n">
        <v>0.75915181</v>
      </c>
      <c r="Q49" s="18" t="n">
        <v>0</v>
      </c>
      <c r="R49" s="20" t="n">
        <v>0</v>
      </c>
      <c r="S49" s="18" t="n">
        <v>8.744048810000001</v>
      </c>
      <c r="T49" s="20" t="n">
        <v>1.79578127</v>
      </c>
    </row>
    <row r="50" spans="1:20">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2759</v>
      </c>
      <c r="C55" s="18">
        <f>(2314.0/B55*100)</f>
        <v/>
      </c>
      <c r="D55" s="19" t="n">
        <v>445</v>
      </c>
      <c r="E55" s="18" t="n">
        <v>0</v>
      </c>
      <c r="F55" s="20" t="n">
        <v>0</v>
      </c>
      <c r="G55" s="18" t="n">
        <v>0</v>
      </c>
      <c r="H55" s="20" t="n">
        <v>0</v>
      </c>
      <c r="I55" s="18" t="n">
        <v>0</v>
      </c>
      <c r="J55" s="20" t="n">
        <v>0</v>
      </c>
      <c r="K55" s="18" t="s">
        <v>431</v>
      </c>
      <c r="L55" s="20" t="s">
        <v>431</v>
      </c>
      <c r="M55" s="18" t="n">
        <v>0</v>
      </c>
      <c r="N55" s="20" t="n">
        <v>0</v>
      </c>
      <c r="O55" s="18" t="n">
        <v>100</v>
      </c>
      <c r="P55" s="20" t="n">
        <v>0</v>
      </c>
      <c r="Q55" s="18" t="n">
        <v>0</v>
      </c>
      <c r="R55" s="20" t="n">
        <v>0</v>
      </c>
      <c r="S55" s="18" t="n">
        <v>0</v>
      </c>
      <c r="T55" s="20" t="n">
        <v>0</v>
      </c>
    </row>
    <row r="56" spans="1:20">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3170</v>
      </c>
      <c r="C57" s="18">
        <f>(2635.0/B57*100)</f>
        <v/>
      </c>
      <c r="D57" s="19" t="n">
        <v>535</v>
      </c>
      <c r="E57" s="18" t="n">
        <v>40.05470106</v>
      </c>
      <c r="F57" s="20" t="n">
        <v>2.33571212</v>
      </c>
      <c r="G57" s="18" t="n">
        <v>39.88822742</v>
      </c>
      <c r="H57" s="20" t="n">
        <v>2.6903558</v>
      </c>
      <c r="I57" s="18" t="n">
        <v>14.5542462</v>
      </c>
      <c r="J57" s="20" t="n">
        <v>1.66501975</v>
      </c>
      <c r="K57" s="18" t="s">
        <v>431</v>
      </c>
      <c r="L57" s="20" t="s">
        <v>431</v>
      </c>
      <c r="M57" s="18" t="n">
        <v>1.54636563</v>
      </c>
      <c r="N57" s="20" t="n">
        <v>0.64676249</v>
      </c>
      <c r="O57" s="18" t="n">
        <v>0</v>
      </c>
      <c r="P57" s="20" t="n">
        <v>0</v>
      </c>
      <c r="Q57" s="18" t="n">
        <v>0</v>
      </c>
      <c r="R57" s="20" t="n">
        <v>0</v>
      </c>
      <c r="S57" s="18" t="n">
        <v>3.95645969</v>
      </c>
      <c r="T57" s="20" t="n">
        <v>0.96688825</v>
      </c>
    </row>
    <row r="58" spans="1:20">
      <c r="A58" s="15" t="s">
        <v>482</v>
      </c>
      <c r="B58" s="17" t="n">
        <v>3530</v>
      </c>
      <c r="C58" s="18">
        <f>(2943.0/B58*100)</f>
        <v/>
      </c>
      <c r="D58" s="19" t="n">
        <v>587</v>
      </c>
      <c r="E58" s="18" t="n">
        <v>27.98737663</v>
      </c>
      <c r="F58" s="20" t="n">
        <v>2.18260604</v>
      </c>
      <c r="G58" s="18" t="n">
        <v>32.0810043</v>
      </c>
      <c r="H58" s="20" t="n">
        <v>2.17768748</v>
      </c>
      <c r="I58" s="18" t="n">
        <v>21.22637724</v>
      </c>
      <c r="J58" s="20" t="n">
        <v>1.8416168</v>
      </c>
      <c r="K58" s="18" t="s">
        <v>431</v>
      </c>
      <c r="L58" s="20" t="s">
        <v>431</v>
      </c>
      <c r="M58" s="18" t="n">
        <v>5.28338577</v>
      </c>
      <c r="N58" s="20" t="n">
        <v>0.95392385</v>
      </c>
      <c r="O58" s="18" t="n">
        <v>0</v>
      </c>
      <c r="P58" s="20" t="n">
        <v>0</v>
      </c>
      <c r="Q58" s="18" t="n">
        <v>0</v>
      </c>
      <c r="R58" s="20" t="n">
        <v>0</v>
      </c>
      <c r="S58" s="18" t="n">
        <v>13.42185606</v>
      </c>
      <c r="T58" s="20" t="n">
        <v>1.85366494</v>
      </c>
    </row>
    <row r="59" spans="1:20">
      <c r="A59" s="15" t="s">
        <v>483</v>
      </c>
      <c r="B59" s="17" t="n">
        <v>2548</v>
      </c>
      <c r="C59" s="18">
        <f>(2124.0/B59*100)</f>
        <v/>
      </c>
      <c r="D59" s="19" t="n">
        <v>424</v>
      </c>
      <c r="E59" s="18" t="n">
        <v>69.35381192</v>
      </c>
      <c r="F59" s="20" t="n">
        <v>2.55841518</v>
      </c>
      <c r="G59" s="18" t="n">
        <v>13.19693801</v>
      </c>
      <c r="H59" s="20" t="n">
        <v>2.01909072</v>
      </c>
      <c r="I59" s="18" t="n">
        <v>2.72490295</v>
      </c>
      <c r="J59" s="20" t="n">
        <v>1.46829749</v>
      </c>
      <c r="K59" s="18" t="s">
        <v>431</v>
      </c>
      <c r="L59" s="20" t="s">
        <v>431</v>
      </c>
      <c r="M59" s="18" t="n">
        <v>1.68815953</v>
      </c>
      <c r="N59" s="20" t="n">
        <v>0.81403547</v>
      </c>
      <c r="O59" s="18" t="n">
        <v>0</v>
      </c>
      <c r="P59" s="20" t="n">
        <v>0</v>
      </c>
      <c r="Q59" s="18" t="n">
        <v>0</v>
      </c>
      <c r="R59" s="20" t="n">
        <v>0</v>
      </c>
      <c r="S59" s="18" t="n">
        <v>13.03618758</v>
      </c>
      <c r="T59" s="20" t="n">
        <v>1.85670824</v>
      </c>
    </row>
    <row r="60" spans="1:20">
      <c r="A60" s="15" t="s">
        <v>484</v>
      </c>
      <c r="B60" s="17" t="n">
        <v>2095</v>
      </c>
      <c r="C60" s="18">
        <f>(1743.0/B60*100)</f>
        <v/>
      </c>
      <c r="D60" s="19" t="n">
        <v>352</v>
      </c>
      <c r="E60" s="18" t="n">
        <v>44.44409212</v>
      </c>
      <c r="F60" s="20" t="n">
        <v>2.95525032</v>
      </c>
      <c r="G60" s="18" t="n">
        <v>16.85772991</v>
      </c>
      <c r="H60" s="20" t="n">
        <v>2.01459021</v>
      </c>
      <c r="I60" s="18" t="n">
        <v>6.02679785</v>
      </c>
      <c r="J60" s="20" t="n">
        <v>1.34264035</v>
      </c>
      <c r="K60" s="18" t="s">
        <v>431</v>
      </c>
      <c r="L60" s="20" t="s">
        <v>431</v>
      </c>
      <c r="M60" s="18" t="n">
        <v>10.57709571</v>
      </c>
      <c r="N60" s="20" t="n">
        <v>1.88739943</v>
      </c>
      <c r="O60" s="18" t="n">
        <v>0</v>
      </c>
      <c r="P60" s="20" t="n">
        <v>0</v>
      </c>
      <c r="Q60" s="18" t="n">
        <v>0</v>
      </c>
      <c r="R60" s="20" t="n">
        <v>0</v>
      </c>
      <c r="S60" s="18" t="n">
        <v>22.0942844</v>
      </c>
      <c r="T60" s="20" t="n">
        <v>2.63419079</v>
      </c>
    </row>
    <row r="61" spans="1:20">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2813</v>
      </c>
      <c r="C63" s="18">
        <f>(2353.0/B63*100)</f>
        <v/>
      </c>
      <c r="D63" s="19" t="n">
        <v>460</v>
      </c>
      <c r="E63" s="18" t="n">
        <v>30.74977198</v>
      </c>
      <c r="F63" s="20" t="n">
        <v>2.49118352</v>
      </c>
      <c r="G63" s="18" t="n">
        <v>24.26800334</v>
      </c>
      <c r="H63" s="20" t="n">
        <v>2.05199701</v>
      </c>
      <c r="I63" s="18" t="n">
        <v>7.34032875</v>
      </c>
      <c r="J63" s="20" t="n">
        <v>1.1923435</v>
      </c>
      <c r="K63" s="18" t="s">
        <v>431</v>
      </c>
      <c r="L63" s="20" t="s">
        <v>431</v>
      </c>
      <c r="M63" s="18" t="n">
        <v>5.5341521</v>
      </c>
      <c r="N63" s="20" t="n">
        <v>1.13912538</v>
      </c>
      <c r="O63" s="18" t="n">
        <v>0</v>
      </c>
      <c r="P63" s="20" t="n">
        <v>0</v>
      </c>
      <c r="Q63" s="18" t="n">
        <v>0</v>
      </c>
      <c r="R63" s="20" t="n">
        <v>0</v>
      </c>
      <c r="S63" s="18" t="n">
        <v>32.10774383</v>
      </c>
      <c r="T63" s="20" t="n">
        <v>2.28571445</v>
      </c>
    </row>
    <row r="64" spans="1:20">
      <c r="A64" s="15" t="s">
        <v>488</v>
      </c>
      <c r="B64" s="17" t="n">
        <v>1844</v>
      </c>
      <c r="C64" s="18">
        <f>(1531.0/B64*100)</f>
        <v/>
      </c>
      <c r="D64" s="19" t="n">
        <v>313</v>
      </c>
      <c r="E64" s="18" t="n">
        <v>33.38971008</v>
      </c>
      <c r="F64" s="20" t="n">
        <v>2.62150165</v>
      </c>
      <c r="G64" s="18" t="n">
        <v>24.127711</v>
      </c>
      <c r="H64" s="20" t="n">
        <v>2.33199951</v>
      </c>
      <c r="I64" s="18" t="n">
        <v>22.30004041</v>
      </c>
      <c r="J64" s="20" t="n">
        <v>2.03097895</v>
      </c>
      <c r="K64" s="18" t="s">
        <v>431</v>
      </c>
      <c r="L64" s="20" t="s">
        <v>431</v>
      </c>
      <c r="M64" s="18" t="n">
        <v>3.97028552</v>
      </c>
      <c r="N64" s="20" t="n">
        <v>1.16908941</v>
      </c>
      <c r="O64" s="18" t="n">
        <v>0</v>
      </c>
      <c r="P64" s="20" t="n">
        <v>0</v>
      </c>
      <c r="Q64" s="18" t="n">
        <v>0</v>
      </c>
      <c r="R64" s="20" t="n">
        <v>0</v>
      </c>
      <c r="S64" s="18" t="n">
        <v>16.21225299</v>
      </c>
      <c r="T64" s="20" t="n">
        <v>2.11129964</v>
      </c>
    </row>
    <row r="65" spans="1:20">
      <c r="A65" s="15" t="s">
        <v>489</v>
      </c>
      <c r="B65" s="17" t="n">
        <v>2691</v>
      </c>
      <c r="C65" s="18">
        <f>(2241.0/B65*100)</f>
        <v/>
      </c>
      <c r="D65" s="19" t="n">
        <v>450</v>
      </c>
      <c r="E65" s="18" t="n">
        <v>19.25333962</v>
      </c>
      <c r="F65" s="20" t="n">
        <v>1.74414913</v>
      </c>
      <c r="G65" s="18" t="n">
        <v>32.09609262</v>
      </c>
      <c r="H65" s="20" t="n">
        <v>2.22626346</v>
      </c>
      <c r="I65" s="18" t="n">
        <v>25.1490821</v>
      </c>
      <c r="J65" s="20" t="n">
        <v>1.98082339</v>
      </c>
      <c r="K65" s="18" t="s">
        <v>431</v>
      </c>
      <c r="L65" s="20" t="s">
        <v>431</v>
      </c>
      <c r="M65" s="18" t="n">
        <v>6.69794858</v>
      </c>
      <c r="N65" s="20" t="n">
        <v>1.43053483</v>
      </c>
      <c r="O65" s="18" t="n">
        <v>0</v>
      </c>
      <c r="P65" s="20" t="n">
        <v>0</v>
      </c>
      <c r="Q65" s="18" t="n">
        <v>0</v>
      </c>
      <c r="R65" s="20" t="n">
        <v>0</v>
      </c>
      <c r="S65" s="18" t="n">
        <v>16.80353708</v>
      </c>
      <c r="T65" s="20" t="n">
        <v>1.80239857</v>
      </c>
    </row>
    <row r="66" spans="1:20">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2410</v>
      </c>
      <c r="C69" s="18">
        <f>(2029.0/B69*100)</f>
        <v/>
      </c>
      <c r="D69" s="19" t="n">
        <v>381</v>
      </c>
      <c r="E69" s="18" t="n">
        <v>27.91310781</v>
      </c>
      <c r="F69" s="20" t="n">
        <v>2.46121632</v>
      </c>
      <c r="G69" s="18" t="n">
        <v>38.74997185</v>
      </c>
      <c r="H69" s="20" t="n">
        <v>2.82540856</v>
      </c>
      <c r="I69" s="18" t="n">
        <v>32.64623922</v>
      </c>
      <c r="J69" s="20" t="n">
        <v>2.9620608</v>
      </c>
      <c r="K69" s="18" t="s">
        <v>431</v>
      </c>
      <c r="L69" s="20" t="s">
        <v>431</v>
      </c>
      <c r="M69" s="18" t="n">
        <v>0.25645587</v>
      </c>
      <c r="N69" s="20" t="n">
        <v>0.25552472</v>
      </c>
      <c r="O69" s="18" t="n">
        <v>0</v>
      </c>
      <c r="P69" s="20" t="n">
        <v>0</v>
      </c>
      <c r="Q69" s="18" t="n">
        <v>0</v>
      </c>
      <c r="R69" s="20" t="n">
        <v>0</v>
      </c>
      <c r="S69" s="18" t="n">
        <v>0.43422525</v>
      </c>
      <c r="T69" s="20" t="n">
        <v>0.43502535</v>
      </c>
    </row>
    <row r="70" spans="1:20">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2239</v>
      </c>
      <c r="C74" s="18">
        <f>(1846.0/B74*100)</f>
        <v/>
      </c>
      <c r="D74" s="19" t="n">
        <v>393</v>
      </c>
      <c r="E74" s="18" t="n">
        <v>29.98764784</v>
      </c>
      <c r="F74" s="20" t="n">
        <v>2.62545436</v>
      </c>
      <c r="G74" s="18" t="n">
        <v>34.83163698</v>
      </c>
      <c r="H74" s="20" t="n">
        <v>2.32118622</v>
      </c>
      <c r="I74" s="18" t="n">
        <v>8.181981950000001</v>
      </c>
      <c r="J74" s="20" t="n">
        <v>1.34113776</v>
      </c>
      <c r="K74" s="18" t="s">
        <v>431</v>
      </c>
      <c r="L74" s="20" t="s">
        <v>431</v>
      </c>
      <c r="M74" s="18" t="n">
        <v>10.84664637</v>
      </c>
      <c r="N74" s="20" t="n">
        <v>1.59628578</v>
      </c>
      <c r="O74" s="18" t="n">
        <v>0</v>
      </c>
      <c r="P74" s="20" t="n">
        <v>0</v>
      </c>
      <c r="Q74" s="18" t="n">
        <v>0</v>
      </c>
      <c r="R74" s="20" t="n">
        <v>0</v>
      </c>
      <c r="S74" s="18" t="n">
        <v>16.15208686</v>
      </c>
      <c r="T74" s="20" t="n">
        <v>2.14906293</v>
      </c>
    </row>
    <row r="75" spans="1:20">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2786</v>
      </c>
      <c r="C78" s="18">
        <f>(2338.0/B78*100)</f>
        <v/>
      </c>
      <c r="D78" s="19" t="n">
        <v>448</v>
      </c>
      <c r="E78" s="18" t="n">
        <v>18.18962694</v>
      </c>
      <c r="F78" s="20" t="n">
        <v>2.33257369</v>
      </c>
      <c r="G78" s="18" t="n">
        <v>35.19646281</v>
      </c>
      <c r="H78" s="20" t="n">
        <v>2.440907</v>
      </c>
      <c r="I78" s="18" t="n">
        <v>43.98584896</v>
      </c>
      <c r="J78" s="20" t="n">
        <v>2.87194998</v>
      </c>
      <c r="K78" s="18" t="s">
        <v>431</v>
      </c>
      <c r="L78" s="20" t="s">
        <v>431</v>
      </c>
      <c r="M78" s="18" t="n">
        <v>0</v>
      </c>
      <c r="N78" s="20" t="n">
        <v>0</v>
      </c>
      <c r="O78" s="18" t="n">
        <v>0</v>
      </c>
      <c r="P78" s="20" t="n">
        <v>0</v>
      </c>
      <c r="Q78" s="18" t="n">
        <v>0</v>
      </c>
      <c r="R78" s="20" t="n">
        <v>0</v>
      </c>
      <c r="S78" s="18" t="n">
        <v>2.62806129</v>
      </c>
      <c r="T78" s="20" t="n">
        <v>1.25752448</v>
      </c>
    </row>
    <row customHeight="1" ht="25" r="79" spans="1:20">
      <c r="A79" s="15" t="s">
        <v>503</v>
      </c>
      <c r="B79" s="17" t="n">
        <v>787</v>
      </c>
      <c r="C79" s="18">
        <f>(669.0/B79*100)</f>
        <v/>
      </c>
      <c r="D79" s="19" t="n">
        <v>118</v>
      </c>
      <c r="E79" s="18" t="n">
        <v>14.20320719</v>
      </c>
      <c r="F79" s="20" t="n">
        <v>4.43337289</v>
      </c>
      <c r="G79" s="18" t="n">
        <v>29.16488614</v>
      </c>
      <c r="H79" s="20" t="n">
        <v>4.60093028</v>
      </c>
      <c r="I79" s="18" t="n">
        <v>43.6236797</v>
      </c>
      <c r="J79" s="20" t="n">
        <v>4.77429647</v>
      </c>
      <c r="K79" s="18" t="s">
        <v>431</v>
      </c>
      <c r="L79" s="20" t="s">
        <v>431</v>
      </c>
      <c r="M79" s="18" t="n">
        <v>1.90122652</v>
      </c>
      <c r="N79" s="20" t="n">
        <v>1.17386728</v>
      </c>
      <c r="O79" s="18" t="n">
        <v>3.85644597</v>
      </c>
      <c r="P79" s="20" t="n">
        <v>1.81633306</v>
      </c>
      <c r="Q79" s="18" t="n">
        <v>0</v>
      </c>
      <c r="R79" s="20" t="n">
        <v>0</v>
      </c>
      <c r="S79" s="18" t="n">
        <v>7.25055448</v>
      </c>
      <c r="T79" s="20" t="n">
        <v>1.94026096</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633</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(2075.0/B44*100)</f>
        <v/>
      </c>
      <c r="D44" s="19" t="n">
        <v>449</v>
      </c>
      <c r="E44" s="18" t="n">
        <v>20.09632599</v>
      </c>
      <c r="F44" s="20" t="n">
        <v>2.3969194</v>
      </c>
      <c r="G44" s="18" t="n">
        <v>36.8567428</v>
      </c>
      <c r="H44" s="20" t="n">
        <v>2.3055448</v>
      </c>
      <c r="I44" s="18" t="n">
        <v>11.71301047</v>
      </c>
      <c r="J44" s="20" t="n">
        <v>1.5549172</v>
      </c>
      <c r="K44" s="18" t="s">
        <v>431</v>
      </c>
      <c r="L44" s="20" t="s">
        <v>431</v>
      </c>
      <c r="M44" s="18" t="n">
        <v>6.81239507</v>
      </c>
      <c r="N44" s="20" t="n">
        <v>1.32053008</v>
      </c>
      <c r="O44" s="18" t="n">
        <v>0</v>
      </c>
      <c r="P44" s="20" t="n">
        <v>0</v>
      </c>
      <c r="Q44" s="18" t="n">
        <v>0</v>
      </c>
      <c r="R44" s="20" t="n">
        <v>0</v>
      </c>
      <c r="S44" s="18" t="n">
        <v>24.52152566</v>
      </c>
      <c r="T44" s="20" t="n">
        <v>2.01728094</v>
      </c>
    </row>
    <row r="45" spans="1:20">
      <c r="A45" s="15" t="s">
        <v>469</v>
      </c>
      <c r="B45" s="17" t="n">
        <v>2849</v>
      </c>
      <c r="C45" s="18">
        <f>(2371.0/B45*100)</f>
        <v/>
      </c>
      <c r="D45" s="19" t="n">
        <v>478</v>
      </c>
      <c r="E45" s="18" t="n">
        <v>46.46089472</v>
      </c>
      <c r="F45" s="20" t="n">
        <v>2.23016784</v>
      </c>
      <c r="G45" s="18" t="n">
        <v>10.44602409</v>
      </c>
      <c r="H45" s="20" t="n">
        <v>1.88628848</v>
      </c>
      <c r="I45" s="18" t="n">
        <v>4.49767723</v>
      </c>
      <c r="J45" s="20" t="n">
        <v>1.00743952</v>
      </c>
      <c r="K45" s="18" t="s">
        <v>431</v>
      </c>
      <c r="L45" s="20" t="s">
        <v>431</v>
      </c>
      <c r="M45" s="18" t="n">
        <v>10.15508858</v>
      </c>
      <c r="N45" s="20" t="n">
        <v>1.58873413</v>
      </c>
      <c r="O45" s="18" t="n">
        <v>0.17823723</v>
      </c>
      <c r="P45" s="20" t="n">
        <v>0.17902953</v>
      </c>
      <c r="Q45" s="18" t="n">
        <v>0</v>
      </c>
      <c r="R45" s="20" t="n">
        <v>0</v>
      </c>
      <c r="S45" s="18" t="n">
        <v>28.26207815</v>
      </c>
      <c r="T45" s="20" t="n">
        <v>2.17475424</v>
      </c>
    </row>
    <row r="46" spans="1:20">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3018</v>
      </c>
      <c r="C49" s="18">
        <f>(2529.0/B49*100)</f>
        <v/>
      </c>
      <c r="D49" s="19" t="n">
        <v>489</v>
      </c>
      <c r="E49" s="18" t="n">
        <v>25.3454648</v>
      </c>
      <c r="F49" s="20" t="n">
        <v>2.41639288</v>
      </c>
      <c r="G49" s="18" t="n">
        <v>16.63415561</v>
      </c>
      <c r="H49" s="20" t="n">
        <v>1.7486889</v>
      </c>
      <c r="I49" s="18" t="n">
        <v>40.43545361</v>
      </c>
      <c r="J49" s="20" t="n">
        <v>2.864093</v>
      </c>
      <c r="K49" s="18" t="s">
        <v>431</v>
      </c>
      <c r="L49" s="20" t="s">
        <v>431</v>
      </c>
      <c r="M49" s="18" t="n">
        <v>3.60235403</v>
      </c>
      <c r="N49" s="20" t="n">
        <v>0.9557396500000001</v>
      </c>
      <c r="O49" s="18" t="n">
        <v>2.21571975</v>
      </c>
      <c r="P49" s="20" t="n">
        <v>0.75915181</v>
      </c>
      <c r="Q49" s="18" t="n">
        <v>0.12574632</v>
      </c>
      <c r="R49" s="20" t="n">
        <v>0.13547628</v>
      </c>
      <c r="S49" s="18" t="n">
        <v>11.64110588</v>
      </c>
      <c r="T49" s="20" t="n">
        <v>1.75094263</v>
      </c>
    </row>
    <row r="50" spans="1:20">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2759</v>
      </c>
      <c r="C55" s="18">
        <f>(2314.0/B55*100)</f>
        <v/>
      </c>
      <c r="D55" s="19" t="n">
        <v>445</v>
      </c>
      <c r="E55" s="18" t="n">
        <v>24.28321831</v>
      </c>
      <c r="F55" s="20" t="n">
        <v>2.22838879</v>
      </c>
      <c r="G55" s="18" t="n">
        <v>6.2452922</v>
      </c>
      <c r="H55" s="20" t="n">
        <v>1.2044304</v>
      </c>
      <c r="I55" s="18" t="n">
        <v>35.21573154</v>
      </c>
      <c r="J55" s="20" t="n">
        <v>1.97947368</v>
      </c>
      <c r="K55" s="18" t="s">
        <v>431</v>
      </c>
      <c r="L55" s="20" t="s">
        <v>431</v>
      </c>
      <c r="M55" s="18" t="n">
        <v>3.16286789</v>
      </c>
      <c r="N55" s="20" t="n">
        <v>0.75949095</v>
      </c>
      <c r="O55" s="18" t="n">
        <v>0</v>
      </c>
      <c r="P55" s="20" t="n">
        <v>0</v>
      </c>
      <c r="Q55" s="18" t="n">
        <v>0.23332517</v>
      </c>
      <c r="R55" s="20" t="n">
        <v>0.21848416</v>
      </c>
      <c r="S55" s="18" t="n">
        <v>30.85956489</v>
      </c>
      <c r="T55" s="20" t="n">
        <v>2.32843652</v>
      </c>
    </row>
    <row r="56" spans="1:20">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3170</v>
      </c>
      <c r="C57" s="18">
        <f>(2635.0/B57*100)</f>
        <v/>
      </c>
      <c r="D57" s="19" t="n">
        <v>535</v>
      </c>
      <c r="E57" s="18" t="n">
        <v>46.93562155</v>
      </c>
      <c r="F57" s="20" t="n">
        <v>2.29517815</v>
      </c>
      <c r="G57" s="18" t="n">
        <v>31.42138769</v>
      </c>
      <c r="H57" s="20" t="n">
        <v>2.34013734</v>
      </c>
      <c r="I57" s="18" t="n">
        <v>14.68439444</v>
      </c>
      <c r="J57" s="20" t="n">
        <v>1.50789346</v>
      </c>
      <c r="K57" s="18" t="s">
        <v>431</v>
      </c>
      <c r="L57" s="20" t="s">
        <v>431</v>
      </c>
      <c r="M57" s="18" t="n">
        <v>2.01341687</v>
      </c>
      <c r="N57" s="20" t="n">
        <v>0.7455358399999999</v>
      </c>
      <c r="O57" s="18" t="n">
        <v>0</v>
      </c>
      <c r="P57" s="20" t="n">
        <v>0</v>
      </c>
      <c r="Q57" s="18" t="n">
        <v>0</v>
      </c>
      <c r="R57" s="20" t="n">
        <v>0</v>
      </c>
      <c r="S57" s="18" t="n">
        <v>4.94517945</v>
      </c>
      <c r="T57" s="20" t="n">
        <v>1.12659357</v>
      </c>
    </row>
    <row r="58" spans="1:20">
      <c r="A58" s="15" t="s">
        <v>482</v>
      </c>
      <c r="B58" s="17" t="n">
        <v>3530</v>
      </c>
      <c r="C58" s="18">
        <f>(2943.0/B58*100)</f>
        <v/>
      </c>
      <c r="D58" s="19" t="n">
        <v>587</v>
      </c>
      <c r="E58" s="18" t="n">
        <v>23.42506126</v>
      </c>
      <c r="F58" s="20" t="n">
        <v>1.90766095</v>
      </c>
      <c r="G58" s="18" t="n">
        <v>28.06286587</v>
      </c>
      <c r="H58" s="20" t="n">
        <v>2.12581218</v>
      </c>
      <c r="I58" s="18" t="n">
        <v>18.52473414</v>
      </c>
      <c r="J58" s="20" t="n">
        <v>1.75405855</v>
      </c>
      <c r="K58" s="18" t="s">
        <v>431</v>
      </c>
      <c r="L58" s="20" t="s">
        <v>431</v>
      </c>
      <c r="M58" s="18" t="n">
        <v>6.04721401</v>
      </c>
      <c r="N58" s="20" t="n">
        <v>1.17400201</v>
      </c>
      <c r="O58" s="18" t="n">
        <v>0</v>
      </c>
      <c r="P58" s="20" t="n">
        <v>0</v>
      </c>
      <c r="Q58" s="18" t="n">
        <v>0</v>
      </c>
      <c r="R58" s="20" t="n">
        <v>0</v>
      </c>
      <c r="S58" s="18" t="n">
        <v>23.94012472</v>
      </c>
      <c r="T58" s="20" t="n">
        <v>2.86213056</v>
      </c>
    </row>
    <row r="59" spans="1:20">
      <c r="A59" s="15" t="s">
        <v>483</v>
      </c>
      <c r="B59" s="17" t="n">
        <v>2548</v>
      </c>
      <c r="C59" s="18">
        <f>(2124.0/B59*100)</f>
        <v/>
      </c>
      <c r="D59" s="19" t="n">
        <v>424</v>
      </c>
      <c r="E59" s="18" t="n">
        <v>54.70838194</v>
      </c>
      <c r="F59" s="20" t="n">
        <v>2.73471671</v>
      </c>
      <c r="G59" s="18" t="n">
        <v>13.78021165</v>
      </c>
      <c r="H59" s="20" t="n">
        <v>2.35251457</v>
      </c>
      <c r="I59" s="18" t="n">
        <v>4.07837137</v>
      </c>
      <c r="J59" s="20" t="n">
        <v>1.17739074</v>
      </c>
      <c r="K59" s="18" t="s">
        <v>431</v>
      </c>
      <c r="L59" s="20" t="s">
        <v>431</v>
      </c>
      <c r="M59" s="18" t="n">
        <v>1.68815953</v>
      </c>
      <c r="N59" s="20" t="n">
        <v>0.81403547</v>
      </c>
      <c r="O59" s="18" t="n">
        <v>0</v>
      </c>
      <c r="P59" s="20" t="n">
        <v>0</v>
      </c>
      <c r="Q59" s="18" t="n">
        <v>0</v>
      </c>
      <c r="R59" s="20" t="n">
        <v>0</v>
      </c>
      <c r="S59" s="18" t="n">
        <v>25.7448755</v>
      </c>
      <c r="T59" s="20" t="n">
        <v>2.40031089</v>
      </c>
    </row>
    <row r="60" spans="1:20">
      <c r="A60" s="15" t="s">
        <v>484</v>
      </c>
      <c r="B60" s="17" t="n">
        <v>2095</v>
      </c>
      <c r="C60" s="18">
        <f>(1743.0/B60*100)</f>
        <v/>
      </c>
      <c r="D60" s="19" t="n">
        <v>352</v>
      </c>
      <c r="E60" s="18" t="n">
        <v>29.70781472</v>
      </c>
      <c r="F60" s="20" t="n">
        <v>3.11467956</v>
      </c>
      <c r="G60" s="18" t="n">
        <v>13.32448245</v>
      </c>
      <c r="H60" s="20" t="n">
        <v>1.66269133</v>
      </c>
      <c r="I60" s="18" t="n">
        <v>8.457878109999999</v>
      </c>
      <c r="J60" s="20" t="n">
        <v>1.50985777</v>
      </c>
      <c r="K60" s="18" t="s">
        <v>431</v>
      </c>
      <c r="L60" s="20" t="s">
        <v>431</v>
      </c>
      <c r="M60" s="18" t="n">
        <v>12.03709457</v>
      </c>
      <c r="N60" s="20" t="n">
        <v>1.92254407</v>
      </c>
      <c r="O60" s="18" t="n">
        <v>0</v>
      </c>
      <c r="P60" s="20" t="n">
        <v>0</v>
      </c>
      <c r="Q60" s="18" t="n">
        <v>0</v>
      </c>
      <c r="R60" s="20" t="n">
        <v>0</v>
      </c>
      <c r="S60" s="18" t="n">
        <v>36.47273016</v>
      </c>
      <c r="T60" s="20" t="n">
        <v>2.96209014</v>
      </c>
    </row>
    <row r="61" spans="1:20">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2813</v>
      </c>
      <c r="C63" s="18">
        <f>(2353.0/B63*100)</f>
        <v/>
      </c>
      <c r="D63" s="19" t="n">
        <v>460</v>
      </c>
      <c r="E63" s="18" t="n">
        <v>25.4145074</v>
      </c>
      <c r="F63" s="20" t="n">
        <v>2.35129659</v>
      </c>
      <c r="G63" s="18" t="n">
        <v>13.83063006</v>
      </c>
      <c r="H63" s="20" t="n">
        <v>1.77814259</v>
      </c>
      <c r="I63" s="18" t="n">
        <v>8.12963362</v>
      </c>
      <c r="J63" s="20" t="n">
        <v>1.46411295</v>
      </c>
      <c r="K63" s="18" t="s">
        <v>431</v>
      </c>
      <c r="L63" s="20" t="s">
        <v>431</v>
      </c>
      <c r="M63" s="18" t="n">
        <v>5.98629004</v>
      </c>
      <c r="N63" s="20" t="n">
        <v>1.18091998</v>
      </c>
      <c r="O63" s="18" t="n">
        <v>0</v>
      </c>
      <c r="P63" s="20" t="n">
        <v>0</v>
      </c>
      <c r="Q63" s="18" t="n">
        <v>0</v>
      </c>
      <c r="R63" s="20" t="n">
        <v>0</v>
      </c>
      <c r="S63" s="18" t="n">
        <v>46.63893888</v>
      </c>
      <c r="T63" s="20" t="n">
        <v>2.57128588</v>
      </c>
    </row>
    <row r="64" spans="1:20">
      <c r="A64" s="15" t="s">
        <v>488</v>
      </c>
      <c r="B64" s="17" t="n">
        <v>1844</v>
      </c>
      <c r="C64" s="18">
        <f>(1531.0/B64*100)</f>
        <v/>
      </c>
      <c r="D64" s="19" t="n">
        <v>313</v>
      </c>
      <c r="E64" s="18" t="n">
        <v>23.02272406</v>
      </c>
      <c r="F64" s="20" t="n">
        <v>2.27698693</v>
      </c>
      <c r="G64" s="18" t="n">
        <v>9.319665130000001</v>
      </c>
      <c r="H64" s="20" t="n">
        <v>1.54120676</v>
      </c>
      <c r="I64" s="18" t="n">
        <v>40.85726475</v>
      </c>
      <c r="J64" s="20" t="n">
        <v>2.77009005</v>
      </c>
      <c r="K64" s="18" t="s">
        <v>431</v>
      </c>
      <c r="L64" s="20" t="s">
        <v>431</v>
      </c>
      <c r="M64" s="18" t="n">
        <v>4.63435853</v>
      </c>
      <c r="N64" s="20" t="n">
        <v>1.26419763</v>
      </c>
      <c r="O64" s="18" t="n">
        <v>0</v>
      </c>
      <c r="P64" s="20" t="n">
        <v>0</v>
      </c>
      <c r="Q64" s="18" t="n">
        <v>0.69668846</v>
      </c>
      <c r="R64" s="20" t="n">
        <v>0.49172049</v>
      </c>
      <c r="S64" s="18" t="n">
        <v>21.46929906</v>
      </c>
      <c r="T64" s="20" t="n">
        <v>2.44186284</v>
      </c>
    </row>
    <row r="65" spans="1:20">
      <c r="A65" s="15" t="s">
        <v>489</v>
      </c>
      <c r="B65" s="17" t="n">
        <v>2691</v>
      </c>
      <c r="C65" s="18">
        <f>(2241.0/B65*100)</f>
        <v/>
      </c>
      <c r="D65" s="19" t="n">
        <v>450</v>
      </c>
      <c r="E65" s="18" t="n">
        <v>14.11421372</v>
      </c>
      <c r="F65" s="20" t="n">
        <v>1.48198311</v>
      </c>
      <c r="G65" s="18" t="n">
        <v>17.25352039</v>
      </c>
      <c r="H65" s="20" t="n">
        <v>1.60115518</v>
      </c>
      <c r="I65" s="18" t="n">
        <v>27.09750213</v>
      </c>
      <c r="J65" s="20" t="n">
        <v>1.93257049</v>
      </c>
      <c r="K65" s="18" t="s">
        <v>431</v>
      </c>
      <c r="L65" s="20" t="s">
        <v>431</v>
      </c>
      <c r="M65" s="18" t="n">
        <v>7.76748875</v>
      </c>
      <c r="N65" s="20" t="n">
        <v>1.43690714</v>
      </c>
      <c r="O65" s="18" t="n">
        <v>0</v>
      </c>
      <c r="P65" s="20" t="n">
        <v>0</v>
      </c>
      <c r="Q65" s="18" t="n">
        <v>0</v>
      </c>
      <c r="R65" s="20" t="n">
        <v>0</v>
      </c>
      <c r="S65" s="18" t="n">
        <v>33.76727501</v>
      </c>
      <c r="T65" s="20" t="n">
        <v>2.3418661</v>
      </c>
    </row>
    <row r="66" spans="1:20">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2410</v>
      </c>
      <c r="C69" s="18">
        <f>(2029.0/B69*100)</f>
        <v/>
      </c>
      <c r="D69" s="19" t="n">
        <v>381</v>
      </c>
      <c r="E69" s="18" t="n">
        <v>31.7753179</v>
      </c>
      <c r="F69" s="20" t="n">
        <v>2.94186717</v>
      </c>
      <c r="G69" s="18" t="n">
        <v>24.66612947</v>
      </c>
      <c r="H69" s="20" t="n">
        <v>2.26022489</v>
      </c>
      <c r="I69" s="18" t="n">
        <v>40.2627545</v>
      </c>
      <c r="J69" s="20" t="n">
        <v>2.54780966</v>
      </c>
      <c r="K69" s="18" t="s">
        <v>431</v>
      </c>
      <c r="L69" s="20" t="s">
        <v>431</v>
      </c>
      <c r="M69" s="18" t="n">
        <v>0.25645587</v>
      </c>
      <c r="N69" s="20" t="n">
        <v>0.25552472</v>
      </c>
      <c r="O69" s="18" t="n">
        <v>0</v>
      </c>
      <c r="P69" s="20" t="n">
        <v>0</v>
      </c>
      <c r="Q69" s="18" t="n">
        <v>0</v>
      </c>
      <c r="R69" s="20" t="n">
        <v>0</v>
      </c>
      <c r="S69" s="18" t="n">
        <v>3.03934225</v>
      </c>
      <c r="T69" s="20" t="n">
        <v>1.06645779</v>
      </c>
    </row>
    <row r="70" spans="1:20">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2239</v>
      </c>
      <c r="C74" s="18">
        <f>(1846.0/B74*100)</f>
        <v/>
      </c>
      <c r="D74" s="19" t="n">
        <v>393</v>
      </c>
      <c r="E74" s="18" t="n">
        <v>29.13242958</v>
      </c>
      <c r="F74" s="20" t="n">
        <v>2.27543515</v>
      </c>
      <c r="G74" s="18" t="n">
        <v>11.29287714</v>
      </c>
      <c r="H74" s="20" t="n">
        <v>1.54749477</v>
      </c>
      <c r="I74" s="18" t="n">
        <v>18.3047899</v>
      </c>
      <c r="J74" s="20" t="n">
        <v>2.04069222</v>
      </c>
      <c r="K74" s="18" t="s">
        <v>431</v>
      </c>
      <c r="L74" s="20" t="s">
        <v>431</v>
      </c>
      <c r="M74" s="18" t="n">
        <v>12.45715756</v>
      </c>
      <c r="N74" s="20" t="n">
        <v>1.65768793</v>
      </c>
      <c r="O74" s="18" t="n">
        <v>0</v>
      </c>
      <c r="P74" s="20" t="n">
        <v>0</v>
      </c>
      <c r="Q74" s="18" t="n">
        <v>0</v>
      </c>
      <c r="R74" s="20" t="n">
        <v>0</v>
      </c>
      <c r="S74" s="18" t="n">
        <v>28.81274582</v>
      </c>
      <c r="T74" s="20" t="n">
        <v>2.5653246</v>
      </c>
    </row>
    <row r="75" spans="1:20">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2786</v>
      </c>
      <c r="C78" s="18">
        <f>(2338.0/B78*100)</f>
        <v/>
      </c>
      <c r="D78" s="19" t="n">
        <v>448</v>
      </c>
      <c r="E78" s="18" t="n">
        <v>23.53741709</v>
      </c>
      <c r="F78" s="20" t="n">
        <v>2.23647656</v>
      </c>
      <c r="G78" s="18" t="n">
        <v>23.84833625</v>
      </c>
      <c r="H78" s="20" t="n">
        <v>1.91730544</v>
      </c>
      <c r="I78" s="18" t="n">
        <v>49.79801879</v>
      </c>
      <c r="J78" s="20" t="n">
        <v>3.13732761</v>
      </c>
      <c r="K78" s="18" t="s">
        <v>431</v>
      </c>
      <c r="L78" s="20" t="s">
        <v>431</v>
      </c>
      <c r="M78" s="18" t="n">
        <v>0</v>
      </c>
      <c r="N78" s="20" t="n">
        <v>0</v>
      </c>
      <c r="O78" s="18" t="n">
        <v>0</v>
      </c>
      <c r="P78" s="20" t="n">
        <v>0</v>
      </c>
      <c r="Q78" s="18" t="n">
        <v>0</v>
      </c>
      <c r="R78" s="20" t="n">
        <v>0</v>
      </c>
      <c r="S78" s="18" t="n">
        <v>2.81622787</v>
      </c>
      <c r="T78" s="20" t="n">
        <v>1.1103314</v>
      </c>
    </row>
    <row customHeight="1" ht="25" r="79" spans="1:20">
      <c r="A79" s="15" t="s">
        <v>503</v>
      </c>
      <c r="B79" s="17" t="n">
        <v>787</v>
      </c>
      <c r="C79" s="18">
        <f>(669.0/B79*100)</f>
        <v/>
      </c>
      <c r="D79" s="19" t="n">
        <v>118</v>
      </c>
      <c r="E79" s="18" t="n">
        <v>15.18620742</v>
      </c>
      <c r="F79" s="20" t="n">
        <v>3.52614991</v>
      </c>
      <c r="G79" s="18" t="n">
        <v>15.88041983</v>
      </c>
      <c r="H79" s="20" t="n">
        <v>3.0782678</v>
      </c>
      <c r="I79" s="18" t="n">
        <v>54.60876024</v>
      </c>
      <c r="J79" s="20" t="n">
        <v>3.86903186</v>
      </c>
      <c r="K79" s="18" t="s">
        <v>431</v>
      </c>
      <c r="L79" s="20" t="s">
        <v>431</v>
      </c>
      <c r="M79" s="18" t="n">
        <v>3.25183194</v>
      </c>
      <c r="N79" s="20" t="n">
        <v>1.67642477</v>
      </c>
      <c r="O79" s="18" t="n">
        <v>3.85644597</v>
      </c>
      <c r="P79" s="20" t="n">
        <v>1.81633306</v>
      </c>
      <c r="Q79" s="18" t="n">
        <v>0</v>
      </c>
      <c r="R79" s="20" t="n">
        <v>0</v>
      </c>
      <c r="S79" s="18" t="n">
        <v>7.21633459</v>
      </c>
      <c r="T79" s="20" t="n">
        <v>2.5933963</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(2075.0/B44*100)</f>
        <v/>
      </c>
      <c r="D44" s="19" t="n">
        <v>449</v>
      </c>
      <c r="E44" s="18" t="n">
        <v>45.69642809</v>
      </c>
      <c r="F44" s="20" t="n">
        <v>2.8472985</v>
      </c>
      <c r="G44" s="18" t="n">
        <v>6.87487363</v>
      </c>
      <c r="H44" s="20" t="n">
        <v>1.70997085</v>
      </c>
      <c r="I44" s="18" t="s">
        <v>431</v>
      </c>
      <c r="J44" s="20" t="s">
        <v>431</v>
      </c>
      <c r="K44" s="18" t="n">
        <v>7.8695448</v>
      </c>
      <c r="L44" s="20" t="n">
        <v>1.41414465</v>
      </c>
      <c r="M44" s="18" t="n">
        <v>0</v>
      </c>
      <c r="N44" s="20" t="n">
        <v>0</v>
      </c>
      <c r="O44" s="18" t="n">
        <v>0</v>
      </c>
      <c r="P44" s="20" t="n">
        <v>0</v>
      </c>
      <c r="Q44" s="18" t="n">
        <v>39.55915348</v>
      </c>
      <c r="R44" s="20" t="n">
        <v>2.60631839</v>
      </c>
    </row>
    <row r="45" spans="1:18">
      <c r="A45" s="15" t="s">
        <v>469</v>
      </c>
      <c r="B45" s="17" t="n">
        <v>2849</v>
      </c>
      <c r="C45" s="18">
        <f>(2371.0/B45*100)</f>
        <v/>
      </c>
      <c r="D45" s="19" t="n">
        <v>478</v>
      </c>
      <c r="E45" s="18" t="n">
        <v>45.94598718</v>
      </c>
      <c r="F45" s="20" t="n">
        <v>3.01202822</v>
      </c>
      <c r="G45" s="18" t="n">
        <v>0.93048536</v>
      </c>
      <c r="H45" s="20" t="n">
        <v>0.52020855</v>
      </c>
      <c r="I45" s="18" t="s">
        <v>431</v>
      </c>
      <c r="J45" s="20" t="s">
        <v>431</v>
      </c>
      <c r="K45" s="18" t="n">
        <v>11.5644404</v>
      </c>
      <c r="L45" s="20" t="n">
        <v>1.6191617</v>
      </c>
      <c r="M45" s="18" t="n">
        <v>0.65190121</v>
      </c>
      <c r="N45" s="20" t="n">
        <v>0.33229736</v>
      </c>
      <c r="O45" s="18" t="n">
        <v>0</v>
      </c>
      <c r="P45" s="20" t="n">
        <v>0</v>
      </c>
      <c r="Q45" s="18" t="n">
        <v>40.90718586</v>
      </c>
      <c r="R45" s="20" t="n">
        <v>2.87389681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(2529.0/B49*100)</f>
        <v/>
      </c>
      <c r="D49" s="19" t="n">
        <v>489</v>
      </c>
      <c r="E49" s="18" t="n">
        <v>58.2795372</v>
      </c>
      <c r="F49" s="20" t="n">
        <v>2.86710055</v>
      </c>
      <c r="G49" s="18" t="n">
        <v>6.84130931</v>
      </c>
      <c r="H49" s="20" t="n">
        <v>1.0516514</v>
      </c>
      <c r="I49" s="18" t="s">
        <v>431</v>
      </c>
      <c r="J49" s="20" t="s">
        <v>431</v>
      </c>
      <c r="K49" s="18" t="n">
        <v>5.46422502</v>
      </c>
      <c r="L49" s="20" t="n">
        <v>1.04379814</v>
      </c>
      <c r="M49" s="18" t="n">
        <v>0</v>
      </c>
      <c r="N49" s="20" t="n">
        <v>0</v>
      </c>
      <c r="O49" s="18" t="n">
        <v>0</v>
      </c>
      <c r="P49" s="20" t="n">
        <v>0</v>
      </c>
      <c r="Q49" s="18" t="n">
        <v>29.41492848</v>
      </c>
      <c r="R49" s="20" t="n">
        <v>2.54734768</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(2314.0/B55*100)</f>
        <v/>
      </c>
      <c r="D55" s="19" t="n">
        <v>445</v>
      </c>
      <c r="E55" s="18" t="n">
        <v>41.64671175</v>
      </c>
      <c r="F55" s="20" t="n">
        <v>2.59986441</v>
      </c>
      <c r="G55" s="18" t="n">
        <v>6.44193289</v>
      </c>
      <c r="H55" s="20" t="n">
        <v>1.0872995</v>
      </c>
      <c r="I55" s="18" t="s">
        <v>431</v>
      </c>
      <c r="J55" s="20" t="s">
        <v>431</v>
      </c>
      <c r="K55" s="18" t="n">
        <v>3.74937894</v>
      </c>
      <c r="L55" s="20" t="n">
        <v>0.82561514</v>
      </c>
      <c r="M55" s="18" t="n">
        <v>0</v>
      </c>
      <c r="N55" s="20" t="n">
        <v>0</v>
      </c>
      <c r="O55" s="18" t="n">
        <v>0.23332517</v>
      </c>
      <c r="P55" s="20" t="n">
        <v>0.21848416</v>
      </c>
      <c r="Q55" s="18" t="n">
        <v>47.92865124</v>
      </c>
      <c r="R55" s="20" t="n">
        <v>2.59774498</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67.99045384</v>
      </c>
      <c r="F57" s="20" t="n">
        <v>2.18066385</v>
      </c>
      <c r="G57" s="18" t="n">
        <v>17.21686559</v>
      </c>
      <c r="H57" s="20" t="n">
        <v>1.62141007</v>
      </c>
      <c r="I57" s="18" t="s">
        <v>431</v>
      </c>
      <c r="J57" s="20" t="s">
        <v>431</v>
      </c>
      <c r="K57" s="18" t="n">
        <v>3.36369207</v>
      </c>
      <c r="L57" s="20" t="n">
        <v>0.92457189</v>
      </c>
      <c r="M57" s="18" t="n">
        <v>0</v>
      </c>
      <c r="N57" s="20" t="n">
        <v>0</v>
      </c>
      <c r="O57" s="18" t="n">
        <v>0</v>
      </c>
      <c r="P57" s="20" t="n">
        <v>0</v>
      </c>
      <c r="Q57" s="18" t="n">
        <v>11.4289885</v>
      </c>
      <c r="R57" s="20" t="n">
        <v>1.74450587</v>
      </c>
    </row>
    <row r="58" spans="1:18">
      <c r="A58" s="15" t="s">
        <v>482</v>
      </c>
      <c r="B58" s="17" t="n">
        <v>3530</v>
      </c>
      <c r="C58" s="18">
        <f>(2943.0/B58*100)</f>
        <v/>
      </c>
      <c r="D58" s="19" t="n">
        <v>587</v>
      </c>
      <c r="E58" s="18" t="n">
        <v>51.78808963</v>
      </c>
      <c r="F58" s="20" t="n">
        <v>2.15720897</v>
      </c>
      <c r="G58" s="18" t="n">
        <v>12.54314714</v>
      </c>
      <c r="H58" s="20" t="n">
        <v>1.90677213</v>
      </c>
      <c r="I58" s="18" t="s">
        <v>431</v>
      </c>
      <c r="J58" s="20" t="s">
        <v>431</v>
      </c>
      <c r="K58" s="18" t="n">
        <v>7.24015196</v>
      </c>
      <c r="L58" s="20" t="n">
        <v>1.36622354</v>
      </c>
      <c r="M58" s="18" t="n">
        <v>0</v>
      </c>
      <c r="N58" s="20" t="n">
        <v>0</v>
      </c>
      <c r="O58" s="18" t="n">
        <v>0</v>
      </c>
      <c r="P58" s="20" t="n">
        <v>0</v>
      </c>
      <c r="Q58" s="18" t="n">
        <v>28.42861127</v>
      </c>
      <c r="R58" s="20" t="n">
        <v>2.37502137</v>
      </c>
    </row>
    <row r="59" spans="1:18">
      <c r="A59" s="15" t="s">
        <v>483</v>
      </c>
      <c r="B59" s="17" t="n">
        <v>2548</v>
      </c>
      <c r="C59" s="18">
        <f>(2124.0/B59*100)</f>
        <v/>
      </c>
      <c r="D59" s="19" t="n">
        <v>424</v>
      </c>
      <c r="E59" s="18" t="n">
        <v>64.10152539000001</v>
      </c>
      <c r="F59" s="20" t="n">
        <v>2.77463247</v>
      </c>
      <c r="G59" s="18" t="n">
        <v>3.02462952</v>
      </c>
      <c r="H59" s="20" t="n">
        <v>0.8973586099999999</v>
      </c>
      <c r="I59" s="18" t="s">
        <v>431</v>
      </c>
      <c r="J59" s="20" t="s">
        <v>431</v>
      </c>
      <c r="K59" s="18" t="n">
        <v>1.68815953</v>
      </c>
      <c r="L59" s="20" t="n">
        <v>0.81403547</v>
      </c>
      <c r="M59" s="18" t="n">
        <v>0</v>
      </c>
      <c r="N59" s="20" t="n">
        <v>0</v>
      </c>
      <c r="O59" s="18" t="n">
        <v>0</v>
      </c>
      <c r="P59" s="20" t="n">
        <v>0</v>
      </c>
      <c r="Q59" s="18" t="n">
        <v>31.18568556</v>
      </c>
      <c r="R59" s="20" t="n">
        <v>2.63320487</v>
      </c>
    </row>
    <row r="60" spans="1:18">
      <c r="A60" s="15" t="s">
        <v>484</v>
      </c>
      <c r="B60" s="17" t="n">
        <v>2095</v>
      </c>
      <c r="C60" s="18">
        <f>(1743.0/B60*100)</f>
        <v/>
      </c>
      <c r="D60" s="19" t="n">
        <v>352</v>
      </c>
      <c r="E60" s="18" t="n">
        <v>40.88598818</v>
      </c>
      <c r="F60" s="20" t="n">
        <v>2.75876041</v>
      </c>
      <c r="G60" s="18" t="n">
        <v>5.22954004</v>
      </c>
      <c r="H60" s="20" t="n">
        <v>1.41359339</v>
      </c>
      <c r="I60" s="18" t="s">
        <v>431</v>
      </c>
      <c r="J60" s="20" t="s">
        <v>431</v>
      </c>
      <c r="K60" s="18" t="n">
        <v>13.90816386</v>
      </c>
      <c r="L60" s="20" t="n">
        <v>2.04407737</v>
      </c>
      <c r="M60" s="18" t="n">
        <v>0</v>
      </c>
      <c r="N60" s="20" t="n">
        <v>0</v>
      </c>
      <c r="O60" s="18" t="n">
        <v>0</v>
      </c>
      <c r="P60" s="20" t="n">
        <v>0</v>
      </c>
      <c r="Q60" s="18" t="n">
        <v>39.97630791</v>
      </c>
      <c r="R60" s="20" t="n">
        <v>2.65026224</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(2353.0/B63*100)</f>
        <v/>
      </c>
      <c r="D63" s="19" t="n">
        <v>460</v>
      </c>
      <c r="E63" s="18" t="n">
        <v>38.81548727</v>
      </c>
      <c r="F63" s="20" t="n">
        <v>2.32070974</v>
      </c>
      <c r="G63" s="18" t="n">
        <v>3.82403404</v>
      </c>
      <c r="H63" s="20" t="n">
        <v>0.98169078</v>
      </c>
      <c r="I63" s="18" t="s">
        <v>431</v>
      </c>
      <c r="J63" s="20" t="s">
        <v>431</v>
      </c>
      <c r="K63" s="18" t="n">
        <v>6.44262188</v>
      </c>
      <c r="L63" s="20" t="n">
        <v>1.2605613</v>
      </c>
      <c r="M63" s="18" t="n">
        <v>0</v>
      </c>
      <c r="N63" s="20" t="n">
        <v>0</v>
      </c>
      <c r="O63" s="18" t="n">
        <v>0</v>
      </c>
      <c r="P63" s="20" t="n">
        <v>0</v>
      </c>
      <c r="Q63" s="18" t="n">
        <v>50.91785681</v>
      </c>
      <c r="R63" s="20" t="n">
        <v>2.27164974</v>
      </c>
    </row>
    <row r="64" spans="1:18">
      <c r="A64" s="15" t="s">
        <v>488</v>
      </c>
      <c r="B64" s="17" t="n">
        <v>1844</v>
      </c>
      <c r="C64" s="18">
        <f>(1531.0/B64*100)</f>
        <v/>
      </c>
      <c r="D64" s="19" t="n">
        <v>313</v>
      </c>
      <c r="E64" s="18" t="n">
        <v>52.32227272</v>
      </c>
      <c r="F64" s="20" t="n">
        <v>2.90961616</v>
      </c>
      <c r="G64" s="18" t="n">
        <v>10.0453617</v>
      </c>
      <c r="H64" s="20" t="n">
        <v>1.44812368</v>
      </c>
      <c r="I64" s="18" t="s">
        <v>431</v>
      </c>
      <c r="J64" s="20" t="s">
        <v>431</v>
      </c>
      <c r="K64" s="18" t="n">
        <v>5.56582072</v>
      </c>
      <c r="L64" s="20" t="n">
        <v>1.36994977</v>
      </c>
      <c r="M64" s="18" t="n">
        <v>0</v>
      </c>
      <c r="N64" s="20" t="n">
        <v>0</v>
      </c>
      <c r="O64" s="18" t="n">
        <v>0</v>
      </c>
      <c r="P64" s="20" t="n">
        <v>0</v>
      </c>
      <c r="Q64" s="18" t="n">
        <v>32.06654486</v>
      </c>
      <c r="R64" s="20" t="n">
        <v>3.0229659</v>
      </c>
    </row>
    <row r="65" spans="1:18">
      <c r="A65" s="15" t="s">
        <v>489</v>
      </c>
      <c r="B65" s="17" t="n">
        <v>2691</v>
      </c>
      <c r="C65" s="18">
        <f>(2241.0/B65*100)</f>
        <v/>
      </c>
      <c r="D65" s="19" t="n">
        <v>450</v>
      </c>
      <c r="E65" s="18" t="n">
        <v>33.88120926</v>
      </c>
      <c r="F65" s="20" t="n">
        <v>2.36777952</v>
      </c>
      <c r="G65" s="18" t="n">
        <v>7.25565078</v>
      </c>
      <c r="H65" s="20" t="n">
        <v>1.36047782</v>
      </c>
      <c r="I65" s="18" t="s">
        <v>431</v>
      </c>
      <c r="J65" s="20" t="s">
        <v>431</v>
      </c>
      <c r="K65" s="18" t="n">
        <v>10.29711866</v>
      </c>
      <c r="L65" s="20" t="n">
        <v>1.55424104</v>
      </c>
      <c r="M65" s="18" t="n">
        <v>0</v>
      </c>
      <c r="N65" s="20" t="n">
        <v>0</v>
      </c>
      <c r="O65" s="18" t="n">
        <v>0</v>
      </c>
      <c r="P65" s="20" t="n">
        <v>0</v>
      </c>
      <c r="Q65" s="18" t="n">
        <v>48.56602131</v>
      </c>
      <c r="R65" s="20" t="n">
        <v>2.57907207</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(2029.0/B69*100)</f>
        <v/>
      </c>
      <c r="D69" s="19" t="n">
        <v>381</v>
      </c>
      <c r="E69" s="18" t="n">
        <v>57.20627852</v>
      </c>
      <c r="F69" s="20" t="n">
        <v>2.61287155</v>
      </c>
      <c r="G69" s="18" t="n">
        <v>39.69166358</v>
      </c>
      <c r="H69" s="20" t="n">
        <v>2.57261816</v>
      </c>
      <c r="I69" s="18" t="s">
        <v>431</v>
      </c>
      <c r="J69" s="20" t="s">
        <v>431</v>
      </c>
      <c r="K69" s="18" t="n">
        <v>0.25645587</v>
      </c>
      <c r="L69" s="20" t="n">
        <v>0.25552472</v>
      </c>
      <c r="M69" s="18" t="n">
        <v>0</v>
      </c>
      <c r="N69" s="20" t="n">
        <v>0</v>
      </c>
      <c r="O69" s="18" t="n">
        <v>0</v>
      </c>
      <c r="P69" s="20" t="n">
        <v>0</v>
      </c>
      <c r="Q69" s="18" t="n">
        <v>2.84560203</v>
      </c>
      <c r="R69" s="20" t="n">
        <v>0.82420505</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(1846.0/B74*100)</f>
        <v/>
      </c>
      <c r="D74" s="19" t="n">
        <v>393</v>
      </c>
      <c r="E74" s="18" t="n">
        <v>34.22668173</v>
      </c>
      <c r="F74" s="20" t="n">
        <v>2.69316228</v>
      </c>
      <c r="G74" s="18" t="n">
        <v>9.382344140000001</v>
      </c>
      <c r="H74" s="20" t="n">
        <v>1.48549048</v>
      </c>
      <c r="I74" s="18" t="s">
        <v>431</v>
      </c>
      <c r="J74" s="20" t="s">
        <v>431</v>
      </c>
      <c r="K74" s="18" t="n">
        <v>14.38840783</v>
      </c>
      <c r="L74" s="20" t="n">
        <v>1.91629438</v>
      </c>
      <c r="M74" s="18" t="n">
        <v>0</v>
      </c>
      <c r="N74" s="20" t="n">
        <v>0</v>
      </c>
      <c r="O74" s="18" t="n">
        <v>0</v>
      </c>
      <c r="P74" s="20" t="n">
        <v>0</v>
      </c>
      <c r="Q74" s="18" t="n">
        <v>42.0025663</v>
      </c>
      <c r="R74" s="20" t="n">
        <v>2.5815532</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(2338.0/B78*100)</f>
        <v/>
      </c>
      <c r="D78" s="19" t="n">
        <v>448</v>
      </c>
      <c r="E78" s="18" t="n">
        <v>90.16175457</v>
      </c>
      <c r="F78" s="20" t="n">
        <v>1.53951744</v>
      </c>
      <c r="G78" s="18" t="n">
        <v>6.46765431</v>
      </c>
      <c r="H78" s="20" t="n">
        <v>1.54285282</v>
      </c>
      <c r="I78" s="18" t="s">
        <v>431</v>
      </c>
      <c r="J78" s="20" t="s">
        <v>431</v>
      </c>
      <c r="K78" s="18" t="n">
        <v>0.16404464</v>
      </c>
      <c r="L78" s="20" t="n">
        <v>0.11709005</v>
      </c>
      <c r="M78" s="18" t="n">
        <v>0</v>
      </c>
      <c r="N78" s="20" t="n">
        <v>0</v>
      </c>
      <c r="O78" s="18" t="n">
        <v>0</v>
      </c>
      <c r="P78" s="20" t="n">
        <v>0</v>
      </c>
      <c r="Q78" s="18" t="n">
        <v>3.20654648</v>
      </c>
      <c r="R78" s="20" t="n">
        <v>1.18688377</v>
      </c>
    </row>
    <row customHeight="1" ht="25" r="79" spans="1:18">
      <c r="A79" s="15" t="s">
        <v>503</v>
      </c>
      <c r="B79" s="17" t="n">
        <v>787</v>
      </c>
      <c r="C79" s="18">
        <f>(669.0/B79*100)</f>
        <v/>
      </c>
      <c r="D79" s="19" t="n">
        <v>118</v>
      </c>
      <c r="E79" s="18" t="n">
        <v>58.72441763</v>
      </c>
      <c r="F79" s="20" t="n">
        <v>4.47152257</v>
      </c>
      <c r="G79" s="18" t="n">
        <v>18.68273087</v>
      </c>
      <c r="H79" s="20" t="n">
        <v>4.01431454</v>
      </c>
      <c r="I79" s="18" t="s">
        <v>431</v>
      </c>
      <c r="J79" s="20" t="s">
        <v>431</v>
      </c>
      <c r="K79" s="18" t="n">
        <v>3.25183194</v>
      </c>
      <c r="L79" s="20" t="n">
        <v>1.67642477</v>
      </c>
      <c r="M79" s="18" t="n">
        <v>0</v>
      </c>
      <c r="N79" s="20" t="n">
        <v>0</v>
      </c>
      <c r="O79" s="18" t="n">
        <v>0</v>
      </c>
      <c r="P79" s="20" t="n">
        <v>0</v>
      </c>
      <c r="Q79" s="18" t="n">
        <v>19.34101956</v>
      </c>
      <c r="R79" s="20" t="n">
        <v>3.66931589</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(2075.0/B44*100)</f>
        <v/>
      </c>
      <c r="D44" s="19" t="n">
        <v>449</v>
      </c>
      <c r="E44" s="18" t="n">
        <v>61.21848033</v>
      </c>
      <c r="F44" s="20" t="n">
        <v>3.12384388</v>
      </c>
      <c r="G44" s="18" t="n">
        <v>9.10823592</v>
      </c>
      <c r="H44" s="20" t="n">
        <v>1.73621178</v>
      </c>
      <c r="I44" s="18" t="s">
        <v>431</v>
      </c>
      <c r="J44" s="20" t="s">
        <v>431</v>
      </c>
      <c r="K44" s="18" t="n">
        <v>8.202804649999999</v>
      </c>
      <c r="L44" s="20" t="n">
        <v>1.42025364</v>
      </c>
      <c r="M44" s="18" t="n">
        <v>0</v>
      </c>
      <c r="N44" s="20" t="n">
        <v>0</v>
      </c>
      <c r="O44" s="18" t="n">
        <v>0</v>
      </c>
      <c r="P44" s="20" t="n">
        <v>0</v>
      </c>
      <c r="Q44" s="18" t="n">
        <v>21.4704791</v>
      </c>
      <c r="R44" s="20" t="n">
        <v>2.10989351</v>
      </c>
    </row>
    <row r="45" spans="1:18">
      <c r="A45" s="15" t="s">
        <v>469</v>
      </c>
      <c r="B45" s="17" t="n">
        <v>2849</v>
      </c>
      <c r="C45" s="18">
        <f>(2371.0/B45*100)</f>
        <v/>
      </c>
      <c r="D45" s="19" t="n">
        <v>478</v>
      </c>
      <c r="E45" s="18" t="n">
        <v>56.28665682</v>
      </c>
      <c r="F45" s="20" t="n">
        <v>2.61401259</v>
      </c>
      <c r="G45" s="18" t="n">
        <v>1.94383535</v>
      </c>
      <c r="H45" s="20" t="n">
        <v>0.65492745</v>
      </c>
      <c r="I45" s="18" t="s">
        <v>431</v>
      </c>
      <c r="J45" s="20" t="s">
        <v>431</v>
      </c>
      <c r="K45" s="18" t="n">
        <v>11.74031615</v>
      </c>
      <c r="L45" s="20" t="n">
        <v>1.61014369</v>
      </c>
      <c r="M45" s="18" t="n">
        <v>0.42149794</v>
      </c>
      <c r="N45" s="20" t="n">
        <v>0.26861757</v>
      </c>
      <c r="O45" s="18" t="n">
        <v>0</v>
      </c>
      <c r="P45" s="20" t="n">
        <v>0</v>
      </c>
      <c r="Q45" s="18" t="n">
        <v>29.60769374</v>
      </c>
      <c r="R45" s="20" t="n">
        <v>2.35817225</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(2529.0/B49*100)</f>
        <v/>
      </c>
      <c r="D49" s="19" t="n">
        <v>489</v>
      </c>
      <c r="E49" s="18" t="n">
        <v>61.04707216</v>
      </c>
      <c r="F49" s="20" t="n">
        <v>2.5201348</v>
      </c>
      <c r="G49" s="18" t="n">
        <v>10.96373443</v>
      </c>
      <c r="H49" s="20" t="n">
        <v>1.56115835</v>
      </c>
      <c r="I49" s="18" t="s">
        <v>431</v>
      </c>
      <c r="J49" s="20" t="s">
        <v>431</v>
      </c>
      <c r="K49" s="18" t="n">
        <v>5.56866007</v>
      </c>
      <c r="L49" s="20" t="n">
        <v>1.04904542</v>
      </c>
      <c r="M49" s="18" t="n">
        <v>0</v>
      </c>
      <c r="N49" s="20" t="n">
        <v>0</v>
      </c>
      <c r="O49" s="18" t="n">
        <v>0</v>
      </c>
      <c r="P49" s="20" t="n">
        <v>0</v>
      </c>
      <c r="Q49" s="18" t="n">
        <v>22.42053333</v>
      </c>
      <c r="R49" s="20" t="n">
        <v>2.01899742</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(2314.0/B55*100)</f>
        <v/>
      </c>
      <c r="D55" s="19" t="n">
        <v>445</v>
      </c>
      <c r="E55" s="18" t="n">
        <v>52.71451369</v>
      </c>
      <c r="F55" s="20" t="n">
        <v>2.78888567</v>
      </c>
      <c r="G55" s="18" t="n">
        <v>8.30627357</v>
      </c>
      <c r="H55" s="20" t="n">
        <v>1.32382334</v>
      </c>
      <c r="I55" s="18" t="s">
        <v>431</v>
      </c>
      <c r="J55" s="20" t="s">
        <v>431</v>
      </c>
      <c r="K55" s="18" t="n">
        <v>3.9683573</v>
      </c>
      <c r="L55" s="20" t="n">
        <v>0.84779302</v>
      </c>
      <c r="M55" s="18" t="n">
        <v>0</v>
      </c>
      <c r="N55" s="20" t="n">
        <v>0</v>
      </c>
      <c r="O55" s="18" t="n">
        <v>0</v>
      </c>
      <c r="P55" s="20" t="n">
        <v>0</v>
      </c>
      <c r="Q55" s="18" t="n">
        <v>35.01085544</v>
      </c>
      <c r="R55" s="20" t="n">
        <v>2.33027763</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66.08740453999999</v>
      </c>
      <c r="F57" s="20" t="n">
        <v>2.36636822</v>
      </c>
      <c r="G57" s="18" t="n">
        <v>25.53076315</v>
      </c>
      <c r="H57" s="20" t="n">
        <v>2.32835159</v>
      </c>
      <c r="I57" s="18" t="s">
        <v>431</v>
      </c>
      <c r="J57" s="20" t="s">
        <v>431</v>
      </c>
      <c r="K57" s="18" t="n">
        <v>3.5482554</v>
      </c>
      <c r="L57" s="20" t="n">
        <v>0.93844832</v>
      </c>
      <c r="M57" s="18" t="n">
        <v>0</v>
      </c>
      <c r="N57" s="20" t="n">
        <v>0</v>
      </c>
      <c r="O57" s="18" t="n">
        <v>0</v>
      </c>
      <c r="P57" s="20" t="n">
        <v>0</v>
      </c>
      <c r="Q57" s="18" t="n">
        <v>4.83357692</v>
      </c>
      <c r="R57" s="20" t="n">
        <v>1.17284231</v>
      </c>
    </row>
    <row r="58" spans="1:18">
      <c r="A58" s="15" t="s">
        <v>482</v>
      </c>
      <c r="B58" s="17" t="n">
        <v>3530</v>
      </c>
      <c r="C58" s="18">
        <f>(2943.0/B58*100)</f>
        <v/>
      </c>
      <c r="D58" s="19" t="n">
        <v>587</v>
      </c>
      <c r="E58" s="18" t="n">
        <v>56.50566835</v>
      </c>
      <c r="F58" s="20" t="n">
        <v>2.35218669</v>
      </c>
      <c r="G58" s="18" t="n">
        <v>19.80658749</v>
      </c>
      <c r="H58" s="20" t="n">
        <v>1.99047369</v>
      </c>
      <c r="I58" s="18" t="s">
        <v>431</v>
      </c>
      <c r="J58" s="20" t="s">
        <v>431</v>
      </c>
      <c r="K58" s="18" t="n">
        <v>7.24015196</v>
      </c>
      <c r="L58" s="20" t="n">
        <v>1.36622354</v>
      </c>
      <c r="M58" s="18" t="n">
        <v>0</v>
      </c>
      <c r="N58" s="20" t="n">
        <v>0</v>
      </c>
      <c r="O58" s="18" t="n">
        <v>0</v>
      </c>
      <c r="P58" s="20" t="n">
        <v>0</v>
      </c>
      <c r="Q58" s="18" t="n">
        <v>16.4475922</v>
      </c>
      <c r="R58" s="20" t="n">
        <v>1.99371503</v>
      </c>
    </row>
    <row r="59" spans="1:18">
      <c r="A59" s="15" t="s">
        <v>483</v>
      </c>
      <c r="B59" s="17" t="n">
        <v>2548</v>
      </c>
      <c r="C59" s="18">
        <f>(2124.0/B59*100)</f>
        <v/>
      </c>
      <c r="D59" s="19" t="n">
        <v>424</v>
      </c>
      <c r="E59" s="18" t="n">
        <v>75.7289583</v>
      </c>
      <c r="F59" s="20" t="n">
        <v>2.59093045</v>
      </c>
      <c r="G59" s="18" t="n">
        <v>3.1583997</v>
      </c>
      <c r="H59" s="20" t="n">
        <v>1.03828347</v>
      </c>
      <c r="I59" s="18" t="s">
        <v>431</v>
      </c>
      <c r="J59" s="20" t="s">
        <v>431</v>
      </c>
      <c r="K59" s="18" t="n">
        <v>1.68815953</v>
      </c>
      <c r="L59" s="20" t="n">
        <v>0.81403547</v>
      </c>
      <c r="M59" s="18" t="n">
        <v>0</v>
      </c>
      <c r="N59" s="20" t="n">
        <v>0</v>
      </c>
      <c r="O59" s="18" t="n">
        <v>0</v>
      </c>
      <c r="P59" s="20" t="n">
        <v>0</v>
      </c>
      <c r="Q59" s="18" t="n">
        <v>19.42448247</v>
      </c>
      <c r="R59" s="20" t="n">
        <v>2.36192359</v>
      </c>
    </row>
    <row r="60" spans="1:18">
      <c r="A60" s="15" t="s">
        <v>484</v>
      </c>
      <c r="B60" s="17" t="n">
        <v>2095</v>
      </c>
      <c r="C60" s="18">
        <f>(1743.0/B60*100)</f>
        <v/>
      </c>
      <c r="D60" s="19" t="n">
        <v>352</v>
      </c>
      <c r="E60" s="18" t="n">
        <v>39.74155103</v>
      </c>
      <c r="F60" s="20" t="n">
        <v>2.92302074</v>
      </c>
      <c r="G60" s="18" t="n">
        <v>17.99360692</v>
      </c>
      <c r="H60" s="20" t="n">
        <v>2.01030472</v>
      </c>
      <c r="I60" s="18" t="s">
        <v>431</v>
      </c>
      <c r="J60" s="20" t="s">
        <v>431</v>
      </c>
      <c r="K60" s="18" t="n">
        <v>13.90816386</v>
      </c>
      <c r="L60" s="20" t="n">
        <v>2.04407737</v>
      </c>
      <c r="M60" s="18" t="n">
        <v>0</v>
      </c>
      <c r="N60" s="20" t="n">
        <v>0</v>
      </c>
      <c r="O60" s="18" t="n">
        <v>0</v>
      </c>
      <c r="P60" s="20" t="n">
        <v>0</v>
      </c>
      <c r="Q60" s="18" t="n">
        <v>28.35667819</v>
      </c>
      <c r="R60" s="20" t="n">
        <v>2.7350919</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(2353.0/B63*100)</f>
        <v/>
      </c>
      <c r="D63" s="19" t="n">
        <v>460</v>
      </c>
      <c r="E63" s="18" t="n">
        <v>42.64496687</v>
      </c>
      <c r="F63" s="20" t="n">
        <v>2.70856561</v>
      </c>
      <c r="G63" s="18" t="n">
        <v>11.46523323</v>
      </c>
      <c r="H63" s="20" t="n">
        <v>1.53565496</v>
      </c>
      <c r="I63" s="18" t="s">
        <v>431</v>
      </c>
      <c r="J63" s="20" t="s">
        <v>431</v>
      </c>
      <c r="K63" s="18" t="n">
        <v>6.67093702</v>
      </c>
      <c r="L63" s="20" t="n">
        <v>1.2313362</v>
      </c>
      <c r="M63" s="18" t="n">
        <v>0</v>
      </c>
      <c r="N63" s="20" t="n">
        <v>0</v>
      </c>
      <c r="O63" s="18" t="n">
        <v>0</v>
      </c>
      <c r="P63" s="20" t="n">
        <v>0</v>
      </c>
      <c r="Q63" s="18" t="n">
        <v>39.21886289</v>
      </c>
      <c r="R63" s="20" t="n">
        <v>2.35470267</v>
      </c>
    </row>
    <row r="64" spans="1:18">
      <c r="A64" s="15" t="s">
        <v>488</v>
      </c>
      <c r="B64" s="17" t="n">
        <v>1844</v>
      </c>
      <c r="C64" s="18">
        <f>(1531.0/B64*100)</f>
        <v/>
      </c>
      <c r="D64" s="19" t="n">
        <v>313</v>
      </c>
      <c r="E64" s="18" t="n">
        <v>40.28746332</v>
      </c>
      <c r="F64" s="20" t="n">
        <v>2.5827117</v>
      </c>
      <c r="G64" s="18" t="n">
        <v>39.67112461</v>
      </c>
      <c r="H64" s="20" t="n">
        <v>2.9767598</v>
      </c>
      <c r="I64" s="18" t="s">
        <v>431</v>
      </c>
      <c r="J64" s="20" t="s">
        <v>431</v>
      </c>
      <c r="K64" s="18" t="n">
        <v>5.56582072</v>
      </c>
      <c r="L64" s="20" t="n">
        <v>1.36994977</v>
      </c>
      <c r="M64" s="18" t="n">
        <v>0</v>
      </c>
      <c r="N64" s="20" t="n">
        <v>0</v>
      </c>
      <c r="O64" s="18" t="n">
        <v>0</v>
      </c>
      <c r="P64" s="20" t="n">
        <v>0</v>
      </c>
      <c r="Q64" s="18" t="n">
        <v>14.47559135</v>
      </c>
      <c r="R64" s="20" t="n">
        <v>2.02916125</v>
      </c>
    </row>
    <row r="65" spans="1:18">
      <c r="A65" s="15" t="s">
        <v>489</v>
      </c>
      <c r="B65" s="17" t="n">
        <v>2691</v>
      </c>
      <c r="C65" s="18">
        <f>(2241.0/B65*100)</f>
        <v/>
      </c>
      <c r="D65" s="19" t="n">
        <v>450</v>
      </c>
      <c r="E65" s="18" t="n">
        <v>44.59595846</v>
      </c>
      <c r="F65" s="20" t="n">
        <v>2.41645723</v>
      </c>
      <c r="G65" s="18" t="n">
        <v>11.23100313</v>
      </c>
      <c r="H65" s="20" t="n">
        <v>1.62898173</v>
      </c>
      <c r="I65" s="18" t="s">
        <v>431</v>
      </c>
      <c r="J65" s="20" t="s">
        <v>431</v>
      </c>
      <c r="K65" s="18" t="n">
        <v>10.29711866</v>
      </c>
      <c r="L65" s="20" t="n">
        <v>1.55424104</v>
      </c>
      <c r="M65" s="18" t="n">
        <v>0</v>
      </c>
      <c r="N65" s="20" t="n">
        <v>0</v>
      </c>
      <c r="O65" s="18" t="n">
        <v>0</v>
      </c>
      <c r="P65" s="20" t="n">
        <v>0</v>
      </c>
      <c r="Q65" s="18" t="n">
        <v>33.87591975</v>
      </c>
      <c r="R65" s="20" t="n">
        <v>2.30063587</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(2029.0/B69*100)</f>
        <v/>
      </c>
      <c r="D69" s="19" t="n">
        <v>381</v>
      </c>
      <c r="E69" s="18" t="n">
        <v>63.11684421</v>
      </c>
      <c r="F69" s="20" t="n">
        <v>2.70309195</v>
      </c>
      <c r="G69" s="18" t="n">
        <v>34.71118969</v>
      </c>
      <c r="H69" s="20" t="n">
        <v>2.47703993</v>
      </c>
      <c r="I69" s="18" t="s">
        <v>431</v>
      </c>
      <c r="J69" s="20" t="s">
        <v>431</v>
      </c>
      <c r="K69" s="18" t="n">
        <v>0.25645587</v>
      </c>
      <c r="L69" s="20" t="n">
        <v>0.25552472</v>
      </c>
      <c r="M69" s="18" t="n">
        <v>0</v>
      </c>
      <c r="N69" s="20" t="n">
        <v>0</v>
      </c>
      <c r="O69" s="18" t="n">
        <v>0</v>
      </c>
      <c r="P69" s="20" t="n">
        <v>0</v>
      </c>
      <c r="Q69" s="18" t="n">
        <v>1.91551023</v>
      </c>
      <c r="R69" s="20" t="n">
        <v>0.75901501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(1846.0/B74*100)</f>
        <v/>
      </c>
      <c r="D74" s="19" t="n">
        <v>393</v>
      </c>
      <c r="E74" s="18" t="n">
        <v>39.40705796</v>
      </c>
      <c r="F74" s="20" t="n">
        <v>2.65424611</v>
      </c>
      <c r="G74" s="18" t="n">
        <v>24.68398304</v>
      </c>
      <c r="H74" s="20" t="n">
        <v>2.62568581</v>
      </c>
      <c r="I74" s="18" t="s">
        <v>431</v>
      </c>
      <c r="J74" s="20" t="s">
        <v>431</v>
      </c>
      <c r="K74" s="18" t="n">
        <v>14.5119628</v>
      </c>
      <c r="L74" s="20" t="n">
        <v>1.91986832</v>
      </c>
      <c r="M74" s="18" t="n">
        <v>0</v>
      </c>
      <c r="N74" s="20" t="n">
        <v>0</v>
      </c>
      <c r="O74" s="18" t="n">
        <v>0</v>
      </c>
      <c r="P74" s="20" t="n">
        <v>0</v>
      </c>
      <c r="Q74" s="18" t="n">
        <v>21.3969962</v>
      </c>
      <c r="R74" s="20" t="n">
        <v>2.29453436</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(2338.0/B78*100)</f>
        <v/>
      </c>
      <c r="D78" s="19" t="n">
        <v>448</v>
      </c>
      <c r="E78" s="18" t="n">
        <v>77.60258301</v>
      </c>
      <c r="F78" s="20" t="n">
        <v>2.29644628</v>
      </c>
      <c r="G78" s="18" t="n">
        <v>19.56506964</v>
      </c>
      <c r="H78" s="20" t="n">
        <v>2.13285619</v>
      </c>
      <c r="I78" s="18" t="s">
        <v>431</v>
      </c>
      <c r="J78" s="20" t="s">
        <v>431</v>
      </c>
      <c r="K78" s="18" t="n">
        <v>0.16404464</v>
      </c>
      <c r="L78" s="20" t="n">
        <v>0.11709005</v>
      </c>
      <c r="M78" s="18" t="n">
        <v>0</v>
      </c>
      <c r="N78" s="20" t="n">
        <v>0</v>
      </c>
      <c r="O78" s="18" t="n">
        <v>0</v>
      </c>
      <c r="P78" s="20" t="n">
        <v>0</v>
      </c>
      <c r="Q78" s="18" t="n">
        <v>2.66830271</v>
      </c>
      <c r="R78" s="20" t="n">
        <v>1.13891179</v>
      </c>
    </row>
    <row customHeight="1" ht="25" r="79" spans="1:18">
      <c r="A79" s="15" t="s">
        <v>503</v>
      </c>
      <c r="B79" s="17" t="n">
        <v>787</v>
      </c>
      <c r="C79" s="18">
        <f>(669.0/B79*100)</f>
        <v/>
      </c>
      <c r="D79" s="19" t="n">
        <v>118</v>
      </c>
      <c r="E79" s="18" t="n">
        <v>53.2690999</v>
      </c>
      <c r="F79" s="20" t="n">
        <v>5.13677614</v>
      </c>
      <c r="G79" s="18" t="n">
        <v>30.84410741</v>
      </c>
      <c r="H79" s="20" t="n">
        <v>4.5389161</v>
      </c>
      <c r="I79" s="18" t="s">
        <v>431</v>
      </c>
      <c r="J79" s="20" t="s">
        <v>431</v>
      </c>
      <c r="K79" s="18" t="n">
        <v>3.25183194</v>
      </c>
      <c r="L79" s="20" t="n">
        <v>1.67642477</v>
      </c>
      <c r="M79" s="18" t="n">
        <v>0</v>
      </c>
      <c r="N79" s="20" t="n">
        <v>0</v>
      </c>
      <c r="O79" s="18" t="n">
        <v>0</v>
      </c>
      <c r="P79" s="20" t="n">
        <v>0</v>
      </c>
      <c r="Q79" s="18" t="n">
        <v>12.63496075</v>
      </c>
      <c r="R79" s="20" t="n">
        <v>2.93941104</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(2075.0/B44*100)</f>
        <v/>
      </c>
      <c r="D44" s="19" t="n">
        <v>449</v>
      </c>
      <c r="E44" s="18" t="n">
        <v>30.64006877</v>
      </c>
      <c r="F44" s="20" t="n">
        <v>3.02248762</v>
      </c>
      <c r="G44" s="18" t="n">
        <v>53.57797612</v>
      </c>
      <c r="H44" s="20" t="n">
        <v>2.9693174</v>
      </c>
      <c r="I44" s="18" t="s">
        <v>431</v>
      </c>
      <c r="J44" s="20" t="s">
        <v>431</v>
      </c>
      <c r="K44" s="18" t="n">
        <v>8.59797433</v>
      </c>
      <c r="L44" s="20" t="n">
        <v>1.48710251</v>
      </c>
      <c r="M44" s="18" t="n">
        <v>0</v>
      </c>
      <c r="N44" s="20" t="n">
        <v>0</v>
      </c>
      <c r="O44" s="18" t="n">
        <v>1.76180919</v>
      </c>
      <c r="P44" s="20" t="n">
        <v>0.79551144</v>
      </c>
      <c r="Q44" s="18" t="n">
        <v>5.42217159</v>
      </c>
      <c r="R44" s="20" t="n">
        <v>1.35885459</v>
      </c>
    </row>
    <row r="45" spans="1:18">
      <c r="A45" s="15" t="s">
        <v>469</v>
      </c>
      <c r="B45" s="17" t="n">
        <v>2849</v>
      </c>
      <c r="C45" s="18">
        <f>(2371.0/B45*100)</f>
        <v/>
      </c>
      <c r="D45" s="19" t="n">
        <v>478</v>
      </c>
      <c r="E45" s="18" t="n">
        <v>38.69639076</v>
      </c>
      <c r="F45" s="20" t="n">
        <v>2.19737852</v>
      </c>
      <c r="G45" s="18" t="n">
        <v>42.15603654</v>
      </c>
      <c r="H45" s="20" t="n">
        <v>2.20895785</v>
      </c>
      <c r="I45" s="18" t="s">
        <v>431</v>
      </c>
      <c r="J45" s="20" t="s">
        <v>431</v>
      </c>
      <c r="K45" s="18" t="n">
        <v>12.29304358</v>
      </c>
      <c r="L45" s="20" t="n">
        <v>1.60940483</v>
      </c>
      <c r="M45" s="18" t="n">
        <v>0</v>
      </c>
      <c r="N45" s="20" t="n">
        <v>0</v>
      </c>
      <c r="O45" s="18" t="n">
        <v>2.5202724</v>
      </c>
      <c r="P45" s="20" t="n">
        <v>0.69430952</v>
      </c>
      <c r="Q45" s="18" t="n">
        <v>4.33425673</v>
      </c>
      <c r="R45" s="20" t="n">
        <v>0.97933579</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(2529.0/B49*100)</f>
        <v/>
      </c>
      <c r="D49" s="19" t="n">
        <v>489</v>
      </c>
      <c r="E49" s="18" t="n">
        <v>23.03076237</v>
      </c>
      <c r="F49" s="20" t="n">
        <v>2.60806878</v>
      </c>
      <c r="G49" s="18" t="n">
        <v>67.80889911</v>
      </c>
      <c r="H49" s="20" t="n">
        <v>2.53552085</v>
      </c>
      <c r="I49" s="18" t="s">
        <v>431</v>
      </c>
      <c r="J49" s="20" t="s">
        <v>431</v>
      </c>
      <c r="K49" s="18" t="n">
        <v>5.56866007</v>
      </c>
      <c r="L49" s="20" t="n">
        <v>1.04904542</v>
      </c>
      <c r="M49" s="18" t="n">
        <v>0</v>
      </c>
      <c r="N49" s="20" t="n">
        <v>0</v>
      </c>
      <c r="O49" s="18" t="n">
        <v>0.07132868000000001</v>
      </c>
      <c r="P49" s="20" t="n">
        <v>0.06720586000000001</v>
      </c>
      <c r="Q49" s="18" t="n">
        <v>3.52034976</v>
      </c>
      <c r="R49" s="20" t="n">
        <v>0.89047548</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(2314.0/B55*100)</f>
        <v/>
      </c>
      <c r="D55" s="19" t="n">
        <v>445</v>
      </c>
      <c r="E55" s="18" t="n">
        <v>27.53187832</v>
      </c>
      <c r="F55" s="20" t="n">
        <v>2.26103514</v>
      </c>
      <c r="G55" s="18" t="n">
        <v>63.28724725</v>
      </c>
      <c r="H55" s="20" t="n">
        <v>2.48977407</v>
      </c>
      <c r="I55" s="18" t="s">
        <v>431</v>
      </c>
      <c r="J55" s="20" t="s">
        <v>431</v>
      </c>
      <c r="K55" s="18" t="n">
        <v>3.9683573</v>
      </c>
      <c r="L55" s="20" t="n">
        <v>0.84779302</v>
      </c>
      <c r="M55" s="18" t="n">
        <v>0</v>
      </c>
      <c r="N55" s="20" t="n">
        <v>0</v>
      </c>
      <c r="O55" s="18" t="n">
        <v>0.19199453</v>
      </c>
      <c r="P55" s="20" t="n">
        <v>0.19164883</v>
      </c>
      <c r="Q55" s="18" t="n">
        <v>5.02052261</v>
      </c>
      <c r="R55" s="20" t="n">
        <v>1.06903144</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36.31404802</v>
      </c>
      <c r="F57" s="20" t="n">
        <v>2.47508267</v>
      </c>
      <c r="G57" s="18" t="n">
        <v>58.20341851</v>
      </c>
      <c r="H57" s="20" t="n">
        <v>2.55734221</v>
      </c>
      <c r="I57" s="18" t="s">
        <v>431</v>
      </c>
      <c r="J57" s="20" t="s">
        <v>431</v>
      </c>
      <c r="K57" s="18" t="n">
        <v>3.65927051</v>
      </c>
      <c r="L57" s="20" t="n">
        <v>0.94270425</v>
      </c>
      <c r="M57" s="18" t="n">
        <v>0</v>
      </c>
      <c r="N57" s="20" t="n">
        <v>0</v>
      </c>
      <c r="O57" s="18" t="n">
        <v>0</v>
      </c>
      <c r="P57" s="20" t="n">
        <v>0</v>
      </c>
      <c r="Q57" s="18" t="n">
        <v>1.82326297</v>
      </c>
      <c r="R57" s="20" t="n">
        <v>0.65266909</v>
      </c>
    </row>
    <row r="58" spans="1:18">
      <c r="A58" s="15" t="s">
        <v>482</v>
      </c>
      <c r="B58" s="17" t="n">
        <v>3530</v>
      </c>
      <c r="C58" s="18">
        <f>(2943.0/B58*100)</f>
        <v/>
      </c>
      <c r="D58" s="19" t="n">
        <v>587</v>
      </c>
      <c r="E58" s="18" t="n">
        <v>34.95515687</v>
      </c>
      <c r="F58" s="20" t="n">
        <v>2.50695671</v>
      </c>
      <c r="G58" s="18" t="n">
        <v>54.10292234</v>
      </c>
      <c r="H58" s="20" t="n">
        <v>2.86898281</v>
      </c>
      <c r="I58" s="18" t="s">
        <v>431</v>
      </c>
      <c r="J58" s="20" t="s">
        <v>431</v>
      </c>
      <c r="K58" s="18" t="n">
        <v>7.40167419</v>
      </c>
      <c r="L58" s="20" t="n">
        <v>1.39144165</v>
      </c>
      <c r="M58" s="18" t="n">
        <v>0</v>
      </c>
      <c r="N58" s="20" t="n">
        <v>0</v>
      </c>
      <c r="O58" s="18" t="n">
        <v>0.16645004</v>
      </c>
      <c r="P58" s="20" t="n">
        <v>0.14818663</v>
      </c>
      <c r="Q58" s="18" t="n">
        <v>3.37379655</v>
      </c>
      <c r="R58" s="20" t="n">
        <v>0.86119421</v>
      </c>
    </row>
    <row r="59" spans="1:18">
      <c r="A59" s="15" t="s">
        <v>483</v>
      </c>
      <c r="B59" s="17" t="n">
        <v>2548</v>
      </c>
      <c r="C59" s="18">
        <f>(2124.0/B59*100)</f>
        <v/>
      </c>
      <c r="D59" s="19" t="n">
        <v>424</v>
      </c>
      <c r="E59" s="18" t="n">
        <v>46.67489622</v>
      </c>
      <c r="F59" s="20" t="n">
        <v>2.83848822</v>
      </c>
      <c r="G59" s="18" t="n">
        <v>45.9809963</v>
      </c>
      <c r="H59" s="20" t="n">
        <v>3.18893988</v>
      </c>
      <c r="I59" s="18" t="s">
        <v>431</v>
      </c>
      <c r="J59" s="20" t="s">
        <v>431</v>
      </c>
      <c r="K59" s="18" t="n">
        <v>1.68815953</v>
      </c>
      <c r="L59" s="20" t="n">
        <v>0.81403547</v>
      </c>
      <c r="M59" s="18" t="n">
        <v>0</v>
      </c>
      <c r="N59" s="20" t="n">
        <v>0</v>
      </c>
      <c r="O59" s="18" t="n">
        <v>3.22203406</v>
      </c>
      <c r="P59" s="20" t="n">
        <v>1.04217089</v>
      </c>
      <c r="Q59" s="18" t="n">
        <v>2.43391388</v>
      </c>
      <c r="R59" s="20" t="n">
        <v>0.71229139</v>
      </c>
    </row>
    <row r="60" spans="1:18">
      <c r="A60" s="15" t="s">
        <v>484</v>
      </c>
      <c r="B60" s="17" t="n">
        <v>2095</v>
      </c>
      <c r="C60" s="18">
        <f>(1743.0/B60*100)</f>
        <v/>
      </c>
      <c r="D60" s="19" t="n">
        <v>352</v>
      </c>
      <c r="E60" s="18" t="n">
        <v>36.08265135</v>
      </c>
      <c r="F60" s="20" t="n">
        <v>2.81508949</v>
      </c>
      <c r="G60" s="18" t="n">
        <v>43.15654494</v>
      </c>
      <c r="H60" s="20" t="n">
        <v>2.7634795</v>
      </c>
      <c r="I60" s="18" t="s">
        <v>431</v>
      </c>
      <c r="J60" s="20" t="s">
        <v>431</v>
      </c>
      <c r="K60" s="18" t="n">
        <v>13.90816386</v>
      </c>
      <c r="L60" s="20" t="n">
        <v>2.04407737</v>
      </c>
      <c r="M60" s="18" t="n">
        <v>0</v>
      </c>
      <c r="N60" s="20" t="n">
        <v>0</v>
      </c>
      <c r="O60" s="18" t="n">
        <v>1.78012228</v>
      </c>
      <c r="P60" s="20" t="n">
        <v>0.9565076</v>
      </c>
      <c r="Q60" s="18" t="n">
        <v>5.07251756</v>
      </c>
      <c r="R60" s="20" t="n">
        <v>1.44035307</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(2353.0/B63*100)</f>
        <v/>
      </c>
      <c r="D63" s="19" t="n">
        <v>460</v>
      </c>
      <c r="E63" s="18" t="n">
        <v>38.0786946</v>
      </c>
      <c r="F63" s="20" t="n">
        <v>2.47439523</v>
      </c>
      <c r="G63" s="18" t="n">
        <v>44.44138887</v>
      </c>
      <c r="H63" s="20" t="n">
        <v>2.36775127</v>
      </c>
      <c r="I63" s="18" t="s">
        <v>431</v>
      </c>
      <c r="J63" s="20" t="s">
        <v>431</v>
      </c>
      <c r="K63" s="18" t="n">
        <v>7.15739473</v>
      </c>
      <c r="L63" s="20" t="n">
        <v>1.29638409</v>
      </c>
      <c r="M63" s="18" t="n">
        <v>0</v>
      </c>
      <c r="N63" s="20" t="n">
        <v>0</v>
      </c>
      <c r="O63" s="18" t="n">
        <v>0.64778623</v>
      </c>
      <c r="P63" s="20" t="n">
        <v>0.34615242</v>
      </c>
      <c r="Q63" s="18" t="n">
        <v>9.674735569999999</v>
      </c>
      <c r="R63" s="20" t="n">
        <v>1.51245783</v>
      </c>
    </row>
    <row r="64" spans="1:18">
      <c r="A64" s="15" t="s">
        <v>488</v>
      </c>
      <c r="B64" s="17" t="n">
        <v>1844</v>
      </c>
      <c r="C64" s="18">
        <f>(1531.0/B64*100)</f>
        <v/>
      </c>
      <c r="D64" s="19" t="n">
        <v>313</v>
      </c>
      <c r="E64" s="18" t="n">
        <v>23.90309432</v>
      </c>
      <c r="F64" s="20" t="n">
        <v>2.48757601</v>
      </c>
      <c r="G64" s="18" t="n">
        <v>68.04846967</v>
      </c>
      <c r="H64" s="20" t="n">
        <v>2.90599901</v>
      </c>
      <c r="I64" s="18" t="s">
        <v>431</v>
      </c>
      <c r="J64" s="20" t="s">
        <v>431</v>
      </c>
      <c r="K64" s="18" t="n">
        <v>5.56582072</v>
      </c>
      <c r="L64" s="20" t="n">
        <v>1.36994977</v>
      </c>
      <c r="M64" s="18" t="n">
        <v>0</v>
      </c>
      <c r="N64" s="20" t="n">
        <v>0</v>
      </c>
      <c r="O64" s="18" t="n">
        <v>0</v>
      </c>
      <c r="P64" s="20" t="n">
        <v>0</v>
      </c>
      <c r="Q64" s="18" t="n">
        <v>2.48261529</v>
      </c>
      <c r="R64" s="20" t="n">
        <v>0.91980883</v>
      </c>
    </row>
    <row r="65" spans="1:18">
      <c r="A65" s="15" t="s">
        <v>489</v>
      </c>
      <c r="B65" s="17" t="n">
        <v>2691</v>
      </c>
      <c r="C65" s="18">
        <f>(2241.0/B65*100)</f>
        <v/>
      </c>
      <c r="D65" s="19" t="n">
        <v>450</v>
      </c>
      <c r="E65" s="18" t="n">
        <v>29.97905581</v>
      </c>
      <c r="F65" s="20" t="n">
        <v>1.96591027</v>
      </c>
      <c r="G65" s="18" t="n">
        <v>51.13718474</v>
      </c>
      <c r="H65" s="20" t="n">
        <v>2.30501791</v>
      </c>
      <c r="I65" s="18" t="s">
        <v>431</v>
      </c>
      <c r="J65" s="20" t="s">
        <v>431</v>
      </c>
      <c r="K65" s="18" t="n">
        <v>10.29711866</v>
      </c>
      <c r="L65" s="20" t="n">
        <v>1.55424104</v>
      </c>
      <c r="M65" s="18" t="n">
        <v>2.32390173</v>
      </c>
      <c r="N65" s="20" t="n">
        <v>0.741313</v>
      </c>
      <c r="O65" s="18" t="n">
        <v>0</v>
      </c>
      <c r="P65" s="20" t="n">
        <v>0</v>
      </c>
      <c r="Q65" s="18" t="n">
        <v>6.26273906</v>
      </c>
      <c r="R65" s="20" t="n">
        <v>1.02602953</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(2029.0/B69*100)</f>
        <v/>
      </c>
      <c r="D69" s="19" t="n">
        <v>381</v>
      </c>
      <c r="E69" s="18" t="n">
        <v>43.06077119</v>
      </c>
      <c r="F69" s="20" t="n">
        <v>2.55357751</v>
      </c>
      <c r="G69" s="18" t="n">
        <v>56.436383</v>
      </c>
      <c r="H69" s="20" t="n">
        <v>2.60506854</v>
      </c>
      <c r="I69" s="18" t="s">
        <v>431</v>
      </c>
      <c r="J69" s="20" t="s">
        <v>431</v>
      </c>
      <c r="K69" s="18" t="n">
        <v>0.25645587</v>
      </c>
      <c r="L69" s="20" t="n">
        <v>0.25552472</v>
      </c>
      <c r="M69" s="18" t="n">
        <v>0</v>
      </c>
      <c r="N69" s="20" t="n">
        <v>0</v>
      </c>
      <c r="O69" s="18" t="n">
        <v>0</v>
      </c>
      <c r="P69" s="20" t="n">
        <v>0</v>
      </c>
      <c r="Q69" s="18" t="n">
        <v>0.24638994</v>
      </c>
      <c r="R69" s="20" t="n">
        <v>0.24528273</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(1846.0/B74*100)</f>
        <v/>
      </c>
      <c r="D74" s="19" t="n">
        <v>393</v>
      </c>
      <c r="E74" s="18" t="n">
        <v>24.11513526</v>
      </c>
      <c r="F74" s="20" t="n">
        <v>2.1986595</v>
      </c>
      <c r="G74" s="18" t="n">
        <v>54.86372262</v>
      </c>
      <c r="H74" s="20" t="n">
        <v>2.87017861</v>
      </c>
      <c r="I74" s="18" t="s">
        <v>431</v>
      </c>
      <c r="J74" s="20" t="s">
        <v>431</v>
      </c>
      <c r="K74" s="18" t="n">
        <v>14.5119628</v>
      </c>
      <c r="L74" s="20" t="n">
        <v>1.91986832</v>
      </c>
      <c r="M74" s="18" t="n">
        <v>0</v>
      </c>
      <c r="N74" s="20" t="n">
        <v>0</v>
      </c>
      <c r="O74" s="18" t="n">
        <v>0</v>
      </c>
      <c r="P74" s="20" t="n">
        <v>0</v>
      </c>
      <c r="Q74" s="18" t="n">
        <v>6.50917932</v>
      </c>
      <c r="R74" s="20" t="n">
        <v>1.47965919</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(2338.0/B78*100)</f>
        <v/>
      </c>
      <c r="D78" s="19" t="n">
        <v>448</v>
      </c>
      <c r="E78" s="18" t="n">
        <v>24.9461088</v>
      </c>
      <c r="F78" s="20" t="n">
        <v>2.53458269</v>
      </c>
      <c r="G78" s="18" t="n">
        <v>74.88984656</v>
      </c>
      <c r="H78" s="20" t="n">
        <v>2.51371252</v>
      </c>
      <c r="I78" s="18" t="s">
        <v>431</v>
      </c>
      <c r="J78" s="20" t="s">
        <v>431</v>
      </c>
      <c r="K78" s="18" t="n">
        <v>0.16404464</v>
      </c>
      <c r="L78" s="20" t="n">
        <v>0.11709005</v>
      </c>
      <c r="M78" s="18" t="n">
        <v>0</v>
      </c>
      <c r="N78" s="20" t="n">
        <v>0</v>
      </c>
      <c r="O78" s="18" t="n">
        <v>0</v>
      </c>
      <c r="P78" s="20" t="n">
        <v>0</v>
      </c>
      <c r="Q78" s="18" t="n">
        <v>0</v>
      </c>
      <c r="R78" s="20" t="n">
        <v>0</v>
      </c>
    </row>
    <row customHeight="1" ht="25" r="79" spans="1:18">
      <c r="A79" s="15" t="s">
        <v>503</v>
      </c>
      <c r="B79" s="17" t="n">
        <v>787</v>
      </c>
      <c r="C79" s="18">
        <f>(669.0/B79*100)</f>
        <v/>
      </c>
      <c r="D79" s="19" t="n">
        <v>118</v>
      </c>
      <c r="E79" s="18" t="n">
        <v>10.13390669</v>
      </c>
      <c r="F79" s="20" t="n">
        <v>2.83915512</v>
      </c>
      <c r="G79" s="18" t="n">
        <v>83.37127622</v>
      </c>
      <c r="H79" s="20" t="n">
        <v>3.30581834</v>
      </c>
      <c r="I79" s="18" t="s">
        <v>431</v>
      </c>
      <c r="J79" s="20" t="s">
        <v>431</v>
      </c>
      <c r="K79" s="18" t="n">
        <v>3.25183194</v>
      </c>
      <c r="L79" s="20" t="n">
        <v>1.67642477</v>
      </c>
      <c r="M79" s="18" t="n">
        <v>0</v>
      </c>
      <c r="N79" s="20" t="n">
        <v>0</v>
      </c>
      <c r="O79" s="18" t="n">
        <v>0.98834838</v>
      </c>
      <c r="P79" s="20" t="n">
        <v>0.93176071</v>
      </c>
      <c r="Q79" s="18" t="n">
        <v>2.25463678</v>
      </c>
      <c r="R79" s="20" t="n">
        <v>1.28836458</v>
      </c>
    </row>
    <row r="80" spans="1:18">
      <c r="A80" s="15" t="s">
        <v>504</v>
      </c>
      <c r="B80" s="17" t="n">
        <v>3798</v>
      </c>
      <c r="C80" s="18">
        <f>(3167.0/B80*100)</f>
        <v/>
      </c>
      <c r="D80" s="19" t="n">
        <v>631</v>
      </c>
      <c r="E80" s="18" t="n">
        <v>27.36169953</v>
      </c>
      <c r="F80" s="20" t="n">
        <v>2.37956899</v>
      </c>
      <c r="G80" s="18" t="n">
        <v>72.09077041</v>
      </c>
      <c r="H80" s="20" t="n">
        <v>2.43169628</v>
      </c>
      <c r="I80" s="18" t="s">
        <v>431</v>
      </c>
      <c r="J80" s="20" t="s">
        <v>431</v>
      </c>
      <c r="K80" s="18" t="n">
        <v>0.39271484</v>
      </c>
      <c r="L80" s="20" t="n">
        <v>0.27740976</v>
      </c>
      <c r="M80" s="18" t="n">
        <v>0</v>
      </c>
      <c r="N80" s="20" t="n">
        <v>0</v>
      </c>
      <c r="O80" s="18" t="n">
        <v>0</v>
      </c>
      <c r="P80" s="20" t="n">
        <v>0</v>
      </c>
      <c r="Q80" s="18" t="n">
        <v>0.15481522</v>
      </c>
      <c r="R80" s="20" t="n">
        <v>0.21379848</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(2075.0/B44*100)</f>
        <v/>
      </c>
      <c r="D44" s="19" t="n">
        <v>449</v>
      </c>
      <c r="E44" s="18" t="n">
        <v>24.46580396</v>
      </c>
      <c r="F44" s="20" t="n">
        <v>1.99346898</v>
      </c>
      <c r="G44" s="18" t="n">
        <v>9.78362632</v>
      </c>
      <c r="H44" s="20" t="n">
        <v>1.65935912</v>
      </c>
      <c r="I44" s="18" t="s">
        <v>431</v>
      </c>
      <c r="J44" s="20" t="s">
        <v>431</v>
      </c>
      <c r="K44" s="18" t="n">
        <v>15.76900298</v>
      </c>
      <c r="L44" s="20" t="n">
        <v>2.00850064</v>
      </c>
      <c r="M44" s="18" t="n">
        <v>0</v>
      </c>
      <c r="N44" s="20" t="n">
        <v>0</v>
      </c>
      <c r="O44" s="18" t="n">
        <v>0</v>
      </c>
      <c r="P44" s="20" t="n">
        <v>0</v>
      </c>
      <c r="Q44" s="18" t="n">
        <v>49.98156675</v>
      </c>
      <c r="R44" s="20" t="n">
        <v>2.9554679</v>
      </c>
    </row>
    <row r="45" spans="1:18">
      <c r="A45" s="15" t="s">
        <v>469</v>
      </c>
      <c r="B45" s="17" t="n">
        <v>2849</v>
      </c>
      <c r="C45" s="18">
        <f>(2371.0/B45*100)</f>
        <v/>
      </c>
      <c r="D45" s="19" t="n">
        <v>478</v>
      </c>
      <c r="E45" s="18" t="n">
        <v>27.2591988</v>
      </c>
      <c r="F45" s="20" t="n">
        <v>2.12343289</v>
      </c>
      <c r="G45" s="18" t="n">
        <v>4.50436959</v>
      </c>
      <c r="H45" s="20" t="n">
        <v>1.17246186</v>
      </c>
      <c r="I45" s="18" t="s">
        <v>431</v>
      </c>
      <c r="J45" s="20" t="s">
        <v>431</v>
      </c>
      <c r="K45" s="18" t="n">
        <v>16.3906049</v>
      </c>
      <c r="L45" s="20" t="n">
        <v>2.10492029</v>
      </c>
      <c r="M45" s="18" t="n">
        <v>0.17823723</v>
      </c>
      <c r="N45" s="20" t="n">
        <v>0.17902953</v>
      </c>
      <c r="O45" s="18" t="n">
        <v>0.2355095</v>
      </c>
      <c r="P45" s="20" t="n">
        <v>0.24149321</v>
      </c>
      <c r="Q45" s="18" t="n">
        <v>51.43207998</v>
      </c>
      <c r="R45" s="20" t="n">
        <v>2.6469536</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(2529.0/B49*100)</f>
        <v/>
      </c>
      <c r="D49" s="19" t="n">
        <v>489</v>
      </c>
      <c r="E49" s="18" t="n">
        <v>25.70674563</v>
      </c>
      <c r="F49" s="20" t="n">
        <v>2.21191361</v>
      </c>
      <c r="G49" s="18" t="n">
        <v>20.8034302</v>
      </c>
      <c r="H49" s="20" t="n">
        <v>2.15368256</v>
      </c>
      <c r="I49" s="18" t="s">
        <v>431</v>
      </c>
      <c r="J49" s="20" t="s">
        <v>431</v>
      </c>
      <c r="K49" s="18" t="n">
        <v>10.10962785</v>
      </c>
      <c r="L49" s="20" t="n">
        <v>1.32526108</v>
      </c>
      <c r="M49" s="18" t="n">
        <v>0</v>
      </c>
      <c r="N49" s="20" t="n">
        <v>0</v>
      </c>
      <c r="O49" s="18" t="n">
        <v>0</v>
      </c>
      <c r="P49" s="20" t="n">
        <v>0</v>
      </c>
      <c r="Q49" s="18" t="n">
        <v>43.38019632</v>
      </c>
      <c r="R49" s="20" t="n">
        <v>2.23423879</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(2314.0/B55*100)</f>
        <v/>
      </c>
      <c r="D55" s="19" t="n">
        <v>445</v>
      </c>
      <c r="E55" s="18" t="n">
        <v>10.50801663</v>
      </c>
      <c r="F55" s="20" t="n">
        <v>1.51703238</v>
      </c>
      <c r="G55" s="18" t="n">
        <v>13.18867619</v>
      </c>
      <c r="H55" s="20" t="n">
        <v>1.69497752</v>
      </c>
      <c r="I55" s="18" t="s">
        <v>431</v>
      </c>
      <c r="J55" s="20" t="s">
        <v>431</v>
      </c>
      <c r="K55" s="18" t="n">
        <v>8.567512600000001</v>
      </c>
      <c r="L55" s="20" t="n">
        <v>1.3324086</v>
      </c>
      <c r="M55" s="18" t="n">
        <v>0</v>
      </c>
      <c r="N55" s="20" t="n">
        <v>0</v>
      </c>
      <c r="O55" s="18" t="n">
        <v>0</v>
      </c>
      <c r="P55" s="20" t="n">
        <v>0</v>
      </c>
      <c r="Q55" s="18" t="n">
        <v>67.73579458</v>
      </c>
      <c r="R55" s="20" t="n">
        <v>2.61742991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41.8909443</v>
      </c>
      <c r="F57" s="20" t="n">
        <v>2.77344398</v>
      </c>
      <c r="G57" s="18" t="n">
        <v>7.29608796</v>
      </c>
      <c r="H57" s="20" t="n">
        <v>1.2873261</v>
      </c>
      <c r="I57" s="18" t="s">
        <v>431</v>
      </c>
      <c r="J57" s="20" t="s">
        <v>431</v>
      </c>
      <c r="K57" s="18" t="n">
        <v>4.75985696</v>
      </c>
      <c r="L57" s="20" t="n">
        <v>1.11154541</v>
      </c>
      <c r="M57" s="18" t="n">
        <v>0</v>
      </c>
      <c r="N57" s="20" t="n">
        <v>0</v>
      </c>
      <c r="O57" s="18" t="n">
        <v>0</v>
      </c>
      <c r="P57" s="20" t="n">
        <v>0</v>
      </c>
      <c r="Q57" s="18" t="n">
        <v>46.05311078</v>
      </c>
      <c r="R57" s="20" t="n">
        <v>2.43348091</v>
      </c>
    </row>
    <row r="58" spans="1:18">
      <c r="A58" s="15" t="s">
        <v>482</v>
      </c>
      <c r="B58" s="17" t="n">
        <v>3530</v>
      </c>
      <c r="C58" s="18">
        <f>(2943.0/B58*100)</f>
        <v/>
      </c>
      <c r="D58" s="19" t="n">
        <v>587</v>
      </c>
      <c r="E58" s="18" t="n">
        <v>33.11573959</v>
      </c>
      <c r="F58" s="20" t="n">
        <v>2.68059111</v>
      </c>
      <c r="G58" s="18" t="n">
        <v>5.15077789</v>
      </c>
      <c r="H58" s="20" t="n">
        <v>1.08794267</v>
      </c>
      <c r="I58" s="18" t="s">
        <v>431</v>
      </c>
      <c r="J58" s="20" t="s">
        <v>431</v>
      </c>
      <c r="K58" s="18" t="n">
        <v>10.85735188</v>
      </c>
      <c r="L58" s="20" t="n">
        <v>1.63888882</v>
      </c>
      <c r="M58" s="18" t="n">
        <v>0</v>
      </c>
      <c r="N58" s="20" t="n">
        <v>0</v>
      </c>
      <c r="O58" s="18" t="n">
        <v>0</v>
      </c>
      <c r="P58" s="20" t="n">
        <v>0</v>
      </c>
      <c r="Q58" s="18" t="n">
        <v>50.87613064</v>
      </c>
      <c r="R58" s="20" t="n">
        <v>3.03617501</v>
      </c>
    </row>
    <row r="59" spans="1:18">
      <c r="A59" s="15" t="s">
        <v>483</v>
      </c>
      <c r="B59" s="17" t="n">
        <v>2548</v>
      </c>
      <c r="C59" s="18">
        <f>(2124.0/B59*100)</f>
        <v/>
      </c>
      <c r="D59" s="19" t="n">
        <v>424</v>
      </c>
      <c r="E59" s="18" t="n">
        <v>24.01557306</v>
      </c>
      <c r="F59" s="20" t="n">
        <v>2.26001772</v>
      </c>
      <c r="G59" s="18" t="n">
        <v>7.05630805</v>
      </c>
      <c r="H59" s="20" t="n">
        <v>1.5662174</v>
      </c>
      <c r="I59" s="18" t="s">
        <v>431</v>
      </c>
      <c r="J59" s="20" t="s">
        <v>431</v>
      </c>
      <c r="K59" s="18" t="n">
        <v>2.98986487</v>
      </c>
      <c r="L59" s="20" t="n">
        <v>0.9739386799999999</v>
      </c>
      <c r="M59" s="18" t="n">
        <v>0</v>
      </c>
      <c r="N59" s="20" t="n">
        <v>0</v>
      </c>
      <c r="O59" s="18" t="n">
        <v>0</v>
      </c>
      <c r="P59" s="20" t="n">
        <v>0</v>
      </c>
      <c r="Q59" s="18" t="n">
        <v>65.93825402</v>
      </c>
      <c r="R59" s="20" t="n">
        <v>2.20870219</v>
      </c>
    </row>
    <row r="60" spans="1:18">
      <c r="A60" s="15" t="s">
        <v>484</v>
      </c>
      <c r="B60" s="17" t="n">
        <v>2095</v>
      </c>
      <c r="C60" s="18">
        <f>(1743.0/B60*100)</f>
        <v/>
      </c>
      <c r="D60" s="19" t="n">
        <v>352</v>
      </c>
      <c r="E60" s="18" t="n">
        <v>17.67984597</v>
      </c>
      <c r="F60" s="20" t="n">
        <v>1.79967075</v>
      </c>
      <c r="G60" s="18" t="n">
        <v>8.977422239999999</v>
      </c>
      <c r="H60" s="20" t="n">
        <v>1.61355206</v>
      </c>
      <c r="I60" s="18" t="s">
        <v>431</v>
      </c>
      <c r="J60" s="20" t="s">
        <v>431</v>
      </c>
      <c r="K60" s="18" t="n">
        <v>17.41234837</v>
      </c>
      <c r="L60" s="20" t="n">
        <v>2.13149821</v>
      </c>
      <c r="M60" s="18" t="n">
        <v>0</v>
      </c>
      <c r="N60" s="20" t="n">
        <v>0</v>
      </c>
      <c r="O60" s="18" t="n">
        <v>0</v>
      </c>
      <c r="P60" s="20" t="n">
        <v>0</v>
      </c>
      <c r="Q60" s="18" t="n">
        <v>55.93038341</v>
      </c>
      <c r="R60" s="20" t="n">
        <v>2.67968093</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(2353.0/B63*100)</f>
        <v/>
      </c>
      <c r="D63" s="19" t="n">
        <v>460</v>
      </c>
      <c r="E63" s="18" t="n">
        <v>14.23823073</v>
      </c>
      <c r="F63" s="20" t="n">
        <v>1.84925457</v>
      </c>
      <c r="G63" s="18" t="n">
        <v>4.35163043</v>
      </c>
      <c r="H63" s="20" t="n">
        <v>1.09441633</v>
      </c>
      <c r="I63" s="18" t="s">
        <v>431</v>
      </c>
      <c r="J63" s="20" t="s">
        <v>431</v>
      </c>
      <c r="K63" s="18" t="n">
        <v>10.51025962</v>
      </c>
      <c r="L63" s="20" t="n">
        <v>1.59857787</v>
      </c>
      <c r="M63" s="18" t="n">
        <v>0</v>
      </c>
      <c r="N63" s="20" t="n">
        <v>0</v>
      </c>
      <c r="O63" s="18" t="n">
        <v>0</v>
      </c>
      <c r="P63" s="20" t="n">
        <v>0</v>
      </c>
      <c r="Q63" s="18" t="n">
        <v>70.89987922</v>
      </c>
      <c r="R63" s="20" t="n">
        <v>2.28838355</v>
      </c>
    </row>
    <row r="64" spans="1:18">
      <c r="A64" s="15" t="s">
        <v>488</v>
      </c>
      <c r="B64" s="17" t="n">
        <v>1844</v>
      </c>
      <c r="C64" s="18">
        <f>(1531.0/B64*100)</f>
        <v/>
      </c>
      <c r="D64" s="19" t="n">
        <v>313</v>
      </c>
      <c r="E64" s="18" t="n">
        <v>30.01518589</v>
      </c>
      <c r="F64" s="20" t="n">
        <v>2.6698777</v>
      </c>
      <c r="G64" s="18" t="n">
        <v>23.26054056</v>
      </c>
      <c r="H64" s="20" t="n">
        <v>2.09015802</v>
      </c>
      <c r="I64" s="18" t="s">
        <v>431</v>
      </c>
      <c r="J64" s="20" t="s">
        <v>431</v>
      </c>
      <c r="K64" s="18" t="n">
        <v>8.47969505</v>
      </c>
      <c r="L64" s="20" t="n">
        <v>1.57264841</v>
      </c>
      <c r="M64" s="18" t="n">
        <v>0</v>
      </c>
      <c r="N64" s="20" t="n">
        <v>0</v>
      </c>
      <c r="O64" s="18" t="n">
        <v>0</v>
      </c>
      <c r="P64" s="20" t="n">
        <v>0</v>
      </c>
      <c r="Q64" s="18" t="n">
        <v>38.2445785</v>
      </c>
      <c r="R64" s="20" t="n">
        <v>3.07491632</v>
      </c>
    </row>
    <row r="65" spans="1:18">
      <c r="A65" s="15" t="s">
        <v>489</v>
      </c>
      <c r="B65" s="17" t="n">
        <v>2691</v>
      </c>
      <c r="C65" s="18">
        <f>(2241.0/B65*100)</f>
        <v/>
      </c>
      <c r="D65" s="19" t="n">
        <v>450</v>
      </c>
      <c r="E65" s="18" t="n">
        <v>16.96500399</v>
      </c>
      <c r="F65" s="20" t="n">
        <v>1.73406979</v>
      </c>
      <c r="G65" s="18" t="n">
        <v>20.20389615</v>
      </c>
      <c r="H65" s="20" t="n">
        <v>1.93813651</v>
      </c>
      <c r="I65" s="18" t="s">
        <v>431</v>
      </c>
      <c r="J65" s="20" t="s">
        <v>431</v>
      </c>
      <c r="K65" s="18" t="n">
        <v>16.49629097</v>
      </c>
      <c r="L65" s="20" t="n">
        <v>2.04514984</v>
      </c>
      <c r="M65" s="18" t="n">
        <v>0</v>
      </c>
      <c r="N65" s="20" t="n">
        <v>0</v>
      </c>
      <c r="O65" s="18" t="n">
        <v>0</v>
      </c>
      <c r="P65" s="20" t="n">
        <v>0</v>
      </c>
      <c r="Q65" s="18" t="n">
        <v>46.3348089</v>
      </c>
      <c r="R65" s="20" t="n">
        <v>2.49598647</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(2029.0/B69*100)</f>
        <v/>
      </c>
      <c r="D69" s="19" t="n">
        <v>381</v>
      </c>
      <c r="E69" s="18" t="n">
        <v>41.24282246</v>
      </c>
      <c r="F69" s="20" t="n">
        <v>2.79051656</v>
      </c>
      <c r="G69" s="18" t="n">
        <v>51.7594225</v>
      </c>
      <c r="H69" s="20" t="n">
        <v>2.65926193</v>
      </c>
      <c r="I69" s="18" t="s">
        <v>431</v>
      </c>
      <c r="J69" s="20" t="s">
        <v>431</v>
      </c>
      <c r="K69" s="18" t="n">
        <v>0.25645587</v>
      </c>
      <c r="L69" s="20" t="n">
        <v>0.25552472</v>
      </c>
      <c r="M69" s="18" t="n">
        <v>0</v>
      </c>
      <c r="N69" s="20" t="n">
        <v>0</v>
      </c>
      <c r="O69" s="18" t="n">
        <v>0</v>
      </c>
      <c r="P69" s="20" t="n">
        <v>0</v>
      </c>
      <c r="Q69" s="18" t="n">
        <v>6.74129917</v>
      </c>
      <c r="R69" s="20" t="n">
        <v>1.25360592</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(1846.0/B74*100)</f>
        <v/>
      </c>
      <c r="D74" s="19" t="n">
        <v>393</v>
      </c>
      <c r="E74" s="18" t="n">
        <v>15.51814577</v>
      </c>
      <c r="F74" s="20" t="n">
        <v>1.72798823</v>
      </c>
      <c r="G74" s="18" t="n">
        <v>12.09920089</v>
      </c>
      <c r="H74" s="20" t="n">
        <v>1.72466857</v>
      </c>
      <c r="I74" s="18" t="s">
        <v>431</v>
      </c>
      <c r="J74" s="20" t="s">
        <v>431</v>
      </c>
      <c r="K74" s="18" t="n">
        <v>21.59683828</v>
      </c>
      <c r="L74" s="20" t="n">
        <v>2.15147215</v>
      </c>
      <c r="M74" s="18" t="n">
        <v>0</v>
      </c>
      <c r="N74" s="20" t="n">
        <v>0</v>
      </c>
      <c r="O74" s="18" t="n">
        <v>0</v>
      </c>
      <c r="P74" s="20" t="n">
        <v>0</v>
      </c>
      <c r="Q74" s="18" t="n">
        <v>50.78581506</v>
      </c>
      <c r="R74" s="20" t="n">
        <v>2.49160049</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(2338.0/B78*100)</f>
        <v/>
      </c>
      <c r="D78" s="19" t="n">
        <v>448</v>
      </c>
      <c r="E78" s="18" t="n">
        <v>57.23395545</v>
      </c>
      <c r="F78" s="20" t="n">
        <v>3.24708034</v>
      </c>
      <c r="G78" s="18" t="n">
        <v>21.03262855</v>
      </c>
      <c r="H78" s="20" t="n">
        <v>2.21782455</v>
      </c>
      <c r="I78" s="18" t="s">
        <v>431</v>
      </c>
      <c r="J78" s="20" t="s">
        <v>431</v>
      </c>
      <c r="K78" s="18" t="n">
        <v>0.16404464</v>
      </c>
      <c r="L78" s="20" t="n">
        <v>0.11709005</v>
      </c>
      <c r="M78" s="18" t="n">
        <v>0</v>
      </c>
      <c r="N78" s="20" t="n">
        <v>0</v>
      </c>
      <c r="O78" s="18" t="n">
        <v>0</v>
      </c>
      <c r="P78" s="20" t="n">
        <v>0</v>
      </c>
      <c r="Q78" s="18" t="n">
        <v>21.56937135</v>
      </c>
      <c r="R78" s="20" t="n">
        <v>2.61811972</v>
      </c>
    </row>
    <row customHeight="1" ht="25" r="79" spans="1:18">
      <c r="A79" s="15" t="s">
        <v>503</v>
      </c>
      <c r="B79" s="17" t="n">
        <v>787</v>
      </c>
      <c r="C79" s="18">
        <f>(669.0/B79*100)</f>
        <v/>
      </c>
      <c r="D79" s="19" t="n">
        <v>118</v>
      </c>
      <c r="E79" s="18" t="n">
        <v>22.44864922</v>
      </c>
      <c r="F79" s="20" t="n">
        <v>5.02535543</v>
      </c>
      <c r="G79" s="18" t="n">
        <v>47.37092324</v>
      </c>
      <c r="H79" s="20" t="n">
        <v>5.83523515</v>
      </c>
      <c r="I79" s="18" t="s">
        <v>431</v>
      </c>
      <c r="J79" s="20" t="s">
        <v>431</v>
      </c>
      <c r="K79" s="18" t="n">
        <v>8.29964294</v>
      </c>
      <c r="L79" s="20" t="n">
        <v>2.12517405</v>
      </c>
      <c r="M79" s="18" t="n">
        <v>0</v>
      </c>
      <c r="N79" s="20" t="n">
        <v>0</v>
      </c>
      <c r="O79" s="18" t="n">
        <v>0</v>
      </c>
      <c r="P79" s="20" t="n">
        <v>0</v>
      </c>
      <c r="Q79" s="18" t="n">
        <v>21.88078459</v>
      </c>
      <c r="R79" s="20" t="n">
        <v>3.62559388</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(2075.0/B44*100)</f>
        <v/>
      </c>
      <c r="D44" s="19" t="n">
        <v>449</v>
      </c>
      <c r="E44" s="18" t="n">
        <v>46.08710237</v>
      </c>
      <c r="F44" s="20" t="n">
        <v>2.86217996</v>
      </c>
      <c r="G44" s="18" t="n">
        <v>32.92105285</v>
      </c>
      <c r="H44" s="20" t="n">
        <v>2.64365574</v>
      </c>
      <c r="I44" s="18" t="s">
        <v>431</v>
      </c>
      <c r="J44" s="20" t="s">
        <v>431</v>
      </c>
      <c r="K44" s="18" t="n">
        <v>15.89675729</v>
      </c>
      <c r="L44" s="20" t="n">
        <v>2.0069065</v>
      </c>
      <c r="M44" s="18" t="n">
        <v>0</v>
      </c>
      <c r="N44" s="20" t="n">
        <v>0</v>
      </c>
      <c r="O44" s="18" t="n">
        <v>0.21509147</v>
      </c>
      <c r="P44" s="20" t="n">
        <v>0.21801864</v>
      </c>
      <c r="Q44" s="18" t="n">
        <v>4.87999602</v>
      </c>
      <c r="R44" s="20" t="n">
        <v>1.16609771</v>
      </c>
    </row>
    <row r="45" spans="1:18">
      <c r="A45" s="15" t="s">
        <v>469</v>
      </c>
      <c r="B45" s="17" t="n">
        <v>2849</v>
      </c>
      <c r="C45" s="18">
        <f>(2371.0/B45*100)</f>
        <v/>
      </c>
      <c r="D45" s="19" t="n">
        <v>478</v>
      </c>
      <c r="E45" s="18" t="n">
        <v>49.13722446</v>
      </c>
      <c r="F45" s="20" t="n">
        <v>2.58070383</v>
      </c>
      <c r="G45" s="18" t="n">
        <v>27.33521275</v>
      </c>
      <c r="H45" s="20" t="n">
        <v>2.34138509</v>
      </c>
      <c r="I45" s="18" t="s">
        <v>431</v>
      </c>
      <c r="J45" s="20" t="s">
        <v>431</v>
      </c>
      <c r="K45" s="18" t="n">
        <v>16.73768679</v>
      </c>
      <c r="L45" s="20" t="n">
        <v>2.11895071</v>
      </c>
      <c r="M45" s="18" t="n">
        <v>0.38827803</v>
      </c>
      <c r="N45" s="20" t="n">
        <v>0.2329855</v>
      </c>
      <c r="O45" s="18" t="n">
        <v>2.82249262</v>
      </c>
      <c r="P45" s="20" t="n">
        <v>0.78699544</v>
      </c>
      <c r="Q45" s="18" t="n">
        <v>3.57910535</v>
      </c>
      <c r="R45" s="20" t="n">
        <v>1.00855707</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(2529.0/B49*100)</f>
        <v/>
      </c>
      <c r="D49" s="19" t="n">
        <v>489</v>
      </c>
      <c r="E49" s="18" t="n">
        <v>45.50490852</v>
      </c>
      <c r="F49" s="20" t="n">
        <v>2.43646434</v>
      </c>
      <c r="G49" s="18" t="n">
        <v>41.95671329</v>
      </c>
      <c r="H49" s="20" t="n">
        <v>2.58834913</v>
      </c>
      <c r="I49" s="18" t="s">
        <v>431</v>
      </c>
      <c r="J49" s="20" t="s">
        <v>431</v>
      </c>
      <c r="K49" s="18" t="n">
        <v>10.10962785</v>
      </c>
      <c r="L49" s="20" t="n">
        <v>1.32526108</v>
      </c>
      <c r="M49" s="18" t="n">
        <v>0</v>
      </c>
      <c r="N49" s="20" t="n">
        <v>0</v>
      </c>
      <c r="O49" s="18" t="n">
        <v>0.35098937</v>
      </c>
      <c r="P49" s="20" t="n">
        <v>0.34269869</v>
      </c>
      <c r="Q49" s="18" t="n">
        <v>2.07776096</v>
      </c>
      <c r="R49" s="20" t="n">
        <v>0.66955038</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(2314.0/B55*100)</f>
        <v/>
      </c>
      <c r="D55" s="19" t="n">
        <v>445</v>
      </c>
      <c r="E55" s="18" t="n">
        <v>56.51366423</v>
      </c>
      <c r="F55" s="20" t="n">
        <v>2.68941508</v>
      </c>
      <c r="G55" s="18" t="n">
        <v>32.12296689</v>
      </c>
      <c r="H55" s="20" t="n">
        <v>2.50663906</v>
      </c>
      <c r="I55" s="18" t="s">
        <v>431</v>
      </c>
      <c r="J55" s="20" t="s">
        <v>431</v>
      </c>
      <c r="K55" s="18" t="n">
        <v>9.125189900000001</v>
      </c>
      <c r="L55" s="20" t="n">
        <v>1.33978551</v>
      </c>
      <c r="M55" s="18" t="n">
        <v>0</v>
      </c>
      <c r="N55" s="20" t="n">
        <v>0</v>
      </c>
      <c r="O55" s="18" t="n">
        <v>0.19422575</v>
      </c>
      <c r="P55" s="20" t="n">
        <v>0.20093174</v>
      </c>
      <c r="Q55" s="18" t="n">
        <v>2.04395323</v>
      </c>
      <c r="R55" s="20" t="n">
        <v>0.66849577</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59.09565172</v>
      </c>
      <c r="F57" s="20" t="n">
        <v>2.81635104</v>
      </c>
      <c r="G57" s="18" t="n">
        <v>34.96364243</v>
      </c>
      <c r="H57" s="20" t="n">
        <v>2.86565533</v>
      </c>
      <c r="I57" s="18" t="s">
        <v>431</v>
      </c>
      <c r="J57" s="20" t="s">
        <v>431</v>
      </c>
      <c r="K57" s="18" t="n">
        <v>5.00456827</v>
      </c>
      <c r="L57" s="20" t="n">
        <v>1.13389075</v>
      </c>
      <c r="M57" s="18" t="n">
        <v>0</v>
      </c>
      <c r="N57" s="20" t="n">
        <v>0</v>
      </c>
      <c r="O57" s="18" t="n">
        <v>0</v>
      </c>
      <c r="P57" s="20" t="n">
        <v>0</v>
      </c>
      <c r="Q57" s="18" t="n">
        <v>0.93613758</v>
      </c>
      <c r="R57" s="20" t="n">
        <v>0.44192013</v>
      </c>
    </row>
    <row r="58" spans="1:18">
      <c r="A58" s="15" t="s">
        <v>482</v>
      </c>
      <c r="B58" s="17" t="n">
        <v>3530</v>
      </c>
      <c r="C58" s="18">
        <f>(2943.0/B58*100)</f>
        <v/>
      </c>
      <c r="D58" s="19" t="n">
        <v>587</v>
      </c>
      <c r="E58" s="18" t="n">
        <v>56.45260818</v>
      </c>
      <c r="F58" s="20" t="n">
        <v>2.29815544</v>
      </c>
      <c r="G58" s="18" t="n">
        <v>30.98007551</v>
      </c>
      <c r="H58" s="20" t="n">
        <v>1.98516347</v>
      </c>
      <c r="I58" s="18" t="s">
        <v>431</v>
      </c>
      <c r="J58" s="20" t="s">
        <v>431</v>
      </c>
      <c r="K58" s="18" t="n">
        <v>10.94187903</v>
      </c>
      <c r="L58" s="20" t="n">
        <v>1.64273274</v>
      </c>
      <c r="M58" s="18" t="n">
        <v>0</v>
      </c>
      <c r="N58" s="20" t="n">
        <v>0</v>
      </c>
      <c r="O58" s="18" t="n">
        <v>0</v>
      </c>
      <c r="P58" s="20" t="n">
        <v>0</v>
      </c>
      <c r="Q58" s="18" t="n">
        <v>1.62543728</v>
      </c>
      <c r="R58" s="20" t="n">
        <v>0.65141541</v>
      </c>
    </row>
    <row r="59" spans="1:18">
      <c r="A59" s="15" t="s">
        <v>483</v>
      </c>
      <c r="B59" s="17" t="n">
        <v>2548</v>
      </c>
      <c r="C59" s="18">
        <f>(2124.0/B59*100)</f>
        <v/>
      </c>
      <c r="D59" s="19" t="n">
        <v>424</v>
      </c>
      <c r="E59" s="18" t="n">
        <v>62.68008101</v>
      </c>
      <c r="F59" s="20" t="n">
        <v>2.80125415</v>
      </c>
      <c r="G59" s="18" t="n">
        <v>31.97876325</v>
      </c>
      <c r="H59" s="20" t="n">
        <v>2.53735526</v>
      </c>
      <c r="I59" s="18" t="s">
        <v>431</v>
      </c>
      <c r="J59" s="20" t="s">
        <v>431</v>
      </c>
      <c r="K59" s="18" t="n">
        <v>2.98986487</v>
      </c>
      <c r="L59" s="20" t="n">
        <v>0.9739386799999999</v>
      </c>
      <c r="M59" s="18" t="n">
        <v>0</v>
      </c>
      <c r="N59" s="20" t="n">
        <v>0</v>
      </c>
      <c r="O59" s="18" t="n">
        <v>0.37251389</v>
      </c>
      <c r="P59" s="20" t="n">
        <v>0.19499237</v>
      </c>
      <c r="Q59" s="18" t="n">
        <v>1.97877698</v>
      </c>
      <c r="R59" s="20" t="n">
        <v>0.96882202</v>
      </c>
    </row>
    <row r="60" spans="1:18">
      <c r="A60" s="15" t="s">
        <v>484</v>
      </c>
      <c r="B60" s="17" t="n">
        <v>2095</v>
      </c>
      <c r="C60" s="18">
        <f>(1743.0/B60*100)</f>
        <v/>
      </c>
      <c r="D60" s="19" t="n">
        <v>352</v>
      </c>
      <c r="E60" s="18" t="n">
        <v>50.77622702</v>
      </c>
      <c r="F60" s="20" t="n">
        <v>2.89058079</v>
      </c>
      <c r="G60" s="18" t="n">
        <v>26.01082024</v>
      </c>
      <c r="H60" s="20" t="n">
        <v>2.26832923</v>
      </c>
      <c r="I60" s="18" t="s">
        <v>431</v>
      </c>
      <c r="J60" s="20" t="s">
        <v>431</v>
      </c>
      <c r="K60" s="18" t="n">
        <v>17.68414821</v>
      </c>
      <c r="L60" s="20" t="n">
        <v>2.16140127</v>
      </c>
      <c r="M60" s="18" t="n">
        <v>0</v>
      </c>
      <c r="N60" s="20" t="n">
        <v>0</v>
      </c>
      <c r="O60" s="18" t="n">
        <v>2.38285479</v>
      </c>
      <c r="P60" s="20" t="n">
        <v>1.02830165</v>
      </c>
      <c r="Q60" s="18" t="n">
        <v>3.14594973</v>
      </c>
      <c r="R60" s="20" t="n">
        <v>1.08372649</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(2353.0/B63*100)</f>
        <v/>
      </c>
      <c r="D63" s="19" t="n">
        <v>460</v>
      </c>
      <c r="E63" s="18" t="n">
        <v>48.10465068</v>
      </c>
      <c r="F63" s="20" t="n">
        <v>2.89901812</v>
      </c>
      <c r="G63" s="18" t="n">
        <v>35.20310356</v>
      </c>
      <c r="H63" s="20" t="n">
        <v>2.86434656</v>
      </c>
      <c r="I63" s="18" t="s">
        <v>431</v>
      </c>
      <c r="J63" s="20" t="s">
        <v>431</v>
      </c>
      <c r="K63" s="18" t="n">
        <v>10.81721449</v>
      </c>
      <c r="L63" s="20" t="n">
        <v>1.62616665</v>
      </c>
      <c r="M63" s="18" t="n">
        <v>0</v>
      </c>
      <c r="N63" s="20" t="n">
        <v>0</v>
      </c>
      <c r="O63" s="18" t="n">
        <v>0.60320333</v>
      </c>
      <c r="P63" s="20" t="n">
        <v>0.35989092</v>
      </c>
      <c r="Q63" s="18" t="n">
        <v>5.27182793</v>
      </c>
      <c r="R63" s="20" t="n">
        <v>1.25883559</v>
      </c>
    </row>
    <row r="64" spans="1:18">
      <c r="A64" s="15" t="s">
        <v>488</v>
      </c>
      <c r="B64" s="17" t="n">
        <v>1844</v>
      </c>
      <c r="C64" s="18">
        <f>(1531.0/B64*100)</f>
        <v/>
      </c>
      <c r="D64" s="19" t="n">
        <v>313</v>
      </c>
      <c r="E64" s="18" t="n">
        <v>45.0291711</v>
      </c>
      <c r="F64" s="20" t="n">
        <v>2.97927633</v>
      </c>
      <c r="G64" s="18" t="n">
        <v>43.94193591</v>
      </c>
      <c r="H64" s="20" t="n">
        <v>2.99789315</v>
      </c>
      <c r="I64" s="18" t="s">
        <v>431</v>
      </c>
      <c r="J64" s="20" t="s">
        <v>431</v>
      </c>
      <c r="K64" s="18" t="n">
        <v>8.47969505</v>
      </c>
      <c r="L64" s="20" t="n">
        <v>1.57264841</v>
      </c>
      <c r="M64" s="18" t="n">
        <v>0</v>
      </c>
      <c r="N64" s="20" t="n">
        <v>0</v>
      </c>
      <c r="O64" s="18" t="n">
        <v>0</v>
      </c>
      <c r="P64" s="20" t="n">
        <v>0</v>
      </c>
      <c r="Q64" s="18" t="n">
        <v>2.54919794</v>
      </c>
      <c r="R64" s="20" t="n">
        <v>0.88644408</v>
      </c>
    </row>
    <row r="65" spans="1:18">
      <c r="A65" s="15" t="s">
        <v>489</v>
      </c>
      <c r="B65" s="17" t="n">
        <v>2691</v>
      </c>
      <c r="C65" s="18">
        <f>(2241.0/B65*100)</f>
        <v/>
      </c>
      <c r="D65" s="19" t="n">
        <v>450</v>
      </c>
      <c r="E65" s="18" t="n">
        <v>38.1412296</v>
      </c>
      <c r="F65" s="20" t="n">
        <v>2.48476968</v>
      </c>
      <c r="G65" s="18" t="n">
        <v>40.09150588</v>
      </c>
      <c r="H65" s="20" t="n">
        <v>2.95601718</v>
      </c>
      <c r="I65" s="18" t="s">
        <v>431</v>
      </c>
      <c r="J65" s="20" t="s">
        <v>431</v>
      </c>
      <c r="K65" s="18" t="n">
        <v>17.15032537</v>
      </c>
      <c r="L65" s="20" t="n">
        <v>2.10083397</v>
      </c>
      <c r="M65" s="18" t="n">
        <v>2.00211163</v>
      </c>
      <c r="N65" s="20" t="n">
        <v>0.74131191</v>
      </c>
      <c r="O65" s="18" t="n">
        <v>0</v>
      </c>
      <c r="P65" s="20" t="n">
        <v>0</v>
      </c>
      <c r="Q65" s="18" t="n">
        <v>2.61482751</v>
      </c>
      <c r="R65" s="20" t="n">
        <v>0.72995787</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(2029.0/B69*100)</f>
        <v/>
      </c>
      <c r="D69" s="19" t="n">
        <v>381</v>
      </c>
      <c r="E69" s="18" t="n">
        <v>52.04422829</v>
      </c>
      <c r="F69" s="20" t="n">
        <v>2.45656444</v>
      </c>
      <c r="G69" s="18" t="n">
        <v>47.18521925</v>
      </c>
      <c r="H69" s="20" t="n">
        <v>2.47147787</v>
      </c>
      <c r="I69" s="18" t="s">
        <v>431</v>
      </c>
      <c r="J69" s="20" t="s">
        <v>431</v>
      </c>
      <c r="K69" s="18" t="n">
        <v>0.25645587</v>
      </c>
      <c r="L69" s="20" t="n">
        <v>0.25552472</v>
      </c>
      <c r="M69" s="18" t="n">
        <v>0</v>
      </c>
      <c r="N69" s="20" t="n">
        <v>0</v>
      </c>
      <c r="O69" s="18" t="n">
        <v>0</v>
      </c>
      <c r="P69" s="20" t="n">
        <v>0</v>
      </c>
      <c r="Q69" s="18" t="n">
        <v>0.5140966</v>
      </c>
      <c r="R69" s="20" t="n">
        <v>0.36330767</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(1846.0/B74*100)</f>
        <v/>
      </c>
      <c r="D74" s="19" t="n">
        <v>393</v>
      </c>
      <c r="E74" s="18" t="n">
        <v>40.15558904</v>
      </c>
      <c r="F74" s="20" t="n">
        <v>2.49385342</v>
      </c>
      <c r="G74" s="18" t="n">
        <v>34.91098379</v>
      </c>
      <c r="H74" s="20" t="n">
        <v>2.47163008</v>
      </c>
      <c r="I74" s="18" t="s">
        <v>431</v>
      </c>
      <c r="J74" s="20" t="s">
        <v>431</v>
      </c>
      <c r="K74" s="18" t="n">
        <v>21.7568836</v>
      </c>
      <c r="L74" s="20" t="n">
        <v>2.16967255</v>
      </c>
      <c r="M74" s="18" t="n">
        <v>0</v>
      </c>
      <c r="N74" s="20" t="n">
        <v>0</v>
      </c>
      <c r="O74" s="18" t="n">
        <v>0.20701937</v>
      </c>
      <c r="P74" s="20" t="n">
        <v>0.20851791</v>
      </c>
      <c r="Q74" s="18" t="n">
        <v>2.96952419</v>
      </c>
      <c r="R74" s="20" t="n">
        <v>0.94563531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(2338.0/B78*100)</f>
        <v/>
      </c>
      <c r="D78" s="19" t="n">
        <v>448</v>
      </c>
      <c r="E78" s="18" t="n">
        <v>31.26346915</v>
      </c>
      <c r="F78" s="20" t="n">
        <v>2.30998873</v>
      </c>
      <c r="G78" s="18" t="n">
        <v>68.57248620999999</v>
      </c>
      <c r="H78" s="20" t="n">
        <v>2.31581754</v>
      </c>
      <c r="I78" s="18" t="s">
        <v>431</v>
      </c>
      <c r="J78" s="20" t="s">
        <v>431</v>
      </c>
      <c r="K78" s="18" t="n">
        <v>0.16404464</v>
      </c>
      <c r="L78" s="20" t="n">
        <v>0.11709005</v>
      </c>
      <c r="M78" s="18" t="n">
        <v>0</v>
      </c>
      <c r="N78" s="20" t="n">
        <v>0</v>
      </c>
      <c r="O78" s="18" t="n">
        <v>0</v>
      </c>
      <c r="P78" s="20" t="n">
        <v>0</v>
      </c>
      <c r="Q78" s="18" t="n">
        <v>0</v>
      </c>
      <c r="R78" s="20" t="n">
        <v>0</v>
      </c>
    </row>
    <row customHeight="1" ht="25" r="79" spans="1:18">
      <c r="A79" s="15" t="s">
        <v>503</v>
      </c>
      <c r="B79" s="17" t="n">
        <v>787</v>
      </c>
      <c r="C79" s="18">
        <f>(669.0/B79*100)</f>
        <v/>
      </c>
      <c r="D79" s="19" t="n">
        <v>118</v>
      </c>
      <c r="E79" s="18" t="n">
        <v>31.10980107</v>
      </c>
      <c r="F79" s="20" t="n">
        <v>4.43753509</v>
      </c>
      <c r="G79" s="18" t="n">
        <v>59.85259645</v>
      </c>
      <c r="H79" s="20" t="n">
        <v>4.49152266</v>
      </c>
      <c r="I79" s="18" t="s">
        <v>431</v>
      </c>
      <c r="J79" s="20" t="s">
        <v>431</v>
      </c>
      <c r="K79" s="18" t="n">
        <v>8.29964294</v>
      </c>
      <c r="L79" s="20" t="n">
        <v>2.12517405</v>
      </c>
      <c r="M79" s="18" t="n">
        <v>0</v>
      </c>
      <c r="N79" s="20" t="n">
        <v>0</v>
      </c>
      <c r="O79" s="18" t="n">
        <v>0</v>
      </c>
      <c r="P79" s="20" t="n">
        <v>0</v>
      </c>
      <c r="Q79" s="18" t="n">
        <v>0.73795954</v>
      </c>
      <c r="R79" s="20" t="n">
        <v>0.47354287</v>
      </c>
    </row>
    <row r="80" spans="1:18">
      <c r="A80" s="15" t="s">
        <v>504</v>
      </c>
      <c r="B80" s="17" t="n">
        <v>3798</v>
      </c>
      <c r="C80" s="18">
        <f>(3167.0/B80*100)</f>
        <v/>
      </c>
      <c r="D80" s="19" t="n">
        <v>631</v>
      </c>
      <c r="E80" s="18" t="n">
        <v>54.82256926</v>
      </c>
      <c r="F80" s="20" t="n">
        <v>2.71377369</v>
      </c>
      <c r="G80" s="18" t="n">
        <v>43.51808067</v>
      </c>
      <c r="H80" s="20" t="n">
        <v>2.67730624</v>
      </c>
      <c r="I80" s="18" t="s">
        <v>431</v>
      </c>
      <c r="J80" s="20" t="s">
        <v>431</v>
      </c>
      <c r="K80" s="18" t="n">
        <v>1.18092369</v>
      </c>
      <c r="L80" s="20" t="n">
        <v>0.46428109</v>
      </c>
      <c r="M80" s="18" t="n">
        <v>0</v>
      </c>
      <c r="N80" s="20" t="n">
        <v>0</v>
      </c>
      <c r="O80" s="18" t="n">
        <v>0</v>
      </c>
      <c r="P80" s="20" t="n">
        <v>0</v>
      </c>
      <c r="Q80" s="18" t="n">
        <v>0.47842638</v>
      </c>
      <c r="R80" s="20" t="n">
        <v>0.28777954</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(2075.0/B44*100)</f>
        <v/>
      </c>
      <c r="D44" s="19" t="n">
        <v>449</v>
      </c>
      <c r="E44" s="18" t="n">
        <v>38.19093533</v>
      </c>
      <c r="F44" s="20" t="n">
        <v>2.88990871</v>
      </c>
      <c r="G44" s="18" t="n">
        <v>43.11176275</v>
      </c>
      <c r="H44" s="20" t="n">
        <v>2.88234538</v>
      </c>
      <c r="I44" s="18" t="s">
        <v>431</v>
      </c>
      <c r="J44" s="20" t="s">
        <v>431</v>
      </c>
      <c r="K44" s="18" t="n">
        <v>16.45297984</v>
      </c>
      <c r="L44" s="20" t="n">
        <v>2.00241496</v>
      </c>
      <c r="M44" s="18" t="n">
        <v>0</v>
      </c>
      <c r="N44" s="20" t="n">
        <v>0</v>
      </c>
      <c r="O44" s="18" t="n">
        <v>0.56501269</v>
      </c>
      <c r="P44" s="20" t="n">
        <v>0.33033809</v>
      </c>
      <c r="Q44" s="18" t="n">
        <v>1.67930939</v>
      </c>
      <c r="R44" s="20" t="n">
        <v>0.63701392</v>
      </c>
    </row>
    <row r="45" spans="1:18">
      <c r="A45" s="15" t="s">
        <v>469</v>
      </c>
      <c r="B45" s="17" t="n">
        <v>2849</v>
      </c>
      <c r="C45" s="18">
        <f>(2371.0/B45*100)</f>
        <v/>
      </c>
      <c r="D45" s="19" t="n">
        <v>478</v>
      </c>
      <c r="E45" s="18" t="n">
        <v>54.24546066</v>
      </c>
      <c r="F45" s="20" t="n">
        <v>2.33373025</v>
      </c>
      <c r="G45" s="18" t="n">
        <v>24.00035974</v>
      </c>
      <c r="H45" s="20" t="n">
        <v>2.21585988</v>
      </c>
      <c r="I45" s="18" t="s">
        <v>431</v>
      </c>
      <c r="J45" s="20" t="s">
        <v>431</v>
      </c>
      <c r="K45" s="18" t="n">
        <v>16.73768679</v>
      </c>
      <c r="L45" s="20" t="n">
        <v>2.11895071</v>
      </c>
      <c r="M45" s="18" t="n">
        <v>0.16939738</v>
      </c>
      <c r="N45" s="20" t="n">
        <v>0.17133231</v>
      </c>
      <c r="O45" s="18" t="n">
        <v>2.86994347</v>
      </c>
      <c r="P45" s="20" t="n">
        <v>0.79902037</v>
      </c>
      <c r="Q45" s="18" t="n">
        <v>1.97715196</v>
      </c>
      <c r="R45" s="20" t="n">
        <v>0.67794436</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(2529.0/B49*100)</f>
        <v/>
      </c>
      <c r="D49" s="19" t="n">
        <v>489</v>
      </c>
      <c r="E49" s="18" t="n">
        <v>49.12861723</v>
      </c>
      <c r="F49" s="20" t="n">
        <v>2.57457305</v>
      </c>
      <c r="G49" s="18" t="n">
        <v>38.187235</v>
      </c>
      <c r="H49" s="20" t="n">
        <v>2.55511787</v>
      </c>
      <c r="I49" s="18" t="s">
        <v>431</v>
      </c>
      <c r="J49" s="20" t="s">
        <v>431</v>
      </c>
      <c r="K49" s="18" t="n">
        <v>10.10962785</v>
      </c>
      <c r="L49" s="20" t="n">
        <v>1.32526108</v>
      </c>
      <c r="M49" s="18" t="n">
        <v>0</v>
      </c>
      <c r="N49" s="20" t="n">
        <v>0</v>
      </c>
      <c r="O49" s="18" t="n">
        <v>1.0169588</v>
      </c>
      <c r="P49" s="20" t="n">
        <v>0.70012285</v>
      </c>
      <c r="Q49" s="18" t="n">
        <v>1.55756111</v>
      </c>
      <c r="R49" s="20" t="n">
        <v>0.54479098</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(2314.0/B55*100)</f>
        <v/>
      </c>
      <c r="D55" s="19" t="n">
        <v>445</v>
      </c>
      <c r="E55" s="18" t="n">
        <v>55.3382493</v>
      </c>
      <c r="F55" s="20" t="n">
        <v>2.64458421</v>
      </c>
      <c r="G55" s="18" t="n">
        <v>34.13049834</v>
      </c>
      <c r="H55" s="20" t="n">
        <v>2.25397402</v>
      </c>
      <c r="I55" s="18" t="s">
        <v>431</v>
      </c>
      <c r="J55" s="20" t="s">
        <v>431</v>
      </c>
      <c r="K55" s="18" t="n">
        <v>9.125189900000001</v>
      </c>
      <c r="L55" s="20" t="n">
        <v>1.33978551</v>
      </c>
      <c r="M55" s="18" t="n">
        <v>0.31012575</v>
      </c>
      <c r="N55" s="20" t="n">
        <v>0.32285064</v>
      </c>
      <c r="O55" s="18" t="n">
        <v>0</v>
      </c>
      <c r="P55" s="20" t="n">
        <v>0</v>
      </c>
      <c r="Q55" s="18" t="n">
        <v>1.09593671</v>
      </c>
      <c r="R55" s="20" t="n">
        <v>0.47377915</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44.58377312</v>
      </c>
      <c r="F57" s="20" t="n">
        <v>2.37105481</v>
      </c>
      <c r="G57" s="18" t="n">
        <v>49.64400065</v>
      </c>
      <c r="H57" s="20" t="n">
        <v>2.30247307</v>
      </c>
      <c r="I57" s="18" t="s">
        <v>431</v>
      </c>
      <c r="J57" s="20" t="s">
        <v>431</v>
      </c>
      <c r="K57" s="18" t="n">
        <v>5.00456827</v>
      </c>
      <c r="L57" s="20" t="n">
        <v>1.13389075</v>
      </c>
      <c r="M57" s="18" t="n">
        <v>0</v>
      </c>
      <c r="N57" s="20" t="n">
        <v>0</v>
      </c>
      <c r="O57" s="18" t="n">
        <v>0</v>
      </c>
      <c r="P57" s="20" t="n">
        <v>0</v>
      </c>
      <c r="Q57" s="18" t="n">
        <v>0.76765796</v>
      </c>
      <c r="R57" s="20" t="n">
        <v>0.39462001</v>
      </c>
    </row>
    <row r="58" spans="1:18">
      <c r="A58" s="15" t="s">
        <v>482</v>
      </c>
      <c r="B58" s="17" t="n">
        <v>3530</v>
      </c>
      <c r="C58" s="18">
        <f>(2943.0/B58*100)</f>
        <v/>
      </c>
      <c r="D58" s="19" t="n">
        <v>587</v>
      </c>
      <c r="E58" s="18" t="n">
        <v>58.82199255</v>
      </c>
      <c r="F58" s="20" t="n">
        <v>1.91179665</v>
      </c>
      <c r="G58" s="18" t="n">
        <v>28.52180381</v>
      </c>
      <c r="H58" s="20" t="n">
        <v>1.75932209</v>
      </c>
      <c r="I58" s="18" t="s">
        <v>431</v>
      </c>
      <c r="J58" s="20" t="s">
        <v>431</v>
      </c>
      <c r="K58" s="18" t="n">
        <v>11.10450967</v>
      </c>
      <c r="L58" s="20" t="n">
        <v>1.6457886</v>
      </c>
      <c r="M58" s="18" t="n">
        <v>0</v>
      </c>
      <c r="N58" s="20" t="n">
        <v>0</v>
      </c>
      <c r="O58" s="18" t="n">
        <v>0</v>
      </c>
      <c r="P58" s="20" t="n">
        <v>0</v>
      </c>
      <c r="Q58" s="18" t="n">
        <v>1.55169398</v>
      </c>
      <c r="R58" s="20" t="n">
        <v>0.56654604</v>
      </c>
    </row>
    <row r="59" spans="1:18">
      <c r="A59" s="15" t="s">
        <v>483</v>
      </c>
      <c r="B59" s="17" t="n">
        <v>2548</v>
      </c>
      <c r="C59" s="18">
        <f>(2124.0/B59*100)</f>
        <v/>
      </c>
      <c r="D59" s="19" t="n">
        <v>424</v>
      </c>
      <c r="E59" s="18" t="n">
        <v>63.3562168</v>
      </c>
      <c r="F59" s="20" t="n">
        <v>3.6703835</v>
      </c>
      <c r="G59" s="18" t="n">
        <v>31.9391815</v>
      </c>
      <c r="H59" s="20" t="n">
        <v>3.546657</v>
      </c>
      <c r="I59" s="18" t="s">
        <v>431</v>
      </c>
      <c r="J59" s="20" t="s">
        <v>431</v>
      </c>
      <c r="K59" s="18" t="n">
        <v>2.98986487</v>
      </c>
      <c r="L59" s="20" t="n">
        <v>0.9739386799999999</v>
      </c>
      <c r="M59" s="18" t="n">
        <v>0</v>
      </c>
      <c r="N59" s="20" t="n">
        <v>0</v>
      </c>
      <c r="O59" s="18" t="n">
        <v>0.78344349</v>
      </c>
      <c r="P59" s="20" t="n">
        <v>0.36573688</v>
      </c>
      <c r="Q59" s="18" t="n">
        <v>0.93129334</v>
      </c>
      <c r="R59" s="20" t="n">
        <v>0.48811565</v>
      </c>
    </row>
    <row r="60" spans="1:18">
      <c r="A60" s="15" t="s">
        <v>484</v>
      </c>
      <c r="B60" s="17" t="n">
        <v>2095</v>
      </c>
      <c r="C60" s="18">
        <f>(1743.0/B60*100)</f>
        <v/>
      </c>
      <c r="D60" s="19" t="n">
        <v>352</v>
      </c>
      <c r="E60" s="18" t="n">
        <v>51.80350029</v>
      </c>
      <c r="F60" s="20" t="n">
        <v>3.31335272</v>
      </c>
      <c r="G60" s="18" t="n">
        <v>26.15224034</v>
      </c>
      <c r="H60" s="20" t="n">
        <v>2.73645148</v>
      </c>
      <c r="I60" s="18" t="s">
        <v>431</v>
      </c>
      <c r="J60" s="20" t="s">
        <v>431</v>
      </c>
      <c r="K60" s="18" t="n">
        <v>18.99463732</v>
      </c>
      <c r="L60" s="20" t="n">
        <v>2.27836318</v>
      </c>
      <c r="M60" s="18" t="n">
        <v>0</v>
      </c>
      <c r="N60" s="20" t="n">
        <v>0</v>
      </c>
      <c r="O60" s="18" t="n">
        <v>1.74902746</v>
      </c>
      <c r="P60" s="20" t="n">
        <v>0.9813336</v>
      </c>
      <c r="Q60" s="18" t="n">
        <v>1.30059458</v>
      </c>
      <c r="R60" s="20" t="n">
        <v>0.68026213</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(2353.0/B63*100)</f>
        <v/>
      </c>
      <c r="D63" s="19" t="n">
        <v>460</v>
      </c>
      <c r="E63" s="18" t="n">
        <v>62.08476709</v>
      </c>
      <c r="F63" s="20" t="n">
        <v>2.80658662</v>
      </c>
      <c r="G63" s="18" t="n">
        <v>22.0393344</v>
      </c>
      <c r="H63" s="20" t="n">
        <v>2.17370777</v>
      </c>
      <c r="I63" s="18" t="s">
        <v>431</v>
      </c>
      <c r="J63" s="20" t="s">
        <v>431</v>
      </c>
      <c r="K63" s="18" t="n">
        <v>12.15880258</v>
      </c>
      <c r="L63" s="20" t="n">
        <v>1.71918225</v>
      </c>
      <c r="M63" s="18" t="n">
        <v>0</v>
      </c>
      <c r="N63" s="20" t="n">
        <v>0</v>
      </c>
      <c r="O63" s="18" t="n">
        <v>0.25351769</v>
      </c>
      <c r="P63" s="20" t="n">
        <v>0.25499738</v>
      </c>
      <c r="Q63" s="18" t="n">
        <v>3.46357824</v>
      </c>
      <c r="R63" s="20" t="n">
        <v>1.03364795</v>
      </c>
    </row>
    <row r="64" spans="1:18">
      <c r="A64" s="15" t="s">
        <v>488</v>
      </c>
      <c r="B64" s="17" t="n">
        <v>1844</v>
      </c>
      <c r="C64" s="18">
        <f>(1531.0/B64*100)</f>
        <v/>
      </c>
      <c r="D64" s="19" t="n">
        <v>313</v>
      </c>
      <c r="E64" s="18" t="n">
        <v>49.84136745</v>
      </c>
      <c r="F64" s="20" t="n">
        <v>2.85533325</v>
      </c>
      <c r="G64" s="18" t="n">
        <v>39.70449736</v>
      </c>
      <c r="H64" s="20" t="n">
        <v>2.44759755</v>
      </c>
      <c r="I64" s="18" t="s">
        <v>431</v>
      </c>
      <c r="J64" s="20" t="s">
        <v>431</v>
      </c>
      <c r="K64" s="18" t="n">
        <v>8.78993273</v>
      </c>
      <c r="L64" s="20" t="n">
        <v>1.59913177</v>
      </c>
      <c r="M64" s="18" t="n">
        <v>0</v>
      </c>
      <c r="N64" s="20" t="n">
        <v>0</v>
      </c>
      <c r="O64" s="18" t="n">
        <v>0</v>
      </c>
      <c r="P64" s="20" t="n">
        <v>0</v>
      </c>
      <c r="Q64" s="18" t="n">
        <v>1.66420246</v>
      </c>
      <c r="R64" s="20" t="n">
        <v>0.73370907</v>
      </c>
    </row>
    <row r="65" spans="1:18">
      <c r="A65" s="15" t="s">
        <v>489</v>
      </c>
      <c r="B65" s="17" t="n">
        <v>2691</v>
      </c>
      <c r="C65" s="18">
        <f>(2241.0/B65*100)</f>
        <v/>
      </c>
      <c r="D65" s="19" t="n">
        <v>450</v>
      </c>
      <c r="E65" s="18" t="n">
        <v>40.35529591</v>
      </c>
      <c r="F65" s="20" t="n">
        <v>2.42355887</v>
      </c>
      <c r="G65" s="18" t="n">
        <v>37.44111104</v>
      </c>
      <c r="H65" s="20" t="n">
        <v>2.39945201</v>
      </c>
      <c r="I65" s="18" t="s">
        <v>431</v>
      </c>
      <c r="J65" s="20" t="s">
        <v>431</v>
      </c>
      <c r="K65" s="18" t="n">
        <v>18.75559588</v>
      </c>
      <c r="L65" s="20" t="n">
        <v>2.12521796</v>
      </c>
      <c r="M65" s="18" t="n">
        <v>2.3173577</v>
      </c>
      <c r="N65" s="20" t="n">
        <v>0.77239331</v>
      </c>
      <c r="O65" s="18" t="n">
        <v>0</v>
      </c>
      <c r="P65" s="20" t="n">
        <v>0</v>
      </c>
      <c r="Q65" s="18" t="n">
        <v>1.13063948</v>
      </c>
      <c r="R65" s="20" t="n">
        <v>0.35516169</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(2029.0/B69*100)</f>
        <v/>
      </c>
      <c r="D69" s="19" t="n">
        <v>381</v>
      </c>
      <c r="E69" s="18" t="n">
        <v>59.05046436</v>
      </c>
      <c r="F69" s="20" t="n">
        <v>2.55319963</v>
      </c>
      <c r="G69" s="18" t="n">
        <v>40.19265334</v>
      </c>
      <c r="H69" s="20" t="n">
        <v>2.53148559</v>
      </c>
      <c r="I69" s="18" t="s">
        <v>431</v>
      </c>
      <c r="J69" s="20" t="s">
        <v>431</v>
      </c>
      <c r="K69" s="18" t="n">
        <v>0.51049237</v>
      </c>
      <c r="L69" s="20" t="n">
        <v>0.35953962</v>
      </c>
      <c r="M69" s="18" t="n">
        <v>0</v>
      </c>
      <c r="N69" s="20" t="n">
        <v>0</v>
      </c>
      <c r="O69" s="18" t="n">
        <v>0</v>
      </c>
      <c r="P69" s="20" t="n">
        <v>0</v>
      </c>
      <c r="Q69" s="18" t="n">
        <v>0.24638994</v>
      </c>
      <c r="R69" s="20" t="n">
        <v>0.24528273</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(1846.0/B74*100)</f>
        <v/>
      </c>
      <c r="D74" s="19" t="n">
        <v>393</v>
      </c>
      <c r="E74" s="18" t="n">
        <v>50.95124999</v>
      </c>
      <c r="F74" s="20" t="n">
        <v>2.58693495</v>
      </c>
      <c r="G74" s="18" t="n">
        <v>24.65479076</v>
      </c>
      <c r="H74" s="20" t="n">
        <v>2.3871057</v>
      </c>
      <c r="I74" s="18" t="s">
        <v>431</v>
      </c>
      <c r="J74" s="20" t="s">
        <v>431</v>
      </c>
      <c r="K74" s="18" t="n">
        <v>22.28932241</v>
      </c>
      <c r="L74" s="20" t="n">
        <v>2.2084505</v>
      </c>
      <c r="M74" s="18" t="n">
        <v>0</v>
      </c>
      <c r="N74" s="20" t="n">
        <v>0</v>
      </c>
      <c r="O74" s="18" t="n">
        <v>0</v>
      </c>
      <c r="P74" s="20" t="n">
        <v>0</v>
      </c>
      <c r="Q74" s="18" t="n">
        <v>2.10463684</v>
      </c>
      <c r="R74" s="20" t="n">
        <v>0.87428872</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(2338.0/B78*100)</f>
        <v/>
      </c>
      <c r="D78" s="19" t="n">
        <v>448</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787</v>
      </c>
      <c r="C79" s="18">
        <f>(669.0/B79*100)</f>
        <v/>
      </c>
      <c r="D79" s="19" t="n">
        <v>118</v>
      </c>
      <c r="E79" s="18" t="n">
        <v>38.44673859</v>
      </c>
      <c r="F79" s="20" t="n">
        <v>5.06374928</v>
      </c>
      <c r="G79" s="18" t="n">
        <v>51.52731055</v>
      </c>
      <c r="H79" s="20" t="n">
        <v>5.62601377</v>
      </c>
      <c r="I79" s="18" t="s">
        <v>431</v>
      </c>
      <c r="J79" s="20" t="s">
        <v>431</v>
      </c>
      <c r="K79" s="18" t="n">
        <v>8.29964294</v>
      </c>
      <c r="L79" s="20" t="n">
        <v>2.12517405</v>
      </c>
      <c r="M79" s="18" t="n">
        <v>0</v>
      </c>
      <c r="N79" s="20" t="n">
        <v>0</v>
      </c>
      <c r="O79" s="18" t="n">
        <v>0</v>
      </c>
      <c r="P79" s="20" t="n">
        <v>0</v>
      </c>
      <c r="Q79" s="18" t="n">
        <v>1.72630792</v>
      </c>
      <c r="R79" s="20" t="n">
        <v>1.0189959</v>
      </c>
    </row>
    <row r="80" spans="1:18">
      <c r="A80" s="15" t="s">
        <v>504</v>
      </c>
      <c r="B80" s="17" t="n">
        <v>3798</v>
      </c>
      <c r="C80" s="18">
        <f>(3167.0/B80*100)</f>
        <v/>
      </c>
      <c r="D80" s="19" t="n">
        <v>631</v>
      </c>
      <c r="E80" s="18" t="n">
        <v>58.10552837</v>
      </c>
      <c r="F80" s="20" t="n">
        <v>2.872434</v>
      </c>
      <c r="G80" s="18" t="n">
        <v>40.47953957</v>
      </c>
      <c r="H80" s="20" t="n">
        <v>2.8424697</v>
      </c>
      <c r="I80" s="18" t="s">
        <v>431</v>
      </c>
      <c r="J80" s="20" t="s">
        <v>431</v>
      </c>
      <c r="K80" s="18" t="n">
        <v>1.18092369</v>
      </c>
      <c r="L80" s="20" t="n">
        <v>0.46428109</v>
      </c>
      <c r="M80" s="18" t="n">
        <v>0</v>
      </c>
      <c r="N80" s="20" t="n">
        <v>0</v>
      </c>
      <c r="O80" s="18" t="n">
        <v>0</v>
      </c>
      <c r="P80" s="20" t="n">
        <v>0</v>
      </c>
      <c r="Q80" s="18" t="n">
        <v>0.23400837</v>
      </c>
      <c r="R80" s="20" t="n">
        <v>0.15816267</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(2075.0/B44*100)</f>
        <v/>
      </c>
      <c r="D44" s="19" t="n">
        <v>449</v>
      </c>
      <c r="E44" s="18" t="n">
        <v>27.59814469</v>
      </c>
      <c r="F44" s="20" t="n">
        <v>2.48612149</v>
      </c>
      <c r="G44" s="18" t="n">
        <v>53.31366306</v>
      </c>
      <c r="H44" s="20" t="n">
        <v>2.50629506</v>
      </c>
      <c r="I44" s="18" t="s">
        <v>431</v>
      </c>
      <c r="J44" s="20" t="s">
        <v>431</v>
      </c>
      <c r="K44" s="18" t="n">
        <v>18.08813122</v>
      </c>
      <c r="L44" s="20" t="n">
        <v>2.0252975</v>
      </c>
      <c r="M44" s="18" t="n">
        <v>0</v>
      </c>
      <c r="N44" s="20" t="n">
        <v>0</v>
      </c>
      <c r="O44" s="18" t="n">
        <v>0.81907572</v>
      </c>
      <c r="P44" s="20" t="n">
        <v>0.41634701</v>
      </c>
      <c r="Q44" s="18" t="n">
        <v>0.18098532</v>
      </c>
      <c r="R44" s="20" t="n">
        <v>0.17552729</v>
      </c>
    </row>
    <row r="45" spans="1:18">
      <c r="A45" s="15" t="s">
        <v>469</v>
      </c>
      <c r="B45" s="17" t="n">
        <v>2849</v>
      </c>
      <c r="C45" s="18">
        <f>(2371.0/B45*100)</f>
        <v/>
      </c>
      <c r="D45" s="19" t="n">
        <v>478</v>
      </c>
      <c r="E45" s="18" t="n">
        <v>42.43456359</v>
      </c>
      <c r="F45" s="20" t="n">
        <v>2.56823397</v>
      </c>
      <c r="G45" s="18" t="n">
        <v>35.39657464</v>
      </c>
      <c r="H45" s="20" t="n">
        <v>2.47259869</v>
      </c>
      <c r="I45" s="18" t="s">
        <v>431</v>
      </c>
      <c r="J45" s="20" t="s">
        <v>431</v>
      </c>
      <c r="K45" s="18" t="n">
        <v>18.71563005</v>
      </c>
      <c r="L45" s="20" t="n">
        <v>2.22198698</v>
      </c>
      <c r="M45" s="18" t="n">
        <v>0.33063353</v>
      </c>
      <c r="N45" s="20" t="n">
        <v>0.237366</v>
      </c>
      <c r="O45" s="18" t="n">
        <v>1.96963871</v>
      </c>
      <c r="P45" s="20" t="n">
        <v>0.67626597</v>
      </c>
      <c r="Q45" s="18" t="n">
        <v>1.15295949</v>
      </c>
      <c r="R45" s="20" t="n">
        <v>0.48751506</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(2529.0/B49*100)</f>
        <v/>
      </c>
      <c r="D49" s="19" t="n">
        <v>489</v>
      </c>
      <c r="E49" s="18" t="n">
        <v>29.56870894</v>
      </c>
      <c r="F49" s="20" t="n">
        <v>2.41144752</v>
      </c>
      <c r="G49" s="18" t="n">
        <v>59.54776154</v>
      </c>
      <c r="H49" s="20" t="n">
        <v>2.44484744</v>
      </c>
      <c r="I49" s="18" t="s">
        <v>431</v>
      </c>
      <c r="J49" s="20" t="s">
        <v>431</v>
      </c>
      <c r="K49" s="18" t="n">
        <v>10.10962785</v>
      </c>
      <c r="L49" s="20" t="n">
        <v>1.32526108</v>
      </c>
      <c r="M49" s="18" t="n">
        <v>0</v>
      </c>
      <c r="N49" s="20" t="n">
        <v>0</v>
      </c>
      <c r="O49" s="18" t="n">
        <v>0.70257298</v>
      </c>
      <c r="P49" s="20" t="n">
        <v>0.5309241</v>
      </c>
      <c r="Q49" s="18" t="n">
        <v>0.07132868000000001</v>
      </c>
      <c r="R49" s="20" t="n">
        <v>0.06720586000000001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(2314.0/B55*100)</f>
        <v/>
      </c>
      <c r="D55" s="19" t="n">
        <v>445</v>
      </c>
      <c r="E55" s="18" t="n">
        <v>36.16328596</v>
      </c>
      <c r="F55" s="20" t="n">
        <v>2.59943199</v>
      </c>
      <c r="G55" s="18" t="n">
        <v>54.50957762</v>
      </c>
      <c r="H55" s="20" t="n">
        <v>2.54443704</v>
      </c>
      <c r="I55" s="18" t="s">
        <v>431</v>
      </c>
      <c r="J55" s="20" t="s">
        <v>431</v>
      </c>
      <c r="K55" s="18" t="n">
        <v>9.125189900000001</v>
      </c>
      <c r="L55" s="20" t="n">
        <v>1.33978551</v>
      </c>
      <c r="M55" s="18" t="n">
        <v>0</v>
      </c>
      <c r="N55" s="20" t="n">
        <v>0</v>
      </c>
      <c r="O55" s="18" t="n">
        <v>0</v>
      </c>
      <c r="P55" s="20" t="n">
        <v>0</v>
      </c>
      <c r="Q55" s="18" t="n">
        <v>0.20194652</v>
      </c>
      <c r="R55" s="20" t="n">
        <v>0.20178566</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31.36518223</v>
      </c>
      <c r="F57" s="20" t="n">
        <v>2.28810473</v>
      </c>
      <c r="G57" s="18" t="n">
        <v>62.79244399</v>
      </c>
      <c r="H57" s="20" t="n">
        <v>2.35325243</v>
      </c>
      <c r="I57" s="18" t="s">
        <v>431</v>
      </c>
      <c r="J57" s="20" t="s">
        <v>431</v>
      </c>
      <c r="K57" s="18" t="n">
        <v>5.55800403</v>
      </c>
      <c r="L57" s="20" t="n">
        <v>1.23172147</v>
      </c>
      <c r="M57" s="18" t="n">
        <v>0</v>
      </c>
      <c r="N57" s="20" t="n">
        <v>0</v>
      </c>
      <c r="O57" s="18" t="n">
        <v>0</v>
      </c>
      <c r="P57" s="20" t="n">
        <v>0</v>
      </c>
      <c r="Q57" s="18" t="n">
        <v>0.28436974</v>
      </c>
      <c r="R57" s="20" t="n">
        <v>0.21179841</v>
      </c>
    </row>
    <row r="58" spans="1:18">
      <c r="A58" s="15" t="s">
        <v>482</v>
      </c>
      <c r="B58" s="17" t="n">
        <v>3530</v>
      </c>
      <c r="C58" s="18">
        <f>(2943.0/B58*100)</f>
        <v/>
      </c>
      <c r="D58" s="19" t="n">
        <v>587</v>
      </c>
      <c r="E58" s="18" t="n">
        <v>35.56033169</v>
      </c>
      <c r="F58" s="20" t="n">
        <v>2.7431888</v>
      </c>
      <c r="G58" s="18" t="n">
        <v>51.98354281</v>
      </c>
      <c r="H58" s="20" t="n">
        <v>2.85809456</v>
      </c>
      <c r="I58" s="18" t="s">
        <v>431</v>
      </c>
      <c r="J58" s="20" t="s">
        <v>431</v>
      </c>
      <c r="K58" s="18" t="n">
        <v>12.05706761</v>
      </c>
      <c r="L58" s="20" t="n">
        <v>1.72421425</v>
      </c>
      <c r="M58" s="18" t="n">
        <v>0</v>
      </c>
      <c r="N58" s="20" t="n">
        <v>0</v>
      </c>
      <c r="O58" s="18" t="n">
        <v>0</v>
      </c>
      <c r="P58" s="20" t="n">
        <v>0</v>
      </c>
      <c r="Q58" s="18" t="n">
        <v>0.39905789</v>
      </c>
      <c r="R58" s="20" t="n">
        <v>0.28505667</v>
      </c>
    </row>
    <row r="59" spans="1:18">
      <c r="A59" s="15" t="s">
        <v>483</v>
      </c>
      <c r="B59" s="17" t="n">
        <v>2548</v>
      </c>
      <c r="C59" s="18">
        <f>(2124.0/B59*100)</f>
        <v/>
      </c>
      <c r="D59" s="19" t="n">
        <v>424</v>
      </c>
      <c r="E59" s="18" t="n">
        <v>52.74070167</v>
      </c>
      <c r="F59" s="20" t="n">
        <v>2.90592052</v>
      </c>
      <c r="G59" s="18" t="n">
        <v>42.50722712</v>
      </c>
      <c r="H59" s="20" t="n">
        <v>2.913967</v>
      </c>
      <c r="I59" s="18" t="s">
        <v>431</v>
      </c>
      <c r="J59" s="20" t="s">
        <v>431</v>
      </c>
      <c r="K59" s="18" t="n">
        <v>3.32950671</v>
      </c>
      <c r="L59" s="20" t="n">
        <v>1.02043328</v>
      </c>
      <c r="M59" s="18" t="n">
        <v>0</v>
      </c>
      <c r="N59" s="20" t="n">
        <v>0</v>
      </c>
      <c r="O59" s="18" t="n">
        <v>1.42256449</v>
      </c>
      <c r="P59" s="20" t="n">
        <v>0.59755189</v>
      </c>
      <c r="Q59" s="18" t="n">
        <v>0</v>
      </c>
      <c r="R59" s="20" t="n">
        <v>0</v>
      </c>
    </row>
    <row r="60" spans="1:18">
      <c r="A60" s="15" t="s">
        <v>484</v>
      </c>
      <c r="B60" s="17" t="n">
        <v>2095</v>
      </c>
      <c r="C60" s="18">
        <f>(1743.0/B60*100)</f>
        <v/>
      </c>
      <c r="D60" s="19" t="n">
        <v>352</v>
      </c>
      <c r="E60" s="18" t="n">
        <v>36.78492029</v>
      </c>
      <c r="F60" s="20" t="n">
        <v>3.35203078</v>
      </c>
      <c r="G60" s="18" t="n">
        <v>41.54898753</v>
      </c>
      <c r="H60" s="20" t="n">
        <v>2.7134702</v>
      </c>
      <c r="I60" s="18" t="s">
        <v>431</v>
      </c>
      <c r="J60" s="20" t="s">
        <v>431</v>
      </c>
      <c r="K60" s="18" t="n">
        <v>19.41962141</v>
      </c>
      <c r="L60" s="20" t="n">
        <v>2.29584065</v>
      </c>
      <c r="M60" s="18" t="n">
        <v>0</v>
      </c>
      <c r="N60" s="20" t="n">
        <v>0</v>
      </c>
      <c r="O60" s="18" t="n">
        <v>1.44548289</v>
      </c>
      <c r="P60" s="20" t="n">
        <v>0.96029389</v>
      </c>
      <c r="Q60" s="18" t="n">
        <v>0.80098788</v>
      </c>
      <c r="R60" s="20" t="n">
        <v>0.46243254</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(2353.0/B63*100)</f>
        <v/>
      </c>
      <c r="D63" s="19" t="n">
        <v>460</v>
      </c>
      <c r="E63" s="18" t="n">
        <v>44.38701802</v>
      </c>
      <c r="F63" s="20" t="n">
        <v>2.47184388</v>
      </c>
      <c r="G63" s="18" t="n">
        <v>40.21829119</v>
      </c>
      <c r="H63" s="20" t="n">
        <v>2.38418292</v>
      </c>
      <c r="I63" s="18" t="s">
        <v>431</v>
      </c>
      <c r="J63" s="20" t="s">
        <v>431</v>
      </c>
      <c r="K63" s="18" t="n">
        <v>13.77369651</v>
      </c>
      <c r="L63" s="20" t="n">
        <v>1.90609566</v>
      </c>
      <c r="M63" s="18" t="n">
        <v>0</v>
      </c>
      <c r="N63" s="20" t="n">
        <v>0</v>
      </c>
      <c r="O63" s="18" t="n">
        <v>1.02660468</v>
      </c>
      <c r="P63" s="20" t="n">
        <v>0.4656867</v>
      </c>
      <c r="Q63" s="18" t="n">
        <v>0.59438961</v>
      </c>
      <c r="R63" s="20" t="n">
        <v>0.42306889</v>
      </c>
    </row>
    <row r="64" spans="1:18">
      <c r="A64" s="15" t="s">
        <v>488</v>
      </c>
      <c r="B64" s="17" t="n">
        <v>1844</v>
      </c>
      <c r="C64" s="18">
        <f>(1531.0/B64*100)</f>
        <v/>
      </c>
      <c r="D64" s="19" t="n">
        <v>313</v>
      </c>
      <c r="E64" s="18" t="n">
        <v>38.1205578</v>
      </c>
      <c r="F64" s="20" t="n">
        <v>2.87965399</v>
      </c>
      <c r="G64" s="18" t="n">
        <v>52.11252245</v>
      </c>
      <c r="H64" s="20" t="n">
        <v>3.07883201</v>
      </c>
      <c r="I64" s="18" t="s">
        <v>431</v>
      </c>
      <c r="J64" s="20" t="s">
        <v>431</v>
      </c>
      <c r="K64" s="18" t="n">
        <v>9.41495188</v>
      </c>
      <c r="L64" s="20" t="n">
        <v>1.60770867</v>
      </c>
      <c r="M64" s="18" t="n">
        <v>0</v>
      </c>
      <c r="N64" s="20" t="n">
        <v>0</v>
      </c>
      <c r="O64" s="18" t="n">
        <v>0</v>
      </c>
      <c r="P64" s="20" t="n">
        <v>0</v>
      </c>
      <c r="Q64" s="18" t="n">
        <v>0.35196787</v>
      </c>
      <c r="R64" s="20" t="n">
        <v>0.35039</v>
      </c>
    </row>
    <row r="65" spans="1:18">
      <c r="A65" s="15" t="s">
        <v>489</v>
      </c>
      <c r="B65" s="17" t="n">
        <v>2691</v>
      </c>
      <c r="C65" s="18">
        <f>(2241.0/B65*100)</f>
        <v/>
      </c>
      <c r="D65" s="19" t="n">
        <v>450</v>
      </c>
      <c r="E65" s="18" t="n">
        <v>28.56651027</v>
      </c>
      <c r="F65" s="20" t="n">
        <v>2.03495594</v>
      </c>
      <c r="G65" s="18" t="n">
        <v>49.91665989</v>
      </c>
      <c r="H65" s="20" t="n">
        <v>2.21666307</v>
      </c>
      <c r="I65" s="18" t="s">
        <v>431</v>
      </c>
      <c r="J65" s="20" t="s">
        <v>431</v>
      </c>
      <c r="K65" s="18" t="n">
        <v>19.32634577</v>
      </c>
      <c r="L65" s="20" t="n">
        <v>2.11942737</v>
      </c>
      <c r="M65" s="18" t="n">
        <v>2.01505925</v>
      </c>
      <c r="N65" s="20" t="n">
        <v>0.7025534</v>
      </c>
      <c r="O65" s="18" t="n">
        <v>0</v>
      </c>
      <c r="P65" s="20" t="n">
        <v>0</v>
      </c>
      <c r="Q65" s="18" t="n">
        <v>0.17542482</v>
      </c>
      <c r="R65" s="20" t="n">
        <v>0.17515122</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(2029.0/B69*100)</f>
        <v/>
      </c>
      <c r="D69" s="19" t="n">
        <v>381</v>
      </c>
      <c r="E69" s="18" t="n">
        <v>49.66035776</v>
      </c>
      <c r="F69" s="20" t="n">
        <v>2.5439322</v>
      </c>
      <c r="G69" s="18" t="n">
        <v>49.58275993</v>
      </c>
      <c r="H69" s="20" t="n">
        <v>2.5510141</v>
      </c>
      <c r="I69" s="18" t="s">
        <v>431</v>
      </c>
      <c r="J69" s="20" t="s">
        <v>431</v>
      </c>
      <c r="K69" s="18" t="n">
        <v>0.51049237</v>
      </c>
      <c r="L69" s="20" t="n">
        <v>0.35953962</v>
      </c>
      <c r="M69" s="18" t="n">
        <v>0</v>
      </c>
      <c r="N69" s="20" t="n">
        <v>0</v>
      </c>
      <c r="O69" s="18" t="n">
        <v>0</v>
      </c>
      <c r="P69" s="20" t="n">
        <v>0</v>
      </c>
      <c r="Q69" s="18" t="n">
        <v>0.24638994</v>
      </c>
      <c r="R69" s="20" t="n">
        <v>0.24528273</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(1846.0/B74*100)</f>
        <v/>
      </c>
      <c r="D74" s="19" t="n">
        <v>393</v>
      </c>
      <c r="E74" s="18" t="n">
        <v>27.58103362</v>
      </c>
      <c r="F74" s="20" t="n">
        <v>2.27310373</v>
      </c>
      <c r="G74" s="18" t="n">
        <v>49.82745844</v>
      </c>
      <c r="H74" s="20" t="n">
        <v>2.64436685</v>
      </c>
      <c r="I74" s="18" t="s">
        <v>431</v>
      </c>
      <c r="J74" s="20" t="s">
        <v>431</v>
      </c>
      <c r="K74" s="18" t="n">
        <v>22.42678397</v>
      </c>
      <c r="L74" s="20" t="n">
        <v>2.22952465</v>
      </c>
      <c r="M74" s="18" t="n">
        <v>0</v>
      </c>
      <c r="N74" s="20" t="n">
        <v>0</v>
      </c>
      <c r="O74" s="18" t="n">
        <v>0</v>
      </c>
      <c r="P74" s="20" t="n">
        <v>0</v>
      </c>
      <c r="Q74" s="18" t="n">
        <v>0.16472397</v>
      </c>
      <c r="R74" s="20" t="n">
        <v>0.1567137</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(2338.0/B78*100)</f>
        <v/>
      </c>
      <c r="D78" s="19" t="n">
        <v>448</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787</v>
      </c>
      <c r="C79" s="18">
        <f>(669.0/B79*100)</f>
        <v/>
      </c>
      <c r="D79" s="19" t="n">
        <v>118</v>
      </c>
      <c r="E79" s="18" t="n">
        <v>16.39108111</v>
      </c>
      <c r="F79" s="20" t="n">
        <v>3.09972496</v>
      </c>
      <c r="G79" s="18" t="n">
        <v>74.32092756</v>
      </c>
      <c r="H79" s="20" t="n">
        <v>4.00834765</v>
      </c>
      <c r="I79" s="18" t="s">
        <v>431</v>
      </c>
      <c r="J79" s="20" t="s">
        <v>431</v>
      </c>
      <c r="K79" s="18" t="n">
        <v>8.29964294</v>
      </c>
      <c r="L79" s="20" t="n">
        <v>2.12517405</v>
      </c>
      <c r="M79" s="18" t="n">
        <v>0</v>
      </c>
      <c r="N79" s="20" t="n">
        <v>0</v>
      </c>
      <c r="O79" s="18" t="n">
        <v>0</v>
      </c>
      <c r="P79" s="20" t="n">
        <v>0</v>
      </c>
      <c r="Q79" s="18" t="n">
        <v>0.98834838</v>
      </c>
      <c r="R79" s="20" t="n">
        <v>0.93176071</v>
      </c>
    </row>
    <row r="80" spans="1:18">
      <c r="A80" s="15" t="s">
        <v>504</v>
      </c>
      <c r="B80" s="17" t="n">
        <v>3798</v>
      </c>
      <c r="C80" s="18">
        <f>(3167.0/B80*100)</f>
        <v/>
      </c>
      <c r="D80" s="19" t="n">
        <v>631</v>
      </c>
      <c r="E80" s="18" t="n">
        <v>34.77457801</v>
      </c>
      <c r="F80" s="20" t="n">
        <v>2.56391929</v>
      </c>
      <c r="G80" s="18" t="n">
        <v>64.0444983</v>
      </c>
      <c r="H80" s="20" t="n">
        <v>2.62412411</v>
      </c>
      <c r="I80" s="18" t="s">
        <v>431</v>
      </c>
      <c r="J80" s="20" t="s">
        <v>431</v>
      </c>
      <c r="K80" s="18" t="n">
        <v>1.18092369</v>
      </c>
      <c r="L80" s="20" t="n">
        <v>0.46428109</v>
      </c>
      <c r="M80" s="18" t="n">
        <v>0</v>
      </c>
      <c r="N80" s="20" t="n">
        <v>0</v>
      </c>
      <c r="O80" s="18" t="n">
        <v>0</v>
      </c>
      <c r="P80" s="20" t="n">
        <v>0</v>
      </c>
      <c r="Q80" s="18" t="n">
        <v>0</v>
      </c>
      <c r="R80" s="20" t="n">
        <v>0</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(2075.0/B44*100)</f>
        <v/>
      </c>
      <c r="D44" s="19" t="n">
        <v>449</v>
      </c>
      <c r="E44" s="18" t="n">
        <v>41.23372886</v>
      </c>
      <c r="F44" s="20" t="n">
        <v>3.01449261</v>
      </c>
      <c r="G44" s="18" t="n">
        <v>38.08084571</v>
      </c>
      <c r="H44" s="20" t="n">
        <v>2.47650661</v>
      </c>
      <c r="I44" s="18" t="s">
        <v>431</v>
      </c>
      <c r="J44" s="20" t="s">
        <v>431</v>
      </c>
      <c r="K44" s="18" t="n">
        <v>20.13190029</v>
      </c>
      <c r="L44" s="20" t="n">
        <v>2.03645072</v>
      </c>
      <c r="M44" s="18" t="n">
        <v>0</v>
      </c>
      <c r="N44" s="20" t="n">
        <v>0</v>
      </c>
      <c r="O44" s="18" t="n">
        <v>0.55352514</v>
      </c>
      <c r="P44" s="20" t="n">
        <v>0.35229084</v>
      </c>
      <c r="Q44" s="18" t="n">
        <v>0</v>
      </c>
      <c r="R44" s="20" t="n">
        <v>0</v>
      </c>
    </row>
    <row r="45" spans="1:18">
      <c r="A45" s="15" t="s">
        <v>469</v>
      </c>
      <c r="B45" s="17" t="n">
        <v>2849</v>
      </c>
      <c r="C45" s="18">
        <f>(2371.0/B45*100)</f>
        <v/>
      </c>
      <c r="D45" s="19" t="n">
        <v>478</v>
      </c>
      <c r="E45" s="18" t="n">
        <v>40.87198455</v>
      </c>
      <c r="F45" s="20" t="n">
        <v>2.55494931</v>
      </c>
      <c r="G45" s="18" t="n">
        <v>37.29718061</v>
      </c>
      <c r="H45" s="20" t="n">
        <v>2.23502921</v>
      </c>
      <c r="I45" s="18" t="s">
        <v>431</v>
      </c>
      <c r="J45" s="20" t="s">
        <v>431</v>
      </c>
      <c r="K45" s="18" t="n">
        <v>20.23807997</v>
      </c>
      <c r="L45" s="20" t="n">
        <v>2.35897326</v>
      </c>
      <c r="M45" s="18" t="n">
        <v>0.33063353</v>
      </c>
      <c r="N45" s="20" t="n">
        <v>0.237366</v>
      </c>
      <c r="O45" s="18" t="n">
        <v>1.26212134</v>
      </c>
      <c r="P45" s="20" t="n">
        <v>0.54942004</v>
      </c>
      <c r="Q45" s="18" t="n">
        <v>0</v>
      </c>
      <c r="R45" s="20" t="n">
        <v>0</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(2529.0/B49*100)</f>
        <v/>
      </c>
      <c r="D49" s="19" t="n">
        <v>489</v>
      </c>
      <c r="E49" s="18" t="n">
        <v>38.36848639</v>
      </c>
      <c r="F49" s="20" t="n">
        <v>2.56627858</v>
      </c>
      <c r="G49" s="18" t="n">
        <v>50.89174833</v>
      </c>
      <c r="H49" s="20" t="n">
        <v>2.74294462</v>
      </c>
      <c r="I49" s="18" t="s">
        <v>431</v>
      </c>
      <c r="J49" s="20" t="s">
        <v>431</v>
      </c>
      <c r="K49" s="18" t="n">
        <v>10.44292481</v>
      </c>
      <c r="L49" s="20" t="n">
        <v>1.35840907</v>
      </c>
      <c r="M49" s="18" t="n">
        <v>0</v>
      </c>
      <c r="N49" s="20" t="n">
        <v>0</v>
      </c>
      <c r="O49" s="18" t="n">
        <v>0.29684047</v>
      </c>
      <c r="P49" s="20" t="n">
        <v>0.30168143</v>
      </c>
      <c r="Q49" s="18" t="n">
        <v>0</v>
      </c>
      <c r="R49" s="20" t="n">
        <v>0</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(2314.0/B55*100)</f>
        <v/>
      </c>
      <c r="D55" s="19" t="n">
        <v>445</v>
      </c>
      <c r="E55" s="18" t="n">
        <v>48.6776622</v>
      </c>
      <c r="F55" s="20" t="n">
        <v>2.59402157</v>
      </c>
      <c r="G55" s="18" t="n">
        <v>39.20527586</v>
      </c>
      <c r="H55" s="20" t="n">
        <v>2.50961729</v>
      </c>
      <c r="I55" s="18" t="s">
        <v>431</v>
      </c>
      <c r="J55" s="20" t="s">
        <v>431</v>
      </c>
      <c r="K55" s="18" t="n">
        <v>11.5803993</v>
      </c>
      <c r="L55" s="20" t="n">
        <v>1.53368081</v>
      </c>
      <c r="M55" s="18" t="n">
        <v>0</v>
      </c>
      <c r="N55" s="20" t="n">
        <v>0</v>
      </c>
      <c r="O55" s="18" t="n">
        <v>0.53666265</v>
      </c>
      <c r="P55" s="20" t="n">
        <v>0.37480115</v>
      </c>
      <c r="Q55" s="18" t="n">
        <v>0</v>
      </c>
      <c r="R55" s="20" t="n">
        <v>0</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39.51223252</v>
      </c>
      <c r="F57" s="20" t="n">
        <v>2.61468172</v>
      </c>
      <c r="G57" s="18" t="n">
        <v>54.48736299</v>
      </c>
      <c r="H57" s="20" t="n">
        <v>2.4788912</v>
      </c>
      <c r="I57" s="18" t="s">
        <v>431</v>
      </c>
      <c r="J57" s="20" t="s">
        <v>431</v>
      </c>
      <c r="K57" s="18" t="n">
        <v>6.00040449</v>
      </c>
      <c r="L57" s="20" t="n">
        <v>1.21152309</v>
      </c>
      <c r="M57" s="18" t="n">
        <v>0</v>
      </c>
      <c r="N57" s="20" t="n">
        <v>0</v>
      </c>
      <c r="O57" s="18" t="n">
        <v>0</v>
      </c>
      <c r="P57" s="20" t="n">
        <v>0</v>
      </c>
      <c r="Q57" s="18" t="n">
        <v>0</v>
      </c>
      <c r="R57" s="20" t="n">
        <v>0</v>
      </c>
    </row>
    <row r="58" spans="1:18">
      <c r="A58" s="15" t="s">
        <v>482</v>
      </c>
      <c r="B58" s="17" t="n">
        <v>3530</v>
      </c>
      <c r="C58" s="18">
        <f>(2943.0/B58*100)</f>
        <v/>
      </c>
      <c r="D58" s="19" t="n">
        <v>587</v>
      </c>
      <c r="E58" s="18" t="n">
        <v>53.75380439</v>
      </c>
      <c r="F58" s="20" t="n">
        <v>2.28392252</v>
      </c>
      <c r="G58" s="18" t="n">
        <v>32.8197349</v>
      </c>
      <c r="H58" s="20" t="n">
        <v>2.34018187</v>
      </c>
      <c r="I58" s="18" t="s">
        <v>431</v>
      </c>
      <c r="J58" s="20" t="s">
        <v>431</v>
      </c>
      <c r="K58" s="18" t="n">
        <v>13.42646071</v>
      </c>
      <c r="L58" s="20" t="n">
        <v>1.91318439</v>
      </c>
      <c r="M58" s="18" t="n">
        <v>0</v>
      </c>
      <c r="N58" s="20" t="n">
        <v>0</v>
      </c>
      <c r="O58" s="18" t="n">
        <v>0</v>
      </c>
      <c r="P58" s="20" t="n">
        <v>0</v>
      </c>
      <c r="Q58" s="18" t="n">
        <v>0</v>
      </c>
      <c r="R58" s="20" t="n">
        <v>0</v>
      </c>
    </row>
    <row r="59" spans="1:18">
      <c r="A59" s="15" t="s">
        <v>483</v>
      </c>
      <c r="B59" s="17" t="n">
        <v>2548</v>
      </c>
      <c r="C59" s="18">
        <f>(2124.0/B59*100)</f>
        <v/>
      </c>
      <c r="D59" s="19" t="n">
        <v>424</v>
      </c>
      <c r="E59" s="18" t="n">
        <v>59.23881173</v>
      </c>
      <c r="F59" s="20" t="n">
        <v>2.85247973</v>
      </c>
      <c r="G59" s="18" t="n">
        <v>35.86248389</v>
      </c>
      <c r="H59" s="20" t="n">
        <v>2.58769525</v>
      </c>
      <c r="I59" s="18" t="s">
        <v>431</v>
      </c>
      <c r="J59" s="20" t="s">
        <v>431</v>
      </c>
      <c r="K59" s="18" t="n">
        <v>3.62830263</v>
      </c>
      <c r="L59" s="20" t="n">
        <v>1.02000137</v>
      </c>
      <c r="M59" s="18" t="n">
        <v>0</v>
      </c>
      <c r="N59" s="20" t="n">
        <v>0</v>
      </c>
      <c r="O59" s="18" t="n">
        <v>1.27040175</v>
      </c>
      <c r="P59" s="20" t="n">
        <v>0.53394546</v>
      </c>
      <c r="Q59" s="18" t="n">
        <v>0</v>
      </c>
      <c r="R59" s="20" t="n">
        <v>0</v>
      </c>
    </row>
    <row r="60" spans="1:18">
      <c r="A60" s="15" t="s">
        <v>484</v>
      </c>
      <c r="B60" s="17" t="n">
        <v>2095</v>
      </c>
      <c r="C60" s="18">
        <f>(1743.0/B60*100)</f>
        <v/>
      </c>
      <c r="D60" s="19" t="n">
        <v>352</v>
      </c>
      <c r="E60" s="18" t="n">
        <v>43.97924825</v>
      </c>
      <c r="F60" s="20" t="n">
        <v>2.75081624</v>
      </c>
      <c r="G60" s="18" t="n">
        <v>33.78576306</v>
      </c>
      <c r="H60" s="20" t="n">
        <v>2.58706932</v>
      </c>
      <c r="I60" s="18" t="s">
        <v>431</v>
      </c>
      <c r="J60" s="20" t="s">
        <v>431</v>
      </c>
      <c r="K60" s="18" t="n">
        <v>20.5473207</v>
      </c>
      <c r="L60" s="20" t="n">
        <v>2.31162857</v>
      </c>
      <c r="M60" s="18" t="n">
        <v>0</v>
      </c>
      <c r="N60" s="20" t="n">
        <v>0</v>
      </c>
      <c r="O60" s="18" t="n">
        <v>1.68766799</v>
      </c>
      <c r="P60" s="20" t="n">
        <v>0.58527075</v>
      </c>
      <c r="Q60" s="18" t="n">
        <v>0</v>
      </c>
      <c r="R60" s="20" t="n">
        <v>0</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(2353.0/B63*100)</f>
        <v/>
      </c>
      <c r="D63" s="19" t="n">
        <v>460</v>
      </c>
      <c r="E63" s="18" t="n">
        <v>51.63768698</v>
      </c>
      <c r="F63" s="20" t="n">
        <v>2.92892758</v>
      </c>
      <c r="G63" s="18" t="n">
        <v>32.30784317</v>
      </c>
      <c r="H63" s="20" t="n">
        <v>2.68581054</v>
      </c>
      <c r="I63" s="18" t="s">
        <v>431</v>
      </c>
      <c r="J63" s="20" t="s">
        <v>431</v>
      </c>
      <c r="K63" s="18" t="n">
        <v>15.6377353</v>
      </c>
      <c r="L63" s="20" t="n">
        <v>2.0257201</v>
      </c>
      <c r="M63" s="18" t="n">
        <v>0</v>
      </c>
      <c r="N63" s="20" t="n">
        <v>0</v>
      </c>
      <c r="O63" s="18" t="n">
        <v>0.41673455</v>
      </c>
      <c r="P63" s="20" t="n">
        <v>0.30378423</v>
      </c>
      <c r="Q63" s="18" t="n">
        <v>0</v>
      </c>
      <c r="R63" s="20" t="n">
        <v>0</v>
      </c>
    </row>
    <row r="64" spans="1:18">
      <c r="A64" s="15" t="s">
        <v>488</v>
      </c>
      <c r="B64" s="17" t="n">
        <v>1844</v>
      </c>
      <c r="C64" s="18">
        <f>(1531.0/B64*100)</f>
        <v/>
      </c>
      <c r="D64" s="19" t="n">
        <v>313</v>
      </c>
      <c r="E64" s="18" t="n">
        <v>48.5761533</v>
      </c>
      <c r="F64" s="20" t="n">
        <v>3.08777858</v>
      </c>
      <c r="G64" s="18" t="n">
        <v>41.38816975</v>
      </c>
      <c r="H64" s="20" t="n">
        <v>2.92220988</v>
      </c>
      <c r="I64" s="18" t="s">
        <v>431</v>
      </c>
      <c r="J64" s="20" t="s">
        <v>431</v>
      </c>
      <c r="K64" s="18" t="n">
        <v>10.03567695</v>
      </c>
      <c r="L64" s="20" t="n">
        <v>1.63940239</v>
      </c>
      <c r="M64" s="18" t="n">
        <v>0</v>
      </c>
      <c r="N64" s="20" t="n">
        <v>0</v>
      </c>
      <c r="O64" s="18" t="n">
        <v>0</v>
      </c>
      <c r="P64" s="20" t="n">
        <v>0</v>
      </c>
      <c r="Q64" s="18" t="n">
        <v>0</v>
      </c>
      <c r="R64" s="20" t="n">
        <v>0</v>
      </c>
    </row>
    <row r="65" spans="1:18">
      <c r="A65" s="15" t="s">
        <v>489</v>
      </c>
      <c r="B65" s="17" t="n">
        <v>2691</v>
      </c>
      <c r="C65" s="18">
        <f>(2241.0/B65*100)</f>
        <v/>
      </c>
      <c r="D65" s="19" t="n">
        <v>450</v>
      </c>
      <c r="E65" s="18" t="n">
        <v>36.7805223</v>
      </c>
      <c r="F65" s="20" t="n">
        <v>2.64395291</v>
      </c>
      <c r="G65" s="18" t="n">
        <v>40.96072476</v>
      </c>
      <c r="H65" s="20" t="n">
        <v>2.39460507</v>
      </c>
      <c r="I65" s="18" t="s">
        <v>431</v>
      </c>
      <c r="J65" s="20" t="s">
        <v>431</v>
      </c>
      <c r="K65" s="18" t="n">
        <v>19.79207076</v>
      </c>
      <c r="L65" s="20" t="n">
        <v>2.11454587</v>
      </c>
      <c r="M65" s="18" t="n">
        <v>2.46668218</v>
      </c>
      <c r="N65" s="20" t="n">
        <v>0.80549802</v>
      </c>
      <c r="O65" s="18" t="n">
        <v>0</v>
      </c>
      <c r="P65" s="20" t="n">
        <v>0</v>
      </c>
      <c r="Q65" s="18" t="n">
        <v>0</v>
      </c>
      <c r="R65" s="20" t="n">
        <v>0</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(2029.0/B69*100)</f>
        <v/>
      </c>
      <c r="D69" s="19" t="n">
        <v>381</v>
      </c>
      <c r="E69" s="18" t="n">
        <v>56.45402257</v>
      </c>
      <c r="F69" s="20" t="n">
        <v>2.65009698</v>
      </c>
      <c r="G69" s="18" t="n">
        <v>42.78144857</v>
      </c>
      <c r="H69" s="20" t="n">
        <v>2.62719525</v>
      </c>
      <c r="I69" s="18" t="s">
        <v>431</v>
      </c>
      <c r="J69" s="20" t="s">
        <v>431</v>
      </c>
      <c r="K69" s="18" t="n">
        <v>0.76452887</v>
      </c>
      <c r="L69" s="20" t="n">
        <v>0.43576543</v>
      </c>
      <c r="M69" s="18" t="n">
        <v>0</v>
      </c>
      <c r="N69" s="20" t="n">
        <v>0</v>
      </c>
      <c r="O69" s="18" t="n">
        <v>0</v>
      </c>
      <c r="P69" s="20" t="n">
        <v>0</v>
      </c>
      <c r="Q69" s="18" t="n">
        <v>0</v>
      </c>
      <c r="R69" s="20" t="n">
        <v>0</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(1846.0/B74*100)</f>
        <v/>
      </c>
      <c r="D74" s="19" t="n">
        <v>393</v>
      </c>
      <c r="E74" s="18" t="n">
        <v>44.4578369</v>
      </c>
      <c r="F74" s="20" t="n">
        <v>2.79127624</v>
      </c>
      <c r="G74" s="18" t="n">
        <v>31.41069798</v>
      </c>
      <c r="H74" s="20" t="n">
        <v>2.55125165</v>
      </c>
      <c r="I74" s="18" t="s">
        <v>431</v>
      </c>
      <c r="J74" s="20" t="s">
        <v>431</v>
      </c>
      <c r="K74" s="18" t="n">
        <v>24.13146512</v>
      </c>
      <c r="L74" s="20" t="n">
        <v>2.22752973</v>
      </c>
      <c r="M74" s="18" t="n">
        <v>0</v>
      </c>
      <c r="N74" s="20" t="n">
        <v>0</v>
      </c>
      <c r="O74" s="18" t="n">
        <v>0</v>
      </c>
      <c r="P74" s="20" t="n">
        <v>0</v>
      </c>
      <c r="Q74" s="18" t="n">
        <v>0</v>
      </c>
      <c r="R74" s="20" t="n">
        <v>0</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(2338.0/B78*100)</f>
        <v/>
      </c>
      <c r="D78" s="19" t="n">
        <v>448</v>
      </c>
      <c r="E78" s="18" t="n">
        <v>36.10108317</v>
      </c>
      <c r="F78" s="20" t="n">
        <v>2.26746173</v>
      </c>
      <c r="G78" s="18" t="n">
        <v>63.73487219</v>
      </c>
      <c r="H78" s="20" t="n">
        <v>2.25084134</v>
      </c>
      <c r="I78" s="18" t="s">
        <v>431</v>
      </c>
      <c r="J78" s="20" t="s">
        <v>431</v>
      </c>
      <c r="K78" s="18" t="n">
        <v>0.16404464</v>
      </c>
      <c r="L78" s="20" t="n">
        <v>0.11709005</v>
      </c>
      <c r="M78" s="18" t="n">
        <v>0</v>
      </c>
      <c r="N78" s="20" t="n">
        <v>0</v>
      </c>
      <c r="O78" s="18" t="n">
        <v>0</v>
      </c>
      <c r="P78" s="20" t="n">
        <v>0</v>
      </c>
      <c r="Q78" s="18" t="n">
        <v>0</v>
      </c>
      <c r="R78" s="20" t="n">
        <v>0</v>
      </c>
    </row>
    <row customHeight="1" ht="25" r="79" spans="1:18">
      <c r="A79" s="15" t="s">
        <v>503</v>
      </c>
      <c r="B79" s="17" t="n">
        <v>787</v>
      </c>
      <c r="C79" s="18">
        <f>(669.0/B79*100)</f>
        <v/>
      </c>
      <c r="D79" s="19" t="n">
        <v>118</v>
      </c>
      <c r="E79" s="18" t="n">
        <v>26.34166932</v>
      </c>
      <c r="F79" s="20" t="n">
        <v>4.16631715</v>
      </c>
      <c r="G79" s="18" t="n">
        <v>65.35868773999999</v>
      </c>
      <c r="H79" s="20" t="n">
        <v>4.72920708</v>
      </c>
      <c r="I79" s="18" t="s">
        <v>431</v>
      </c>
      <c r="J79" s="20" t="s">
        <v>431</v>
      </c>
      <c r="K79" s="18" t="n">
        <v>8.29964294</v>
      </c>
      <c r="L79" s="20" t="n">
        <v>2.12517405</v>
      </c>
      <c r="M79" s="18" t="n">
        <v>0</v>
      </c>
      <c r="N79" s="20" t="n">
        <v>0</v>
      </c>
      <c r="O79" s="18" t="n">
        <v>0</v>
      </c>
      <c r="P79" s="20" t="n">
        <v>0</v>
      </c>
      <c r="Q79" s="18" t="n">
        <v>0</v>
      </c>
      <c r="R79" s="20" t="n">
        <v>0</v>
      </c>
    </row>
    <row r="80" spans="1:18">
      <c r="A80" s="15" t="s">
        <v>504</v>
      </c>
      <c r="B80" s="17" t="n">
        <v>3798</v>
      </c>
      <c r="C80" s="18">
        <f>(3167.0/B80*100)</f>
        <v/>
      </c>
      <c r="D80" s="19" t="n">
        <v>631</v>
      </c>
      <c r="E80" s="18" t="n">
        <v>43.14118322</v>
      </c>
      <c r="F80" s="20" t="n">
        <v>2.76257146</v>
      </c>
      <c r="G80" s="18" t="n">
        <v>55.67789309</v>
      </c>
      <c r="H80" s="20" t="n">
        <v>2.8178028</v>
      </c>
      <c r="I80" s="18" t="s">
        <v>431</v>
      </c>
      <c r="J80" s="20" t="s">
        <v>431</v>
      </c>
      <c r="K80" s="18" t="n">
        <v>1.18092369</v>
      </c>
      <c r="L80" s="20" t="n">
        <v>0.46428109</v>
      </c>
      <c r="M80" s="18" t="n">
        <v>0</v>
      </c>
      <c r="N80" s="20" t="n">
        <v>0</v>
      </c>
      <c r="O80" s="18" t="n">
        <v>0</v>
      </c>
      <c r="P80" s="20" t="n">
        <v>0</v>
      </c>
      <c r="Q80" s="18" t="n">
        <v>0</v>
      </c>
      <c r="R80" s="20" t="n">
        <v>0</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(2119.0/B44*100)</f>
        <v/>
      </c>
      <c r="D44" s="19" t="n">
        <v>405</v>
      </c>
      <c r="E44" s="18" t="n">
        <v>64.91273529</v>
      </c>
      <c r="F44" s="20" t="n">
        <v>2.7492259</v>
      </c>
      <c r="G44" s="18" t="n">
        <v>22.15633492</v>
      </c>
      <c r="H44" s="20" t="n">
        <v>2.21662178</v>
      </c>
      <c r="I44" s="18" t="s">
        <v>431</v>
      </c>
      <c r="J44" s="20" t="s">
        <v>431</v>
      </c>
      <c r="K44" s="18" t="n">
        <v>2.16379905</v>
      </c>
      <c r="L44" s="20" t="n">
        <v>0.84022325</v>
      </c>
      <c r="M44" s="18" t="n">
        <v>0</v>
      </c>
      <c r="N44" s="20" t="n">
        <v>0</v>
      </c>
      <c r="O44" s="18" t="n">
        <v>1.1927515</v>
      </c>
      <c r="P44" s="20" t="n">
        <v>0.69501725</v>
      </c>
      <c r="Q44" s="18" t="n">
        <v>9.57437925</v>
      </c>
      <c r="R44" s="20" t="n">
        <v>2.01559456</v>
      </c>
    </row>
    <row r="45" spans="1:18">
      <c r="A45" s="15" t="s">
        <v>469</v>
      </c>
      <c r="B45" s="17" t="n">
        <v>2849</v>
      </c>
      <c r="C45" s="18">
        <f>(2360.0/B45*100)</f>
        <v/>
      </c>
      <c r="D45" s="19" t="n">
        <v>489</v>
      </c>
      <c r="E45" s="18" t="n">
        <v>61.15306079</v>
      </c>
      <c r="F45" s="20" t="n">
        <v>2.40989592</v>
      </c>
      <c r="G45" s="18" t="n">
        <v>22.28159554</v>
      </c>
      <c r="H45" s="20" t="n">
        <v>2.06201564</v>
      </c>
      <c r="I45" s="18" t="s">
        <v>431</v>
      </c>
      <c r="J45" s="20" t="s">
        <v>431</v>
      </c>
      <c r="K45" s="18" t="n">
        <v>7.05568613</v>
      </c>
      <c r="L45" s="20" t="n">
        <v>1.29392894</v>
      </c>
      <c r="M45" s="18" t="n">
        <v>0</v>
      </c>
      <c r="N45" s="20" t="n">
        <v>0</v>
      </c>
      <c r="O45" s="18" t="n">
        <v>4.33171115</v>
      </c>
      <c r="P45" s="20" t="n">
        <v>1.0678771</v>
      </c>
      <c r="Q45" s="18" t="n">
        <v>5.1779464</v>
      </c>
      <c r="R45" s="20" t="n">
        <v>1.05127734</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(2522.0/B49*100)</f>
        <v/>
      </c>
      <c r="D49" s="19" t="n">
        <v>496</v>
      </c>
      <c r="E49" s="18" t="n">
        <v>60.54450189</v>
      </c>
      <c r="F49" s="20" t="n">
        <v>2.4488354</v>
      </c>
      <c r="G49" s="18" t="n">
        <v>34.02750359</v>
      </c>
      <c r="H49" s="20" t="n">
        <v>2.30898339</v>
      </c>
      <c r="I49" s="18" t="s">
        <v>431</v>
      </c>
      <c r="J49" s="20" t="s">
        <v>431</v>
      </c>
      <c r="K49" s="18" t="n">
        <v>1.1118583</v>
      </c>
      <c r="L49" s="20" t="n">
        <v>0.49803249</v>
      </c>
      <c r="M49" s="18" t="n">
        <v>0</v>
      </c>
      <c r="N49" s="20" t="n">
        <v>0</v>
      </c>
      <c r="O49" s="18" t="n">
        <v>1.04659762</v>
      </c>
      <c r="P49" s="20" t="n">
        <v>0.6656282100000001</v>
      </c>
      <c r="Q49" s="18" t="n">
        <v>3.26953861</v>
      </c>
      <c r="R49" s="20" t="n">
        <v>0.89379635</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(2284.0/B55*100)</f>
        <v/>
      </c>
      <c r="D55" s="19" t="n">
        <v>475</v>
      </c>
      <c r="E55" s="18" t="n">
        <v>49.06826154</v>
      </c>
      <c r="F55" s="20" t="n">
        <v>2.4666031</v>
      </c>
      <c r="G55" s="18" t="n">
        <v>44.17512646</v>
      </c>
      <c r="H55" s="20" t="n">
        <v>2.41351955</v>
      </c>
      <c r="I55" s="18" t="s">
        <v>431</v>
      </c>
      <c r="J55" s="20" t="s">
        <v>431</v>
      </c>
      <c r="K55" s="18" t="n">
        <v>1.25731698</v>
      </c>
      <c r="L55" s="20" t="n">
        <v>0.5217769</v>
      </c>
      <c r="M55" s="18" t="n">
        <v>0</v>
      </c>
      <c r="N55" s="20" t="n">
        <v>0</v>
      </c>
      <c r="O55" s="18" t="n">
        <v>0.36553314</v>
      </c>
      <c r="P55" s="20" t="n">
        <v>0.25581293</v>
      </c>
      <c r="Q55" s="18" t="n">
        <v>5.13376188</v>
      </c>
      <c r="R55" s="20" t="n">
        <v>1.0243556</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78.93004861</v>
      </c>
      <c r="F57" s="20" t="n">
        <v>1.77558336</v>
      </c>
      <c r="G57" s="18" t="n">
        <v>18.4512144</v>
      </c>
      <c r="H57" s="20" t="n">
        <v>1.56660693</v>
      </c>
      <c r="I57" s="18" t="s">
        <v>431</v>
      </c>
      <c r="J57" s="20" t="s">
        <v>431</v>
      </c>
      <c r="K57" s="18" t="n">
        <v>1.71796339</v>
      </c>
      <c r="L57" s="20" t="n">
        <v>0.5671767</v>
      </c>
      <c r="M57" s="18" t="n">
        <v>0</v>
      </c>
      <c r="N57" s="20" t="n">
        <v>0</v>
      </c>
      <c r="O57" s="18" t="n">
        <v>0</v>
      </c>
      <c r="P57" s="20" t="n">
        <v>0</v>
      </c>
      <c r="Q57" s="18" t="n">
        <v>0.9007736</v>
      </c>
      <c r="R57" s="20" t="n">
        <v>0.37505868</v>
      </c>
    </row>
    <row r="58" spans="1:18">
      <c r="A58" s="15" t="s">
        <v>482</v>
      </c>
      <c r="B58" s="17" t="n">
        <v>3530</v>
      </c>
      <c r="C58" s="18">
        <f>(2937.0/B58*100)</f>
        <v/>
      </c>
      <c r="D58" s="19" t="n">
        <v>593</v>
      </c>
      <c r="E58" s="18" t="n">
        <v>65.28737834</v>
      </c>
      <c r="F58" s="20" t="n">
        <v>2.47969169</v>
      </c>
      <c r="G58" s="18" t="n">
        <v>27.74078288</v>
      </c>
      <c r="H58" s="20" t="n">
        <v>2.16062982</v>
      </c>
      <c r="I58" s="18" t="s">
        <v>431</v>
      </c>
      <c r="J58" s="20" t="s">
        <v>431</v>
      </c>
      <c r="K58" s="18" t="n">
        <v>2.0796916</v>
      </c>
      <c r="L58" s="20" t="n">
        <v>0.71124185</v>
      </c>
      <c r="M58" s="18" t="n">
        <v>0</v>
      </c>
      <c r="N58" s="20" t="n">
        <v>0</v>
      </c>
      <c r="O58" s="18" t="n">
        <v>1.16033451</v>
      </c>
      <c r="P58" s="20" t="n">
        <v>0.51502087</v>
      </c>
      <c r="Q58" s="18" t="n">
        <v>3.73181268</v>
      </c>
      <c r="R58" s="20" t="n">
        <v>1.02881606</v>
      </c>
    </row>
    <row r="59" spans="1:18">
      <c r="A59" s="15" t="s">
        <v>483</v>
      </c>
      <c r="B59" s="17" t="n">
        <v>2548</v>
      </c>
      <c r="C59" s="18">
        <f>(2129.0/B59*100)</f>
        <v/>
      </c>
      <c r="D59" s="19" t="n">
        <v>419</v>
      </c>
      <c r="E59" s="18" t="n">
        <v>66.43986314</v>
      </c>
      <c r="F59" s="20" t="n">
        <v>2.57535771</v>
      </c>
      <c r="G59" s="18" t="n">
        <v>23.95053059</v>
      </c>
      <c r="H59" s="20" t="n">
        <v>2.43787437</v>
      </c>
      <c r="I59" s="18" t="s">
        <v>431</v>
      </c>
      <c r="J59" s="20" t="s">
        <v>431</v>
      </c>
      <c r="K59" s="18" t="n">
        <v>0.20945057</v>
      </c>
      <c r="L59" s="20" t="n">
        <v>0.1515387</v>
      </c>
      <c r="M59" s="18" t="n">
        <v>1.71246325</v>
      </c>
      <c r="N59" s="20" t="n">
        <v>0.91984139</v>
      </c>
      <c r="O59" s="18" t="n">
        <v>4.18407233</v>
      </c>
      <c r="P59" s="20" t="n">
        <v>1.26715084</v>
      </c>
      <c r="Q59" s="18" t="n">
        <v>3.50362012</v>
      </c>
      <c r="R59" s="20" t="n">
        <v>1.1312463</v>
      </c>
    </row>
    <row r="60" spans="1:18">
      <c r="A60" s="15" t="s">
        <v>484</v>
      </c>
      <c r="B60" s="17" t="n">
        <v>2095</v>
      </c>
      <c r="C60" s="18">
        <f>(1736.0/B60*100)</f>
        <v/>
      </c>
      <c r="D60" s="19" t="n">
        <v>359</v>
      </c>
      <c r="E60" s="18" t="n">
        <v>57.30682628</v>
      </c>
      <c r="F60" s="20" t="n">
        <v>3.42164888</v>
      </c>
      <c r="G60" s="18" t="n">
        <v>25.21197477</v>
      </c>
      <c r="H60" s="20" t="n">
        <v>2.89270237</v>
      </c>
      <c r="I60" s="18" t="s">
        <v>431</v>
      </c>
      <c r="J60" s="20" t="s">
        <v>431</v>
      </c>
      <c r="K60" s="18" t="n">
        <v>5.10171286</v>
      </c>
      <c r="L60" s="20" t="n">
        <v>1.45785798</v>
      </c>
      <c r="M60" s="18" t="n">
        <v>0</v>
      </c>
      <c r="N60" s="20" t="n">
        <v>0</v>
      </c>
      <c r="O60" s="18" t="n">
        <v>6.92191389</v>
      </c>
      <c r="P60" s="20" t="n">
        <v>1.80956638</v>
      </c>
      <c r="Q60" s="18" t="n">
        <v>5.45757221</v>
      </c>
      <c r="R60" s="20" t="n">
        <v>1.20662275</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(2344.0/B63*100)</f>
        <v/>
      </c>
      <c r="D63" s="19" t="n">
        <v>469</v>
      </c>
      <c r="E63" s="18" t="n">
        <v>59.57641056</v>
      </c>
      <c r="F63" s="20" t="n">
        <v>2.65954464</v>
      </c>
      <c r="G63" s="18" t="n">
        <v>27.27038246</v>
      </c>
      <c r="H63" s="20" t="n">
        <v>2.42037968</v>
      </c>
      <c r="I63" s="18" t="s">
        <v>431</v>
      </c>
      <c r="J63" s="20" t="s">
        <v>431</v>
      </c>
      <c r="K63" s="18" t="n">
        <v>3.61562193</v>
      </c>
      <c r="L63" s="20" t="n">
        <v>0.75174595</v>
      </c>
      <c r="M63" s="18" t="n">
        <v>0</v>
      </c>
      <c r="N63" s="20" t="n">
        <v>0</v>
      </c>
      <c r="O63" s="18" t="n">
        <v>1.37602791</v>
      </c>
      <c r="P63" s="20" t="n">
        <v>0.67848834</v>
      </c>
      <c r="Q63" s="18" t="n">
        <v>8.161557119999999</v>
      </c>
      <c r="R63" s="20" t="n">
        <v>1.19349423</v>
      </c>
    </row>
    <row r="64" spans="1:18">
      <c r="A64" s="15" t="s">
        <v>488</v>
      </c>
      <c r="B64" s="17" t="n">
        <v>1844</v>
      </c>
      <c r="C64" s="18">
        <f>(1545.0/B64*100)</f>
        <v/>
      </c>
      <c r="D64" s="19" t="n">
        <v>299</v>
      </c>
      <c r="E64" s="18" t="n">
        <v>54.38782879</v>
      </c>
      <c r="F64" s="20" t="n">
        <v>2.74182084</v>
      </c>
      <c r="G64" s="18" t="n">
        <v>38.89792954</v>
      </c>
      <c r="H64" s="20" t="n">
        <v>2.9169294</v>
      </c>
      <c r="I64" s="18" t="s">
        <v>431</v>
      </c>
      <c r="J64" s="20" t="s">
        <v>431</v>
      </c>
      <c r="K64" s="18" t="n">
        <v>1.98452733</v>
      </c>
      <c r="L64" s="20" t="n">
        <v>0.81574623</v>
      </c>
      <c r="M64" s="18" t="n">
        <v>0</v>
      </c>
      <c r="N64" s="20" t="n">
        <v>0</v>
      </c>
      <c r="O64" s="18" t="n">
        <v>0</v>
      </c>
      <c r="P64" s="20" t="n">
        <v>0</v>
      </c>
      <c r="Q64" s="18" t="n">
        <v>4.72971435</v>
      </c>
      <c r="R64" s="20" t="n">
        <v>1.20736775</v>
      </c>
    </row>
    <row r="65" spans="1:18">
      <c r="A65" s="15" t="s">
        <v>489</v>
      </c>
      <c r="B65" s="17" t="n">
        <v>2691</v>
      </c>
      <c r="C65" s="18">
        <f>(2249.0/B65*100)</f>
        <v/>
      </c>
      <c r="D65" s="19" t="n">
        <v>442</v>
      </c>
      <c r="E65" s="18" t="n">
        <v>58.51374278</v>
      </c>
      <c r="F65" s="20" t="n">
        <v>2.31076116</v>
      </c>
      <c r="G65" s="18" t="n">
        <v>26.30930111</v>
      </c>
      <c r="H65" s="20" t="n">
        <v>2.19877101</v>
      </c>
      <c r="I65" s="18" t="s">
        <v>431</v>
      </c>
      <c r="J65" s="20" t="s">
        <v>431</v>
      </c>
      <c r="K65" s="18" t="n">
        <v>6.09089268</v>
      </c>
      <c r="L65" s="20" t="n">
        <v>1.21943045</v>
      </c>
      <c r="M65" s="18" t="n">
        <v>1.86512178</v>
      </c>
      <c r="N65" s="20" t="n">
        <v>0.63029408</v>
      </c>
      <c r="O65" s="18" t="n">
        <v>0</v>
      </c>
      <c r="P65" s="20" t="n">
        <v>0</v>
      </c>
      <c r="Q65" s="18" t="n">
        <v>7.22094165</v>
      </c>
      <c r="R65" s="20" t="n">
        <v>1.44278114</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(2017.0/B69*100)</f>
        <v/>
      </c>
      <c r="D69" s="19" t="n">
        <v>393</v>
      </c>
      <c r="E69" s="18" t="n">
        <v>73.17817521000001</v>
      </c>
      <c r="F69" s="20" t="n">
        <v>2.30737733</v>
      </c>
      <c r="G69" s="18" t="n">
        <v>26.58703978</v>
      </c>
      <c r="H69" s="20" t="n">
        <v>2.2508525</v>
      </c>
      <c r="I69" s="18" t="s">
        <v>431</v>
      </c>
      <c r="J69" s="20" t="s">
        <v>431</v>
      </c>
      <c r="K69" s="18" t="n">
        <v>0</v>
      </c>
      <c r="L69" s="20" t="n">
        <v>0</v>
      </c>
      <c r="M69" s="18" t="n">
        <v>0</v>
      </c>
      <c r="N69" s="20" t="n">
        <v>0</v>
      </c>
      <c r="O69" s="18" t="n">
        <v>0</v>
      </c>
      <c r="P69" s="20" t="n">
        <v>0</v>
      </c>
      <c r="Q69" s="18" t="n">
        <v>0.23478501</v>
      </c>
      <c r="R69" s="20" t="n">
        <v>0.23618591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(1863.0/B74*100)</f>
        <v/>
      </c>
      <c r="D74" s="19" t="n">
        <v>376</v>
      </c>
      <c r="E74" s="18" t="n">
        <v>56.64868864</v>
      </c>
      <c r="F74" s="20" t="n">
        <v>2.5048081</v>
      </c>
      <c r="G74" s="18" t="n">
        <v>31.90072353</v>
      </c>
      <c r="H74" s="20" t="n">
        <v>2.31460161</v>
      </c>
      <c r="I74" s="18" t="s">
        <v>431</v>
      </c>
      <c r="J74" s="20" t="s">
        <v>431</v>
      </c>
      <c r="K74" s="18" t="n">
        <v>7.87547274</v>
      </c>
      <c r="L74" s="20" t="n">
        <v>1.34833485</v>
      </c>
      <c r="M74" s="18" t="n">
        <v>0</v>
      </c>
      <c r="N74" s="20" t="n">
        <v>0</v>
      </c>
      <c r="O74" s="18" t="n">
        <v>0</v>
      </c>
      <c r="P74" s="20" t="n">
        <v>0</v>
      </c>
      <c r="Q74" s="18" t="n">
        <v>3.57511509</v>
      </c>
      <c r="R74" s="20" t="n">
        <v>0.8829901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(2314.0/B78*100)</f>
        <v/>
      </c>
      <c r="D78" s="19" t="n">
        <v>472</v>
      </c>
      <c r="E78" s="18" t="n">
        <v>28.76740057</v>
      </c>
      <c r="F78" s="20" t="n">
        <v>2.34887269</v>
      </c>
      <c r="G78" s="18" t="n">
        <v>71.07414389</v>
      </c>
      <c r="H78" s="20" t="n">
        <v>2.35842409</v>
      </c>
      <c r="I78" s="18" t="s">
        <v>431</v>
      </c>
      <c r="J78" s="20" t="s">
        <v>431</v>
      </c>
      <c r="K78" s="18" t="n">
        <v>0</v>
      </c>
      <c r="L78" s="20" t="n">
        <v>0</v>
      </c>
      <c r="M78" s="18" t="n">
        <v>0</v>
      </c>
      <c r="N78" s="20" t="n">
        <v>0</v>
      </c>
      <c r="O78" s="18" t="n">
        <v>0</v>
      </c>
      <c r="P78" s="20" t="n">
        <v>0</v>
      </c>
      <c r="Q78" s="18" t="n">
        <v>0.15845554</v>
      </c>
      <c r="R78" s="20" t="n">
        <v>0.15892314</v>
      </c>
    </row>
    <row customHeight="1" ht="25" r="79" spans="1:18">
      <c r="A79" s="15" t="s">
        <v>503</v>
      </c>
      <c r="B79" s="17" t="n">
        <v>787</v>
      </c>
      <c r="C79" s="18">
        <f>(664.0/B79*100)</f>
        <v/>
      </c>
      <c r="D79" s="19" t="n">
        <v>123</v>
      </c>
      <c r="E79" s="18" t="n">
        <v>67.72559486</v>
      </c>
      <c r="F79" s="20" t="n">
        <v>4.1233375</v>
      </c>
      <c r="G79" s="18" t="n">
        <v>22.87413899</v>
      </c>
      <c r="H79" s="20" t="n">
        <v>3.98523634</v>
      </c>
      <c r="I79" s="18" t="s">
        <v>431</v>
      </c>
      <c r="J79" s="20" t="s">
        <v>431</v>
      </c>
      <c r="K79" s="18" t="n">
        <v>2.02096272</v>
      </c>
      <c r="L79" s="20" t="n">
        <v>1.33718973</v>
      </c>
      <c r="M79" s="18" t="n">
        <v>0</v>
      </c>
      <c r="N79" s="20" t="n">
        <v>0</v>
      </c>
      <c r="O79" s="18" t="n">
        <v>2.0213385</v>
      </c>
      <c r="P79" s="20" t="n">
        <v>1.94249286</v>
      </c>
      <c r="Q79" s="18" t="n">
        <v>5.35796493</v>
      </c>
      <c r="R79" s="20" t="n">
        <v>2.39792625</v>
      </c>
    </row>
    <row r="80" spans="1:18">
      <c r="A80" s="15" t="s">
        <v>504</v>
      </c>
      <c r="B80" s="17" t="n">
        <v>3798</v>
      </c>
      <c r="C80" s="18">
        <f>(3169.0/B80*100)</f>
        <v/>
      </c>
      <c r="D80" s="19" t="n">
        <v>629</v>
      </c>
      <c r="E80" s="18" t="n">
        <v>59.70999076</v>
      </c>
      <c r="F80" s="20" t="n">
        <v>2.54322256</v>
      </c>
      <c r="G80" s="18" t="n">
        <v>40.12192709</v>
      </c>
      <c r="H80" s="20" t="n">
        <v>2.54974221</v>
      </c>
      <c r="I80" s="18" t="s">
        <v>431</v>
      </c>
      <c r="J80" s="20" t="s">
        <v>431</v>
      </c>
      <c r="K80" s="18" t="n">
        <v>0</v>
      </c>
      <c r="L80" s="20" t="n">
        <v>0</v>
      </c>
      <c r="M80" s="18" t="n">
        <v>0</v>
      </c>
      <c r="N80" s="20" t="n">
        <v>0</v>
      </c>
      <c r="O80" s="18" t="n">
        <v>0</v>
      </c>
      <c r="P80" s="20" t="n">
        <v>0</v>
      </c>
      <c r="Q80" s="18" t="n">
        <v>0.16808215</v>
      </c>
      <c r="R80" s="20" t="n">
        <v>0.23566118</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643</v>
      </c>
    </row>
    <row customHeight="1" ht="30" r="4" spans="1:20">
      <c r="A4" s="6" t="n"/>
      <c r="B4" s="7" t="s">
        <v>415</v>
      </c>
      <c r="C4" s="7" t="s">
        <v>416</v>
      </c>
      <c r="D4" s="8" t="s">
        <v>415</v>
      </c>
      <c r="E4" s="9" t="s">
        <v>523</v>
      </c>
      <c r="F4" s="10" t="n"/>
      <c r="G4" s="9" t="s">
        <v>539</v>
      </c>
      <c r="H4" s="10" t="n"/>
      <c r="I4" s="9" t="s">
        <v>524</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(2119.0/B44*100)</f>
        <v/>
      </c>
      <c r="D44" s="19" t="n">
        <v>405</v>
      </c>
      <c r="E44" s="18" t="n">
        <v>39.74191324</v>
      </c>
      <c r="F44" s="20" t="n">
        <v>3.35650864</v>
      </c>
      <c r="G44" s="18" t="n">
        <v>50.69518233</v>
      </c>
      <c r="H44" s="20" t="n">
        <v>2.98922941</v>
      </c>
      <c r="I44" s="18" t="n">
        <v>4.96471739</v>
      </c>
      <c r="J44" s="20" t="n">
        <v>1.34807092</v>
      </c>
      <c r="K44" s="18" t="s">
        <v>431</v>
      </c>
      <c r="L44" s="20" t="s">
        <v>431</v>
      </c>
      <c r="M44" s="18" t="n">
        <v>2.98696555</v>
      </c>
      <c r="N44" s="20" t="n">
        <v>0.90305501</v>
      </c>
      <c r="O44" s="18" t="n">
        <v>0</v>
      </c>
      <c r="P44" s="20" t="n">
        <v>0</v>
      </c>
      <c r="Q44" s="18" t="n">
        <v>0</v>
      </c>
      <c r="R44" s="20" t="n">
        <v>0</v>
      </c>
      <c r="S44" s="18" t="n">
        <v>1.61122149</v>
      </c>
      <c r="T44" s="20" t="n">
        <v>0.77840911</v>
      </c>
    </row>
    <row r="45" spans="1:20">
      <c r="A45" s="15" t="s">
        <v>469</v>
      </c>
      <c r="B45" s="17" t="n">
        <v>2849</v>
      </c>
      <c r="C45" s="18">
        <f>(2360.0/B45*100)</f>
        <v/>
      </c>
      <c r="D45" s="19" t="n">
        <v>489</v>
      </c>
      <c r="E45" s="18" t="n">
        <v>46.20902739</v>
      </c>
      <c r="F45" s="20" t="n">
        <v>2.39736788</v>
      </c>
      <c r="G45" s="18" t="n">
        <v>38.95276277</v>
      </c>
      <c r="H45" s="20" t="n">
        <v>2.28040122</v>
      </c>
      <c r="I45" s="18" t="n">
        <v>5.25151295</v>
      </c>
      <c r="J45" s="20" t="n">
        <v>0.94394583</v>
      </c>
      <c r="K45" s="18" t="s">
        <v>431</v>
      </c>
      <c r="L45" s="20" t="s">
        <v>431</v>
      </c>
      <c r="M45" s="18" t="n">
        <v>7.23484488</v>
      </c>
      <c r="N45" s="20" t="n">
        <v>1.30584716</v>
      </c>
      <c r="O45" s="18" t="n">
        <v>0</v>
      </c>
      <c r="P45" s="20" t="n">
        <v>0</v>
      </c>
      <c r="Q45" s="18" t="n">
        <v>0</v>
      </c>
      <c r="R45" s="20" t="n">
        <v>0</v>
      </c>
      <c r="S45" s="18" t="n">
        <v>2.351852</v>
      </c>
      <c r="T45" s="20" t="n">
        <v>0.73691754</v>
      </c>
    </row>
    <row r="46" spans="1:20">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3018</v>
      </c>
      <c r="C49" s="18">
        <f>(2522.0/B49*100)</f>
        <v/>
      </c>
      <c r="D49" s="19" t="n">
        <v>496</v>
      </c>
      <c r="E49" s="18" t="n">
        <v>48.17852967</v>
      </c>
      <c r="F49" s="20" t="n">
        <v>2.53595678</v>
      </c>
      <c r="G49" s="18" t="n">
        <v>38.40277693</v>
      </c>
      <c r="H49" s="20" t="n">
        <v>2.31757108</v>
      </c>
      <c r="I49" s="18" t="n">
        <v>9.904045999999999</v>
      </c>
      <c r="J49" s="20" t="n">
        <v>1.91654376</v>
      </c>
      <c r="K49" s="18" t="s">
        <v>431</v>
      </c>
      <c r="L49" s="20" t="s">
        <v>431</v>
      </c>
      <c r="M49" s="18" t="n">
        <v>1.59120226</v>
      </c>
      <c r="N49" s="20" t="n">
        <v>0.6045088</v>
      </c>
      <c r="O49" s="18" t="n">
        <v>0</v>
      </c>
      <c r="P49" s="20" t="n">
        <v>0</v>
      </c>
      <c r="Q49" s="18" t="n">
        <v>0</v>
      </c>
      <c r="R49" s="20" t="n">
        <v>0</v>
      </c>
      <c r="S49" s="18" t="n">
        <v>1.92344514</v>
      </c>
      <c r="T49" s="20" t="n">
        <v>0.7462668</v>
      </c>
    </row>
    <row r="50" spans="1:20">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2759</v>
      </c>
      <c r="C55" s="18">
        <f>(2284.0/B55*100)</f>
        <v/>
      </c>
      <c r="D55" s="19" t="n">
        <v>475</v>
      </c>
      <c r="E55" s="18" t="n">
        <v>51.02738081</v>
      </c>
      <c r="F55" s="20" t="n">
        <v>2.55364879</v>
      </c>
      <c r="G55" s="18" t="n">
        <v>38.78435368</v>
      </c>
      <c r="H55" s="20" t="n">
        <v>2.47343286</v>
      </c>
      <c r="I55" s="18" t="n">
        <v>6.34498649</v>
      </c>
      <c r="J55" s="20" t="n">
        <v>1.20306535</v>
      </c>
      <c r="K55" s="18" t="s">
        <v>431</v>
      </c>
      <c r="L55" s="20" t="s">
        <v>431</v>
      </c>
      <c r="M55" s="18" t="n">
        <v>1.25731698</v>
      </c>
      <c r="N55" s="20" t="n">
        <v>0.5217769</v>
      </c>
      <c r="O55" s="18" t="n">
        <v>0</v>
      </c>
      <c r="P55" s="20" t="n">
        <v>0</v>
      </c>
      <c r="Q55" s="18" t="n">
        <v>0.20542</v>
      </c>
      <c r="R55" s="20" t="n">
        <v>0.18937008</v>
      </c>
      <c r="S55" s="18" t="n">
        <v>2.38054204</v>
      </c>
      <c r="T55" s="20" t="n">
        <v>0.77699138</v>
      </c>
    </row>
    <row r="56" spans="1:20">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3170</v>
      </c>
      <c r="C57" s="18">
        <f>(2635.0/B57*100)</f>
        <v/>
      </c>
      <c r="D57" s="19" t="n">
        <v>535</v>
      </c>
      <c r="E57" s="18" t="n">
        <v>58.35899117</v>
      </c>
      <c r="F57" s="20" t="n">
        <v>2.51572111</v>
      </c>
      <c r="G57" s="18" t="n">
        <v>36.52657778</v>
      </c>
      <c r="H57" s="20" t="n">
        <v>2.37005475</v>
      </c>
      <c r="I57" s="18" t="n">
        <v>2.70231527</v>
      </c>
      <c r="J57" s="20" t="n">
        <v>0.76320005</v>
      </c>
      <c r="K57" s="18" t="s">
        <v>431</v>
      </c>
      <c r="L57" s="20" t="s">
        <v>431</v>
      </c>
      <c r="M57" s="18" t="n">
        <v>1.71796339</v>
      </c>
      <c r="N57" s="20" t="n">
        <v>0.5671767</v>
      </c>
      <c r="O57" s="18" t="n">
        <v>0</v>
      </c>
      <c r="P57" s="20" t="n">
        <v>0</v>
      </c>
      <c r="Q57" s="18" t="n">
        <v>0</v>
      </c>
      <c r="R57" s="20" t="n">
        <v>0</v>
      </c>
      <c r="S57" s="18" t="n">
        <v>0.69415239</v>
      </c>
      <c r="T57" s="20" t="n">
        <v>0.42094569</v>
      </c>
    </row>
    <row r="58" spans="1:20">
      <c r="A58" s="15" t="s">
        <v>482</v>
      </c>
      <c r="B58" s="17" t="n">
        <v>3530</v>
      </c>
      <c r="C58" s="18">
        <f>(2937.0/B58*100)</f>
        <v/>
      </c>
      <c r="D58" s="19" t="n">
        <v>593</v>
      </c>
      <c r="E58" s="18" t="n">
        <v>51.41007034</v>
      </c>
      <c r="F58" s="20" t="n">
        <v>2.16363234</v>
      </c>
      <c r="G58" s="18" t="n">
        <v>39.07725351</v>
      </c>
      <c r="H58" s="20" t="n">
        <v>2.37922322</v>
      </c>
      <c r="I58" s="18" t="n">
        <v>5.46830308</v>
      </c>
      <c r="J58" s="20" t="n">
        <v>1.21968094</v>
      </c>
      <c r="K58" s="18" t="s">
        <v>431</v>
      </c>
      <c r="L58" s="20" t="s">
        <v>431</v>
      </c>
      <c r="M58" s="18" t="n">
        <v>2.37316546</v>
      </c>
      <c r="N58" s="20" t="n">
        <v>0.69706981</v>
      </c>
      <c r="O58" s="18" t="n">
        <v>0</v>
      </c>
      <c r="P58" s="20" t="n">
        <v>0</v>
      </c>
      <c r="Q58" s="18" t="n">
        <v>0.5254939</v>
      </c>
      <c r="R58" s="20" t="n">
        <v>0.36530009</v>
      </c>
      <c r="S58" s="18" t="n">
        <v>1.14571371</v>
      </c>
      <c r="T58" s="20" t="n">
        <v>0.47881919</v>
      </c>
    </row>
    <row r="59" spans="1:20">
      <c r="A59" s="15" t="s">
        <v>483</v>
      </c>
      <c r="B59" s="17" t="n">
        <v>2548</v>
      </c>
      <c r="C59" s="18">
        <f>(2129.0/B59*100)</f>
        <v/>
      </c>
      <c r="D59" s="19" t="n">
        <v>419</v>
      </c>
      <c r="E59" s="18" t="n">
        <v>53.02863996</v>
      </c>
      <c r="F59" s="20" t="n">
        <v>3.0919589</v>
      </c>
      <c r="G59" s="18" t="n">
        <v>40.69658815</v>
      </c>
      <c r="H59" s="20" t="n">
        <v>3.23603819</v>
      </c>
      <c r="I59" s="18" t="n">
        <v>4.79382457</v>
      </c>
      <c r="J59" s="20" t="n">
        <v>0.99689487</v>
      </c>
      <c r="K59" s="18" t="s">
        <v>431</v>
      </c>
      <c r="L59" s="20" t="s">
        <v>431</v>
      </c>
      <c r="M59" s="18" t="n">
        <v>0.20945057</v>
      </c>
      <c r="N59" s="20" t="n">
        <v>0.1515387</v>
      </c>
      <c r="O59" s="18" t="n">
        <v>0</v>
      </c>
      <c r="P59" s="20" t="n">
        <v>0</v>
      </c>
      <c r="Q59" s="18" t="n">
        <v>0.07803475</v>
      </c>
      <c r="R59" s="20" t="n">
        <v>0.07896212</v>
      </c>
      <c r="S59" s="18" t="n">
        <v>1.19346199</v>
      </c>
      <c r="T59" s="20" t="n">
        <v>0.4991905</v>
      </c>
    </row>
    <row r="60" spans="1:20">
      <c r="A60" s="15" t="s">
        <v>484</v>
      </c>
      <c r="B60" s="17" t="n">
        <v>2095</v>
      </c>
      <c r="C60" s="18">
        <f>(1736.0/B60*100)</f>
        <v/>
      </c>
      <c r="D60" s="19" t="n">
        <v>359</v>
      </c>
      <c r="E60" s="18" t="n">
        <v>57.59268085</v>
      </c>
      <c r="F60" s="20" t="n">
        <v>3.61864388</v>
      </c>
      <c r="G60" s="18" t="n">
        <v>29.55500318</v>
      </c>
      <c r="H60" s="20" t="n">
        <v>3.22253836</v>
      </c>
      <c r="I60" s="18" t="n">
        <v>5.79540253</v>
      </c>
      <c r="J60" s="20" t="n">
        <v>1.44324281</v>
      </c>
      <c r="K60" s="18" t="s">
        <v>431</v>
      </c>
      <c r="L60" s="20" t="s">
        <v>431</v>
      </c>
      <c r="M60" s="18" t="n">
        <v>5.13107463</v>
      </c>
      <c r="N60" s="20" t="n">
        <v>1.45810147</v>
      </c>
      <c r="O60" s="18" t="n">
        <v>0</v>
      </c>
      <c r="P60" s="20" t="n">
        <v>0</v>
      </c>
      <c r="Q60" s="18" t="n">
        <v>0</v>
      </c>
      <c r="R60" s="20" t="n">
        <v>0</v>
      </c>
      <c r="S60" s="18" t="n">
        <v>1.92583881</v>
      </c>
      <c r="T60" s="20" t="n">
        <v>0.73356462</v>
      </c>
    </row>
    <row r="61" spans="1:20">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2813</v>
      </c>
      <c r="C63" s="18">
        <f>(2344.0/B63*100)</f>
        <v/>
      </c>
      <c r="D63" s="19" t="n">
        <v>469</v>
      </c>
      <c r="E63" s="18" t="n">
        <v>47.36986855</v>
      </c>
      <c r="F63" s="20" t="n">
        <v>2.51106856</v>
      </c>
      <c r="G63" s="18" t="n">
        <v>36.80863111</v>
      </c>
      <c r="H63" s="20" t="n">
        <v>2.27461761</v>
      </c>
      <c r="I63" s="18" t="n">
        <v>8.97188809</v>
      </c>
      <c r="J63" s="20" t="n">
        <v>1.10665018</v>
      </c>
      <c r="K63" s="18" t="s">
        <v>431</v>
      </c>
      <c r="L63" s="20" t="s">
        <v>431</v>
      </c>
      <c r="M63" s="18" t="n">
        <v>3.61562193</v>
      </c>
      <c r="N63" s="20" t="n">
        <v>0.75174595</v>
      </c>
      <c r="O63" s="18" t="n">
        <v>0</v>
      </c>
      <c r="P63" s="20" t="n">
        <v>0</v>
      </c>
      <c r="Q63" s="18" t="n">
        <v>0</v>
      </c>
      <c r="R63" s="20" t="n">
        <v>0</v>
      </c>
      <c r="S63" s="18" t="n">
        <v>3.23399032</v>
      </c>
      <c r="T63" s="20" t="n">
        <v>0.81555755</v>
      </c>
    </row>
    <row r="64" spans="1:20">
      <c r="A64" s="15" t="s">
        <v>488</v>
      </c>
      <c r="B64" s="17" t="n">
        <v>1844</v>
      </c>
      <c r="C64" s="18">
        <f>(1545.0/B64*100)</f>
        <v/>
      </c>
      <c r="D64" s="19" t="n">
        <v>299</v>
      </c>
      <c r="E64" s="18" t="n">
        <v>50.43776597</v>
      </c>
      <c r="F64" s="20" t="n">
        <v>2.86852178</v>
      </c>
      <c r="G64" s="18" t="n">
        <v>29.76986294</v>
      </c>
      <c r="H64" s="20" t="n">
        <v>2.41065135</v>
      </c>
      <c r="I64" s="18" t="n">
        <v>15.50594877</v>
      </c>
      <c r="J64" s="20" t="n">
        <v>2.30335392</v>
      </c>
      <c r="K64" s="18" t="s">
        <v>431</v>
      </c>
      <c r="L64" s="20" t="s">
        <v>431</v>
      </c>
      <c r="M64" s="18" t="n">
        <v>2.97251358</v>
      </c>
      <c r="N64" s="20" t="n">
        <v>0.9759497499999999</v>
      </c>
      <c r="O64" s="18" t="n">
        <v>0</v>
      </c>
      <c r="P64" s="20" t="n">
        <v>0</v>
      </c>
      <c r="Q64" s="18" t="n">
        <v>0</v>
      </c>
      <c r="R64" s="20" t="n">
        <v>0</v>
      </c>
      <c r="S64" s="18" t="n">
        <v>1.31390875</v>
      </c>
      <c r="T64" s="20" t="n">
        <v>0.71933789</v>
      </c>
    </row>
    <row r="65" spans="1:20">
      <c r="A65" s="15" t="s">
        <v>489</v>
      </c>
      <c r="B65" s="17" t="n">
        <v>2691</v>
      </c>
      <c r="C65" s="18">
        <f>(2249.0/B65*100)</f>
        <v/>
      </c>
      <c r="D65" s="19" t="n">
        <v>442</v>
      </c>
      <c r="E65" s="18" t="n">
        <v>45.64907609</v>
      </c>
      <c r="F65" s="20" t="n">
        <v>2.43111033</v>
      </c>
      <c r="G65" s="18" t="n">
        <v>37.80788896</v>
      </c>
      <c r="H65" s="20" t="n">
        <v>2.23908102</v>
      </c>
      <c r="I65" s="18" t="n">
        <v>6.80753767</v>
      </c>
      <c r="J65" s="20" t="n">
        <v>1.26592751</v>
      </c>
      <c r="K65" s="18" t="s">
        <v>431</v>
      </c>
      <c r="L65" s="20" t="s">
        <v>431</v>
      </c>
      <c r="M65" s="18" t="n">
        <v>6.09089268</v>
      </c>
      <c r="N65" s="20" t="n">
        <v>1.21943045</v>
      </c>
      <c r="O65" s="18" t="n">
        <v>0</v>
      </c>
      <c r="P65" s="20" t="n">
        <v>0</v>
      </c>
      <c r="Q65" s="18" t="n">
        <v>0</v>
      </c>
      <c r="R65" s="20" t="n">
        <v>0</v>
      </c>
      <c r="S65" s="18" t="n">
        <v>3.6446046</v>
      </c>
      <c r="T65" s="20" t="n">
        <v>0.89588542</v>
      </c>
    </row>
    <row r="66" spans="1:20">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2410</v>
      </c>
      <c r="C69" s="18">
        <f>(2017.0/B69*100)</f>
        <v/>
      </c>
      <c r="D69" s="19" t="n">
        <v>393</v>
      </c>
      <c r="E69" s="18" t="n">
        <v>52.29354928</v>
      </c>
      <c r="F69" s="20" t="n">
        <v>2.93159721</v>
      </c>
      <c r="G69" s="18" t="n">
        <v>40.60337352</v>
      </c>
      <c r="H69" s="20" t="n">
        <v>2.53550925</v>
      </c>
      <c r="I69" s="18" t="n">
        <v>6.86829219</v>
      </c>
      <c r="J69" s="20" t="n">
        <v>1.43020173</v>
      </c>
      <c r="K69" s="18" t="s">
        <v>431</v>
      </c>
      <c r="L69" s="20" t="s">
        <v>431</v>
      </c>
      <c r="M69" s="18" t="n">
        <v>0</v>
      </c>
      <c r="N69" s="20" t="n">
        <v>0</v>
      </c>
      <c r="O69" s="18" t="n">
        <v>0</v>
      </c>
      <c r="P69" s="20" t="n">
        <v>0</v>
      </c>
      <c r="Q69" s="18" t="n">
        <v>0</v>
      </c>
      <c r="R69" s="20" t="n">
        <v>0</v>
      </c>
      <c r="S69" s="18" t="n">
        <v>0.23478501</v>
      </c>
      <c r="T69" s="20" t="n">
        <v>0.23618591</v>
      </c>
    </row>
    <row r="70" spans="1:20">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2239</v>
      </c>
      <c r="C74" s="18">
        <f>(1863.0/B74*100)</f>
        <v/>
      </c>
      <c r="D74" s="19" t="n">
        <v>376</v>
      </c>
      <c r="E74" s="18" t="n">
        <v>50.70425961</v>
      </c>
      <c r="F74" s="20" t="n">
        <v>3.15879566</v>
      </c>
      <c r="G74" s="18" t="n">
        <v>31.93301246</v>
      </c>
      <c r="H74" s="20" t="n">
        <v>2.76227996</v>
      </c>
      <c r="I74" s="18" t="n">
        <v>7.06977826</v>
      </c>
      <c r="J74" s="20" t="n">
        <v>1.2822341</v>
      </c>
      <c r="K74" s="18" t="s">
        <v>431</v>
      </c>
      <c r="L74" s="20" t="s">
        <v>431</v>
      </c>
      <c r="M74" s="18" t="n">
        <v>8.509530740000001</v>
      </c>
      <c r="N74" s="20" t="n">
        <v>1.67398913</v>
      </c>
      <c r="O74" s="18" t="n">
        <v>0</v>
      </c>
      <c r="P74" s="20" t="n">
        <v>0</v>
      </c>
      <c r="Q74" s="18" t="n">
        <v>0</v>
      </c>
      <c r="R74" s="20" t="n">
        <v>0</v>
      </c>
      <c r="S74" s="18" t="n">
        <v>1.78341894</v>
      </c>
      <c r="T74" s="20" t="n">
        <v>0.85505765</v>
      </c>
    </row>
    <row r="75" spans="1:20">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2786</v>
      </c>
      <c r="C78" s="18">
        <f>(2314.0/B78*100)</f>
        <v/>
      </c>
      <c r="D78" s="19" t="n">
        <v>472</v>
      </c>
      <c r="E78" s="18" t="n">
        <v>23.57697736</v>
      </c>
      <c r="F78" s="20" t="n">
        <v>2.15161629</v>
      </c>
      <c r="G78" s="18" t="n">
        <v>54.85096663</v>
      </c>
      <c r="H78" s="20" t="n">
        <v>2.91674242</v>
      </c>
      <c r="I78" s="18" t="n">
        <v>20.9627039</v>
      </c>
      <c r="J78" s="20" t="n">
        <v>2.03697479</v>
      </c>
      <c r="K78" s="18" t="s">
        <v>431</v>
      </c>
      <c r="L78" s="20" t="s">
        <v>431</v>
      </c>
      <c r="M78" s="18" t="n">
        <v>0</v>
      </c>
      <c r="N78" s="20" t="n">
        <v>0</v>
      </c>
      <c r="O78" s="18" t="n">
        <v>0</v>
      </c>
      <c r="P78" s="20" t="n">
        <v>0</v>
      </c>
      <c r="Q78" s="18" t="n">
        <v>0</v>
      </c>
      <c r="R78" s="20" t="n">
        <v>0</v>
      </c>
      <c r="S78" s="18" t="n">
        <v>0.60935211</v>
      </c>
      <c r="T78" s="20" t="n">
        <v>0.34285576</v>
      </c>
    </row>
    <row customHeight="1" ht="25" r="79" spans="1:20">
      <c r="A79" s="15" t="s">
        <v>503</v>
      </c>
      <c r="B79" s="17" t="n">
        <v>787</v>
      </c>
      <c r="C79" s="18">
        <f>(664.0/B79*100)</f>
        <v/>
      </c>
      <c r="D79" s="19" t="n">
        <v>123</v>
      </c>
      <c r="E79" s="18" t="n">
        <v>27.89182049</v>
      </c>
      <c r="F79" s="20" t="n">
        <v>4.41271407</v>
      </c>
      <c r="G79" s="18" t="n">
        <v>51.22781522</v>
      </c>
      <c r="H79" s="20" t="n">
        <v>4.40283421</v>
      </c>
      <c r="I79" s="18" t="n">
        <v>15.9352873</v>
      </c>
      <c r="J79" s="20" t="n">
        <v>3.18941667</v>
      </c>
      <c r="K79" s="18" t="s">
        <v>431</v>
      </c>
      <c r="L79" s="20" t="s">
        <v>431</v>
      </c>
      <c r="M79" s="18" t="n">
        <v>2.02096272</v>
      </c>
      <c r="N79" s="20" t="n">
        <v>1.33718973</v>
      </c>
      <c r="O79" s="18" t="n">
        <v>0</v>
      </c>
      <c r="P79" s="20" t="n">
        <v>0</v>
      </c>
      <c r="Q79" s="18" t="n">
        <v>0</v>
      </c>
      <c r="R79" s="20" t="n">
        <v>0</v>
      </c>
      <c r="S79" s="18" t="n">
        <v>2.92411427</v>
      </c>
      <c r="T79" s="20" t="n">
        <v>1.87208745</v>
      </c>
    </row>
    <row r="80" spans="1:20">
      <c r="A80" s="15" t="s">
        <v>504</v>
      </c>
      <c r="B80" s="17" t="n">
        <v>3798</v>
      </c>
      <c r="C80" s="18">
        <f>(3169.0/B80*100)</f>
        <v/>
      </c>
      <c r="D80" s="19" t="n">
        <v>629</v>
      </c>
      <c r="E80" s="18" t="n">
        <v>56.77766482</v>
      </c>
      <c r="F80" s="20" t="n">
        <v>2.4589517</v>
      </c>
      <c r="G80" s="18" t="n">
        <v>37.72554075</v>
      </c>
      <c r="H80" s="20" t="n">
        <v>2.38832387</v>
      </c>
      <c r="I80" s="18" t="n">
        <v>5.49679443</v>
      </c>
      <c r="J80" s="20" t="n">
        <v>1.31775962</v>
      </c>
      <c r="K80" s="18" t="s">
        <v>431</v>
      </c>
      <c r="L80" s="20" t="s">
        <v>431</v>
      </c>
      <c r="M80" s="18" t="n">
        <v>0</v>
      </c>
      <c r="N80" s="20" t="n">
        <v>0</v>
      </c>
      <c r="O80" s="18" t="n">
        <v>0</v>
      </c>
      <c r="P80" s="20" t="n">
        <v>0</v>
      </c>
      <c r="Q80" s="18" t="n">
        <v>0</v>
      </c>
      <c r="R80" s="20" t="n">
        <v>0</v>
      </c>
      <c r="S80" s="18" t="n">
        <v>0</v>
      </c>
      <c r="T80" s="20" t="n">
        <v>0</v>
      </c>
    </row>
    <row r="81" spans="1:20">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(2119.0/B44*100)</f>
        <v/>
      </c>
      <c r="D44" s="19" t="n">
        <v>405</v>
      </c>
      <c r="E44" s="18" t="n">
        <v>24.71973179</v>
      </c>
      <c r="F44" s="20" t="n">
        <v>2.59620385</v>
      </c>
      <c r="G44" s="18" t="n">
        <v>30.0000176</v>
      </c>
      <c r="H44" s="20" t="n">
        <v>3.13627371</v>
      </c>
      <c r="I44" s="18" t="s">
        <v>431</v>
      </c>
      <c r="J44" s="20" t="s">
        <v>431</v>
      </c>
      <c r="K44" s="18" t="n">
        <v>6.40633459</v>
      </c>
      <c r="L44" s="20" t="n">
        <v>1.20135281</v>
      </c>
      <c r="M44" s="18" t="n">
        <v>0</v>
      </c>
      <c r="N44" s="20" t="n">
        <v>0</v>
      </c>
      <c r="O44" s="18" t="n">
        <v>0</v>
      </c>
      <c r="P44" s="20" t="n">
        <v>0</v>
      </c>
      <c r="Q44" s="18" t="n">
        <v>38.87391602</v>
      </c>
      <c r="R44" s="20" t="n">
        <v>3.34654838</v>
      </c>
    </row>
    <row r="45" spans="1:18">
      <c r="A45" s="15" t="s">
        <v>469</v>
      </c>
      <c r="B45" s="17" t="n">
        <v>2849</v>
      </c>
      <c r="C45" s="18">
        <f>(2360.0/B45*100)</f>
        <v/>
      </c>
      <c r="D45" s="19" t="n">
        <v>489</v>
      </c>
      <c r="E45" s="18" t="n">
        <v>32.47325883</v>
      </c>
      <c r="F45" s="20" t="n">
        <v>2.11794956</v>
      </c>
      <c r="G45" s="18" t="n">
        <v>34.92309367</v>
      </c>
      <c r="H45" s="20" t="n">
        <v>2.27069951</v>
      </c>
      <c r="I45" s="18" t="s">
        <v>431</v>
      </c>
      <c r="J45" s="20" t="s">
        <v>431</v>
      </c>
      <c r="K45" s="18" t="n">
        <v>7.81497808</v>
      </c>
      <c r="L45" s="20" t="n">
        <v>1.32257283</v>
      </c>
      <c r="M45" s="18" t="n">
        <v>0.3124156</v>
      </c>
      <c r="N45" s="20" t="n">
        <v>0.22112168</v>
      </c>
      <c r="O45" s="18" t="n">
        <v>0.12861329</v>
      </c>
      <c r="P45" s="20" t="n">
        <v>0.12453704</v>
      </c>
      <c r="Q45" s="18" t="n">
        <v>24.34764053</v>
      </c>
      <c r="R45" s="20" t="n">
        <v>2.17552855</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(2522.0/B49*100)</f>
        <v/>
      </c>
      <c r="D49" s="19" t="n">
        <v>496</v>
      </c>
      <c r="E49" s="18" t="n">
        <v>29.75219035</v>
      </c>
      <c r="F49" s="20" t="n">
        <v>2.41160489</v>
      </c>
      <c r="G49" s="18" t="n">
        <v>33.22850016</v>
      </c>
      <c r="H49" s="20" t="n">
        <v>2.74167566</v>
      </c>
      <c r="I49" s="18" t="s">
        <v>431</v>
      </c>
      <c r="J49" s="20" t="s">
        <v>431</v>
      </c>
      <c r="K49" s="18" t="n">
        <v>1.98354311</v>
      </c>
      <c r="L49" s="20" t="n">
        <v>0.66988509</v>
      </c>
      <c r="M49" s="18" t="n">
        <v>0.40260496</v>
      </c>
      <c r="N49" s="20" t="n">
        <v>0.30585815</v>
      </c>
      <c r="O49" s="18" t="n">
        <v>0</v>
      </c>
      <c r="P49" s="20" t="n">
        <v>0</v>
      </c>
      <c r="Q49" s="18" t="n">
        <v>34.63316143</v>
      </c>
      <c r="R49" s="20" t="n">
        <v>2.65325593</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(2284.0/B55*100)</f>
        <v/>
      </c>
      <c r="D55" s="19" t="n">
        <v>475</v>
      </c>
      <c r="E55" s="18" t="n">
        <v>21.73775387</v>
      </c>
      <c r="F55" s="20" t="n">
        <v>2.09101425</v>
      </c>
      <c r="G55" s="18" t="n">
        <v>26.05240306</v>
      </c>
      <c r="H55" s="20" t="n">
        <v>2.06651604</v>
      </c>
      <c r="I55" s="18" t="s">
        <v>431</v>
      </c>
      <c r="J55" s="20" t="s">
        <v>431</v>
      </c>
      <c r="K55" s="18" t="n">
        <v>3.41163391</v>
      </c>
      <c r="L55" s="20" t="n">
        <v>0.82396987</v>
      </c>
      <c r="M55" s="18" t="n">
        <v>0</v>
      </c>
      <c r="N55" s="20" t="n">
        <v>0</v>
      </c>
      <c r="O55" s="18" t="n">
        <v>0</v>
      </c>
      <c r="P55" s="20" t="n">
        <v>0</v>
      </c>
      <c r="Q55" s="18" t="n">
        <v>48.79820916</v>
      </c>
      <c r="R55" s="20" t="n">
        <v>2.59620838</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58.76979225</v>
      </c>
      <c r="F57" s="20" t="n">
        <v>1.95705102</v>
      </c>
      <c r="G57" s="18" t="n">
        <v>26.53425706</v>
      </c>
      <c r="H57" s="20" t="n">
        <v>1.85590563</v>
      </c>
      <c r="I57" s="18" t="s">
        <v>431</v>
      </c>
      <c r="J57" s="20" t="s">
        <v>431</v>
      </c>
      <c r="K57" s="18" t="n">
        <v>2.70412398</v>
      </c>
      <c r="L57" s="20" t="n">
        <v>0.67880429</v>
      </c>
      <c r="M57" s="18" t="n">
        <v>0</v>
      </c>
      <c r="N57" s="20" t="n">
        <v>0</v>
      </c>
      <c r="O57" s="18" t="n">
        <v>0</v>
      </c>
      <c r="P57" s="20" t="n">
        <v>0</v>
      </c>
      <c r="Q57" s="18" t="n">
        <v>11.9918267</v>
      </c>
      <c r="R57" s="20" t="n">
        <v>1.78349358</v>
      </c>
    </row>
    <row r="58" spans="1:18">
      <c r="A58" s="15" t="s">
        <v>482</v>
      </c>
      <c r="B58" s="17" t="n">
        <v>3530</v>
      </c>
      <c r="C58" s="18">
        <f>(2937.0/B58*100)</f>
        <v/>
      </c>
      <c r="D58" s="19" t="n">
        <v>593</v>
      </c>
      <c r="E58" s="18" t="n">
        <v>32.7879485</v>
      </c>
      <c r="F58" s="20" t="n">
        <v>2.09437608</v>
      </c>
      <c r="G58" s="18" t="n">
        <v>38.34801914</v>
      </c>
      <c r="H58" s="20" t="n">
        <v>2.06953237</v>
      </c>
      <c r="I58" s="18" t="s">
        <v>431</v>
      </c>
      <c r="J58" s="20" t="s">
        <v>431</v>
      </c>
      <c r="K58" s="18" t="n">
        <v>3.66245524</v>
      </c>
      <c r="L58" s="20" t="n">
        <v>0.8578965</v>
      </c>
      <c r="M58" s="18" t="n">
        <v>0</v>
      </c>
      <c r="N58" s="20" t="n">
        <v>0</v>
      </c>
      <c r="O58" s="18" t="n">
        <v>0.48385287</v>
      </c>
      <c r="P58" s="20" t="n">
        <v>0.49690477</v>
      </c>
      <c r="Q58" s="18" t="n">
        <v>24.71772424</v>
      </c>
      <c r="R58" s="20" t="n">
        <v>2.35991899</v>
      </c>
    </row>
    <row r="59" spans="1:18">
      <c r="A59" s="15" t="s">
        <v>483</v>
      </c>
      <c r="B59" s="17" t="n">
        <v>2548</v>
      </c>
      <c r="C59" s="18">
        <f>(2129.0/B59*100)</f>
        <v/>
      </c>
      <c r="D59" s="19" t="n">
        <v>419</v>
      </c>
      <c r="E59" s="18" t="n">
        <v>46.58642231</v>
      </c>
      <c r="F59" s="20" t="n">
        <v>3.16044619</v>
      </c>
      <c r="G59" s="18" t="n">
        <v>7.69842373</v>
      </c>
      <c r="H59" s="20" t="n">
        <v>1.99657965</v>
      </c>
      <c r="I59" s="18" t="s">
        <v>431</v>
      </c>
      <c r="J59" s="20" t="s">
        <v>431</v>
      </c>
      <c r="K59" s="18" t="n">
        <v>0.84495609</v>
      </c>
      <c r="L59" s="20" t="n">
        <v>0.58012787</v>
      </c>
      <c r="M59" s="18" t="n">
        <v>0</v>
      </c>
      <c r="N59" s="20" t="n">
        <v>0</v>
      </c>
      <c r="O59" s="18" t="n">
        <v>0</v>
      </c>
      <c r="P59" s="20" t="n">
        <v>0</v>
      </c>
      <c r="Q59" s="18" t="n">
        <v>44.87019787</v>
      </c>
      <c r="R59" s="20" t="n">
        <v>3.16695214</v>
      </c>
    </row>
    <row r="60" spans="1:18">
      <c r="A60" s="15" t="s">
        <v>484</v>
      </c>
      <c r="B60" s="17" t="n">
        <v>2095</v>
      </c>
      <c r="C60" s="18">
        <f>(1736.0/B60*100)</f>
        <v/>
      </c>
      <c r="D60" s="19" t="n">
        <v>359</v>
      </c>
      <c r="E60" s="18" t="n">
        <v>24.82400922</v>
      </c>
      <c r="F60" s="20" t="n">
        <v>2.8188584</v>
      </c>
      <c r="G60" s="18" t="n">
        <v>21.2561787</v>
      </c>
      <c r="H60" s="20" t="n">
        <v>2.47328685</v>
      </c>
      <c r="I60" s="18" t="s">
        <v>431</v>
      </c>
      <c r="J60" s="20" t="s">
        <v>431</v>
      </c>
      <c r="K60" s="18" t="n">
        <v>8.81563493</v>
      </c>
      <c r="L60" s="20" t="n">
        <v>1.83530355</v>
      </c>
      <c r="M60" s="18" t="n">
        <v>0</v>
      </c>
      <c r="N60" s="20" t="n">
        <v>0</v>
      </c>
      <c r="O60" s="18" t="n">
        <v>0.23886915</v>
      </c>
      <c r="P60" s="20" t="n">
        <v>0.24255052</v>
      </c>
      <c r="Q60" s="18" t="n">
        <v>44.86530799</v>
      </c>
      <c r="R60" s="20" t="n">
        <v>2.50773824</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(2344.0/B63*100)</f>
        <v/>
      </c>
      <c r="D63" s="19" t="n">
        <v>469</v>
      </c>
      <c r="E63" s="18" t="n">
        <v>20.5903924</v>
      </c>
      <c r="F63" s="20" t="n">
        <v>2.32804433</v>
      </c>
      <c r="G63" s="18" t="n">
        <v>8.256649299999999</v>
      </c>
      <c r="H63" s="20" t="n">
        <v>1.49312819</v>
      </c>
      <c r="I63" s="18" t="s">
        <v>431</v>
      </c>
      <c r="J63" s="20" t="s">
        <v>431</v>
      </c>
      <c r="K63" s="18" t="n">
        <v>4.77956024</v>
      </c>
      <c r="L63" s="20" t="n">
        <v>0.8546546699999999</v>
      </c>
      <c r="M63" s="18" t="n">
        <v>0</v>
      </c>
      <c r="N63" s="20" t="n">
        <v>0</v>
      </c>
      <c r="O63" s="18" t="n">
        <v>0</v>
      </c>
      <c r="P63" s="20" t="n">
        <v>0</v>
      </c>
      <c r="Q63" s="18" t="n">
        <v>66.37339806</v>
      </c>
      <c r="R63" s="20" t="n">
        <v>2.70069868</v>
      </c>
    </row>
    <row r="64" spans="1:18">
      <c r="A64" s="15" t="s">
        <v>488</v>
      </c>
      <c r="B64" s="17" t="n">
        <v>1844</v>
      </c>
      <c r="C64" s="18">
        <f>(1545.0/B64*100)</f>
        <v/>
      </c>
      <c r="D64" s="19" t="n">
        <v>299</v>
      </c>
      <c r="E64" s="18" t="n">
        <v>28.94777742</v>
      </c>
      <c r="F64" s="20" t="n">
        <v>2.7362642</v>
      </c>
      <c r="G64" s="18" t="n">
        <v>27.63797034</v>
      </c>
      <c r="H64" s="20" t="n">
        <v>2.60119558</v>
      </c>
      <c r="I64" s="18" t="s">
        <v>431</v>
      </c>
      <c r="J64" s="20" t="s">
        <v>431</v>
      </c>
      <c r="K64" s="18" t="n">
        <v>5.58410582</v>
      </c>
      <c r="L64" s="20" t="n">
        <v>1.52249842</v>
      </c>
      <c r="M64" s="18" t="n">
        <v>0</v>
      </c>
      <c r="N64" s="20" t="n">
        <v>0</v>
      </c>
      <c r="O64" s="18" t="n">
        <v>0</v>
      </c>
      <c r="P64" s="20" t="n">
        <v>0</v>
      </c>
      <c r="Q64" s="18" t="n">
        <v>37.83014641</v>
      </c>
      <c r="R64" s="20" t="n">
        <v>3.23225374</v>
      </c>
    </row>
    <row r="65" spans="1:18">
      <c r="A65" s="15" t="s">
        <v>489</v>
      </c>
      <c r="B65" s="17" t="n">
        <v>2691</v>
      </c>
      <c r="C65" s="18">
        <f>(2249.0/B65*100)</f>
        <v/>
      </c>
      <c r="D65" s="19" t="n">
        <v>442</v>
      </c>
      <c r="E65" s="18" t="n">
        <v>20.90793292</v>
      </c>
      <c r="F65" s="20" t="n">
        <v>2.25907067</v>
      </c>
      <c r="G65" s="18" t="n">
        <v>22.35766904</v>
      </c>
      <c r="H65" s="20" t="n">
        <v>2.24794399</v>
      </c>
      <c r="I65" s="18" t="s">
        <v>431</v>
      </c>
      <c r="J65" s="20" t="s">
        <v>431</v>
      </c>
      <c r="K65" s="18" t="n">
        <v>7.81638166</v>
      </c>
      <c r="L65" s="20" t="n">
        <v>1.28411436</v>
      </c>
      <c r="M65" s="18" t="n">
        <v>0</v>
      </c>
      <c r="N65" s="20" t="n">
        <v>0</v>
      </c>
      <c r="O65" s="18" t="n">
        <v>0</v>
      </c>
      <c r="P65" s="20" t="n">
        <v>0</v>
      </c>
      <c r="Q65" s="18" t="n">
        <v>48.91801638</v>
      </c>
      <c r="R65" s="20" t="n">
        <v>2.53289487</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(2017.0/B69*100)</f>
        <v/>
      </c>
      <c r="D69" s="19" t="n">
        <v>393</v>
      </c>
      <c r="E69" s="18" t="n">
        <v>49.90229756</v>
      </c>
      <c r="F69" s="20" t="n">
        <v>3.04292144</v>
      </c>
      <c r="G69" s="18" t="n">
        <v>41.1478676</v>
      </c>
      <c r="H69" s="20" t="n">
        <v>2.74958244</v>
      </c>
      <c r="I69" s="18" t="s">
        <v>431</v>
      </c>
      <c r="J69" s="20" t="s">
        <v>431</v>
      </c>
      <c r="K69" s="18" t="n">
        <v>0</v>
      </c>
      <c r="L69" s="20" t="n">
        <v>0</v>
      </c>
      <c r="M69" s="18" t="n">
        <v>0</v>
      </c>
      <c r="N69" s="20" t="n">
        <v>0</v>
      </c>
      <c r="O69" s="18" t="n">
        <v>0</v>
      </c>
      <c r="P69" s="20" t="n">
        <v>0</v>
      </c>
      <c r="Q69" s="18" t="n">
        <v>8.949834839999999</v>
      </c>
      <c r="R69" s="20" t="n">
        <v>1.68905111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(1863.0/B74*100)</f>
        <v/>
      </c>
      <c r="D74" s="19" t="n">
        <v>376</v>
      </c>
      <c r="E74" s="18" t="n">
        <v>24.80808023</v>
      </c>
      <c r="F74" s="20" t="n">
        <v>2.35242652</v>
      </c>
      <c r="G74" s="18" t="n">
        <v>23.01385237</v>
      </c>
      <c r="H74" s="20" t="n">
        <v>2.354683</v>
      </c>
      <c r="I74" s="18" t="s">
        <v>431</v>
      </c>
      <c r="J74" s="20" t="s">
        <v>431</v>
      </c>
      <c r="K74" s="18" t="n">
        <v>10.64479974</v>
      </c>
      <c r="L74" s="20" t="n">
        <v>1.89478969</v>
      </c>
      <c r="M74" s="18" t="n">
        <v>0</v>
      </c>
      <c r="N74" s="20" t="n">
        <v>0</v>
      </c>
      <c r="O74" s="18" t="n">
        <v>0</v>
      </c>
      <c r="P74" s="20" t="n">
        <v>0</v>
      </c>
      <c r="Q74" s="18" t="n">
        <v>41.53326766</v>
      </c>
      <c r="R74" s="20" t="n">
        <v>3.06338665</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(2314.0/B78*100)</f>
        <v/>
      </c>
      <c r="D78" s="19" t="n">
        <v>472</v>
      </c>
      <c r="E78" s="18" t="n">
        <v>28.97346521</v>
      </c>
      <c r="F78" s="20" t="n">
        <v>2.01226896</v>
      </c>
      <c r="G78" s="18" t="n">
        <v>68.92769307</v>
      </c>
      <c r="H78" s="20" t="n">
        <v>2.11110959</v>
      </c>
      <c r="I78" s="18" t="s">
        <v>431</v>
      </c>
      <c r="J78" s="20" t="s">
        <v>431</v>
      </c>
      <c r="K78" s="18" t="n">
        <v>0.22482911</v>
      </c>
      <c r="L78" s="20" t="n">
        <v>0.22793405</v>
      </c>
      <c r="M78" s="18" t="n">
        <v>0</v>
      </c>
      <c r="N78" s="20" t="n">
        <v>0</v>
      </c>
      <c r="O78" s="18" t="n">
        <v>0</v>
      </c>
      <c r="P78" s="20" t="n">
        <v>0</v>
      </c>
      <c r="Q78" s="18" t="n">
        <v>1.8740126</v>
      </c>
      <c r="R78" s="20" t="n">
        <v>0.6713535899999999</v>
      </c>
    </row>
    <row customHeight="1" ht="25" r="79" spans="1:18">
      <c r="A79" s="15" t="s">
        <v>503</v>
      </c>
      <c r="B79" s="17" t="n">
        <v>787</v>
      </c>
      <c r="C79" s="18">
        <f>(664.0/B79*100)</f>
        <v/>
      </c>
      <c r="D79" s="19" t="n">
        <v>123</v>
      </c>
      <c r="E79" s="18" t="n">
        <v>24.1318675</v>
      </c>
      <c r="F79" s="20" t="n">
        <v>5.3409915</v>
      </c>
      <c r="G79" s="18" t="n">
        <v>51.69553006</v>
      </c>
      <c r="H79" s="20" t="n">
        <v>5.76160532</v>
      </c>
      <c r="I79" s="18" t="s">
        <v>431</v>
      </c>
      <c r="J79" s="20" t="s">
        <v>431</v>
      </c>
      <c r="K79" s="18" t="n">
        <v>7.14318591</v>
      </c>
      <c r="L79" s="20" t="n">
        <v>3.64060823</v>
      </c>
      <c r="M79" s="18" t="n">
        <v>0</v>
      </c>
      <c r="N79" s="20" t="n">
        <v>0</v>
      </c>
      <c r="O79" s="18" t="n">
        <v>0</v>
      </c>
      <c r="P79" s="20" t="n">
        <v>0</v>
      </c>
      <c r="Q79" s="18" t="n">
        <v>17.02941653</v>
      </c>
      <c r="R79" s="20" t="n">
        <v>4.13608064</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(2119.0/B44*100)</f>
        <v/>
      </c>
      <c r="D44" s="19" t="n">
        <v>405</v>
      </c>
      <c r="E44" s="18" t="n">
        <v>27.91869057</v>
      </c>
      <c r="F44" s="20" t="n">
        <v>2.62749989</v>
      </c>
      <c r="G44" s="18" t="n">
        <v>48.53541063</v>
      </c>
      <c r="H44" s="20" t="n">
        <v>3.53742273</v>
      </c>
      <c r="I44" s="18" t="s">
        <v>431</v>
      </c>
      <c r="J44" s="20" t="s">
        <v>431</v>
      </c>
      <c r="K44" s="18" t="n">
        <v>6.58095459</v>
      </c>
      <c r="L44" s="20" t="n">
        <v>1.22417588</v>
      </c>
      <c r="M44" s="18" t="n">
        <v>0</v>
      </c>
      <c r="N44" s="20" t="n">
        <v>0</v>
      </c>
      <c r="O44" s="18" t="n">
        <v>0</v>
      </c>
      <c r="P44" s="20" t="n">
        <v>0</v>
      </c>
      <c r="Q44" s="18" t="n">
        <v>16.96494421</v>
      </c>
      <c r="R44" s="20" t="n">
        <v>2.28105914</v>
      </c>
    </row>
    <row r="45" spans="1:18">
      <c r="A45" s="15" t="s">
        <v>469</v>
      </c>
      <c r="B45" s="17" t="n">
        <v>2849</v>
      </c>
      <c r="C45" s="18">
        <f>(2360.0/B45*100)</f>
        <v/>
      </c>
      <c r="D45" s="19" t="n">
        <v>489</v>
      </c>
      <c r="E45" s="18" t="n">
        <v>48.92913836</v>
      </c>
      <c r="F45" s="20" t="n">
        <v>2.39037357</v>
      </c>
      <c r="G45" s="18" t="n">
        <v>27.71741514</v>
      </c>
      <c r="H45" s="20" t="n">
        <v>2.28098754</v>
      </c>
      <c r="I45" s="18" t="s">
        <v>431</v>
      </c>
      <c r="J45" s="20" t="s">
        <v>431</v>
      </c>
      <c r="K45" s="18" t="n">
        <v>9.23657906</v>
      </c>
      <c r="L45" s="20" t="n">
        <v>1.35249058</v>
      </c>
      <c r="M45" s="18" t="n">
        <v>0.47344198</v>
      </c>
      <c r="N45" s="20" t="n">
        <v>0.26438736</v>
      </c>
      <c r="O45" s="18" t="n">
        <v>0.24735967</v>
      </c>
      <c r="P45" s="20" t="n">
        <v>0.16707385</v>
      </c>
      <c r="Q45" s="18" t="n">
        <v>13.39606578</v>
      </c>
      <c r="R45" s="20" t="n">
        <v>1.74672348</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(2522.0/B49*100)</f>
        <v/>
      </c>
      <c r="D49" s="19" t="n">
        <v>496</v>
      </c>
      <c r="E49" s="18" t="n">
        <v>32.63391653</v>
      </c>
      <c r="F49" s="20" t="n">
        <v>2.13530516</v>
      </c>
      <c r="G49" s="18" t="n">
        <v>50.50635593</v>
      </c>
      <c r="H49" s="20" t="n">
        <v>2.53775425</v>
      </c>
      <c r="I49" s="18" t="s">
        <v>431</v>
      </c>
      <c r="J49" s="20" t="s">
        <v>431</v>
      </c>
      <c r="K49" s="18" t="n">
        <v>2.26404612</v>
      </c>
      <c r="L49" s="20" t="n">
        <v>0.7520196099999999</v>
      </c>
      <c r="M49" s="18" t="n">
        <v>0.40260496</v>
      </c>
      <c r="N49" s="20" t="n">
        <v>0.30585815</v>
      </c>
      <c r="O49" s="18" t="n">
        <v>0</v>
      </c>
      <c r="P49" s="20" t="n">
        <v>0</v>
      </c>
      <c r="Q49" s="18" t="n">
        <v>14.19307646</v>
      </c>
      <c r="R49" s="20" t="n">
        <v>1.6992659</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(2284.0/B55*100)</f>
        <v/>
      </c>
      <c r="D55" s="19" t="n">
        <v>475</v>
      </c>
      <c r="E55" s="18" t="n">
        <v>42.59790667</v>
      </c>
      <c r="F55" s="20" t="n">
        <v>2.5455175</v>
      </c>
      <c r="G55" s="18" t="n">
        <v>23.31671441</v>
      </c>
      <c r="H55" s="20" t="n">
        <v>2.26338783</v>
      </c>
      <c r="I55" s="18" t="s">
        <v>431</v>
      </c>
      <c r="J55" s="20" t="s">
        <v>431</v>
      </c>
      <c r="K55" s="18" t="n">
        <v>3.41163391</v>
      </c>
      <c r="L55" s="20" t="n">
        <v>0.82396987</v>
      </c>
      <c r="M55" s="18" t="n">
        <v>0</v>
      </c>
      <c r="N55" s="20" t="n">
        <v>0</v>
      </c>
      <c r="O55" s="18" t="n">
        <v>0</v>
      </c>
      <c r="P55" s="20" t="n">
        <v>0</v>
      </c>
      <c r="Q55" s="18" t="n">
        <v>30.67374501</v>
      </c>
      <c r="R55" s="20" t="n">
        <v>2.57321624</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44.90514026</v>
      </c>
      <c r="F57" s="20" t="n">
        <v>2.65752136</v>
      </c>
      <c r="G57" s="18" t="n">
        <v>47.31496208</v>
      </c>
      <c r="H57" s="20" t="n">
        <v>2.57787438</v>
      </c>
      <c r="I57" s="18" t="s">
        <v>431</v>
      </c>
      <c r="J57" s="20" t="s">
        <v>431</v>
      </c>
      <c r="K57" s="18" t="n">
        <v>2.85567695</v>
      </c>
      <c r="L57" s="20" t="n">
        <v>0.6929680499999999</v>
      </c>
      <c r="M57" s="18" t="n">
        <v>0</v>
      </c>
      <c r="N57" s="20" t="n">
        <v>0</v>
      </c>
      <c r="O57" s="18" t="n">
        <v>0</v>
      </c>
      <c r="P57" s="20" t="n">
        <v>0</v>
      </c>
      <c r="Q57" s="18" t="n">
        <v>4.92422072</v>
      </c>
      <c r="R57" s="20" t="n">
        <v>0.99973197</v>
      </c>
    </row>
    <row r="58" spans="1:18">
      <c r="A58" s="15" t="s">
        <v>482</v>
      </c>
      <c r="B58" s="17" t="n">
        <v>3530</v>
      </c>
      <c r="C58" s="18">
        <f>(2937.0/B58*100)</f>
        <v/>
      </c>
      <c r="D58" s="19" t="n">
        <v>593</v>
      </c>
      <c r="E58" s="18" t="n">
        <v>28.4660127</v>
      </c>
      <c r="F58" s="20" t="n">
        <v>2.00427377</v>
      </c>
      <c r="G58" s="18" t="n">
        <v>53.89208796</v>
      </c>
      <c r="H58" s="20" t="n">
        <v>2.35284114</v>
      </c>
      <c r="I58" s="18" t="s">
        <v>431</v>
      </c>
      <c r="J58" s="20" t="s">
        <v>431</v>
      </c>
      <c r="K58" s="18" t="n">
        <v>3.66245524</v>
      </c>
      <c r="L58" s="20" t="n">
        <v>0.8578965</v>
      </c>
      <c r="M58" s="18" t="n">
        <v>0</v>
      </c>
      <c r="N58" s="20" t="n">
        <v>0</v>
      </c>
      <c r="O58" s="18" t="n">
        <v>0.48385287</v>
      </c>
      <c r="P58" s="20" t="n">
        <v>0.49690477</v>
      </c>
      <c r="Q58" s="18" t="n">
        <v>13.49559123</v>
      </c>
      <c r="R58" s="20" t="n">
        <v>1.6873892</v>
      </c>
    </row>
    <row r="59" spans="1:18">
      <c r="A59" s="15" t="s">
        <v>483</v>
      </c>
      <c r="B59" s="17" t="n">
        <v>2548</v>
      </c>
      <c r="C59" s="18">
        <f>(2129.0/B59*100)</f>
        <v/>
      </c>
      <c r="D59" s="19" t="n">
        <v>419</v>
      </c>
      <c r="E59" s="18" t="n">
        <v>58.64667301</v>
      </c>
      <c r="F59" s="20" t="n">
        <v>2.63039639</v>
      </c>
      <c r="G59" s="18" t="n">
        <v>20.40616848</v>
      </c>
      <c r="H59" s="20" t="n">
        <v>2.66255169</v>
      </c>
      <c r="I59" s="18" t="s">
        <v>431</v>
      </c>
      <c r="J59" s="20" t="s">
        <v>431</v>
      </c>
      <c r="K59" s="18" t="n">
        <v>0.84495609</v>
      </c>
      <c r="L59" s="20" t="n">
        <v>0.58012787</v>
      </c>
      <c r="M59" s="18" t="n">
        <v>0</v>
      </c>
      <c r="N59" s="20" t="n">
        <v>0</v>
      </c>
      <c r="O59" s="18" t="n">
        <v>0</v>
      </c>
      <c r="P59" s="20" t="n">
        <v>0</v>
      </c>
      <c r="Q59" s="18" t="n">
        <v>20.10220241</v>
      </c>
      <c r="R59" s="20" t="n">
        <v>1.81948727</v>
      </c>
    </row>
    <row r="60" spans="1:18">
      <c r="A60" s="15" t="s">
        <v>484</v>
      </c>
      <c r="B60" s="17" t="n">
        <v>2095</v>
      </c>
      <c r="C60" s="18">
        <f>(1736.0/B60*100)</f>
        <v/>
      </c>
      <c r="D60" s="19" t="n">
        <v>359</v>
      </c>
      <c r="E60" s="18" t="n">
        <v>30.05600474</v>
      </c>
      <c r="F60" s="20" t="n">
        <v>2.69305989</v>
      </c>
      <c r="G60" s="18" t="n">
        <v>36.53756069</v>
      </c>
      <c r="H60" s="20" t="n">
        <v>2.91636162</v>
      </c>
      <c r="I60" s="18" t="s">
        <v>431</v>
      </c>
      <c r="J60" s="20" t="s">
        <v>431</v>
      </c>
      <c r="K60" s="18" t="n">
        <v>9.014519050000001</v>
      </c>
      <c r="L60" s="20" t="n">
        <v>1.84729</v>
      </c>
      <c r="M60" s="18" t="n">
        <v>0</v>
      </c>
      <c r="N60" s="20" t="n">
        <v>0</v>
      </c>
      <c r="O60" s="18" t="n">
        <v>0</v>
      </c>
      <c r="P60" s="20" t="n">
        <v>0</v>
      </c>
      <c r="Q60" s="18" t="n">
        <v>24.39191552</v>
      </c>
      <c r="R60" s="20" t="n">
        <v>2.72600161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(2344.0/B63*100)</f>
        <v/>
      </c>
      <c r="D63" s="19" t="n">
        <v>469</v>
      </c>
      <c r="E63" s="18" t="n">
        <v>30.74249723</v>
      </c>
      <c r="F63" s="20" t="n">
        <v>2.13994433</v>
      </c>
      <c r="G63" s="18" t="n">
        <v>23.64660438</v>
      </c>
      <c r="H63" s="20" t="n">
        <v>1.86272107</v>
      </c>
      <c r="I63" s="18" t="s">
        <v>431</v>
      </c>
      <c r="J63" s="20" t="s">
        <v>431</v>
      </c>
      <c r="K63" s="18" t="n">
        <v>4.84950861</v>
      </c>
      <c r="L63" s="20" t="n">
        <v>0.86970596</v>
      </c>
      <c r="M63" s="18" t="n">
        <v>0</v>
      </c>
      <c r="N63" s="20" t="n">
        <v>0</v>
      </c>
      <c r="O63" s="18" t="n">
        <v>0.15956232</v>
      </c>
      <c r="P63" s="20" t="n">
        <v>0.16008268</v>
      </c>
      <c r="Q63" s="18" t="n">
        <v>40.60182747</v>
      </c>
      <c r="R63" s="20" t="n">
        <v>2.43763452</v>
      </c>
    </row>
    <row r="64" spans="1:18">
      <c r="A64" s="15" t="s">
        <v>488</v>
      </c>
      <c r="B64" s="17" t="n">
        <v>1844</v>
      </c>
      <c r="C64" s="18">
        <f>(1545.0/B64*100)</f>
        <v/>
      </c>
      <c r="D64" s="19" t="n">
        <v>299</v>
      </c>
      <c r="E64" s="18" t="n">
        <v>21.63924733</v>
      </c>
      <c r="F64" s="20" t="n">
        <v>1.9624039</v>
      </c>
      <c r="G64" s="18" t="n">
        <v>51.24959306</v>
      </c>
      <c r="H64" s="20" t="n">
        <v>2.81921786</v>
      </c>
      <c r="I64" s="18" t="s">
        <v>431</v>
      </c>
      <c r="J64" s="20" t="s">
        <v>431</v>
      </c>
      <c r="K64" s="18" t="n">
        <v>5.58410582</v>
      </c>
      <c r="L64" s="20" t="n">
        <v>1.52249842</v>
      </c>
      <c r="M64" s="18" t="n">
        <v>0</v>
      </c>
      <c r="N64" s="20" t="n">
        <v>0</v>
      </c>
      <c r="O64" s="18" t="n">
        <v>0</v>
      </c>
      <c r="P64" s="20" t="n">
        <v>0</v>
      </c>
      <c r="Q64" s="18" t="n">
        <v>21.52705379</v>
      </c>
      <c r="R64" s="20" t="n">
        <v>2.40266423</v>
      </c>
    </row>
    <row r="65" spans="1:18">
      <c r="A65" s="15" t="s">
        <v>489</v>
      </c>
      <c r="B65" s="17" t="n">
        <v>2691</v>
      </c>
      <c r="C65" s="18">
        <f>(2249.0/B65*100)</f>
        <v/>
      </c>
      <c r="D65" s="19" t="n">
        <v>442</v>
      </c>
      <c r="E65" s="18" t="n">
        <v>42.97352101</v>
      </c>
      <c r="F65" s="20" t="n">
        <v>2.65916824</v>
      </c>
      <c r="G65" s="18" t="n">
        <v>20.94527471</v>
      </c>
      <c r="H65" s="20" t="n">
        <v>2.01060983</v>
      </c>
      <c r="I65" s="18" t="s">
        <v>431</v>
      </c>
      <c r="J65" s="20" t="s">
        <v>431</v>
      </c>
      <c r="K65" s="18" t="n">
        <v>8.20476856</v>
      </c>
      <c r="L65" s="20" t="n">
        <v>1.32056331</v>
      </c>
      <c r="M65" s="18" t="n">
        <v>0</v>
      </c>
      <c r="N65" s="20" t="n">
        <v>0</v>
      </c>
      <c r="O65" s="18" t="n">
        <v>0</v>
      </c>
      <c r="P65" s="20" t="n">
        <v>0</v>
      </c>
      <c r="Q65" s="18" t="n">
        <v>27.87643572</v>
      </c>
      <c r="R65" s="20" t="n">
        <v>2.31503751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(2017.0/B69*100)</f>
        <v/>
      </c>
      <c r="D69" s="19" t="n">
        <v>393</v>
      </c>
      <c r="E69" s="18" t="n">
        <v>52.57642029</v>
      </c>
      <c r="F69" s="20" t="n">
        <v>3.28245702</v>
      </c>
      <c r="G69" s="18" t="n">
        <v>44.31771504</v>
      </c>
      <c r="H69" s="20" t="n">
        <v>3.11599022</v>
      </c>
      <c r="I69" s="18" t="s">
        <v>431</v>
      </c>
      <c r="J69" s="20" t="s">
        <v>431</v>
      </c>
      <c r="K69" s="18" t="n">
        <v>0</v>
      </c>
      <c r="L69" s="20" t="n">
        <v>0</v>
      </c>
      <c r="M69" s="18" t="n">
        <v>0</v>
      </c>
      <c r="N69" s="20" t="n">
        <v>0</v>
      </c>
      <c r="O69" s="18" t="n">
        <v>0</v>
      </c>
      <c r="P69" s="20" t="n">
        <v>0</v>
      </c>
      <c r="Q69" s="18" t="n">
        <v>3.10586467</v>
      </c>
      <c r="R69" s="20" t="n">
        <v>0.92909429</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(1863.0/B74*100)</f>
        <v/>
      </c>
      <c r="D74" s="19" t="n">
        <v>376</v>
      </c>
      <c r="E74" s="18" t="n">
        <v>25.41116324</v>
      </c>
      <c r="F74" s="20" t="n">
        <v>2.77334363</v>
      </c>
      <c r="G74" s="18" t="n">
        <v>43.51749701</v>
      </c>
      <c r="H74" s="20" t="n">
        <v>2.46956</v>
      </c>
      <c r="I74" s="18" t="s">
        <v>431</v>
      </c>
      <c r="J74" s="20" t="s">
        <v>431</v>
      </c>
      <c r="K74" s="18" t="n">
        <v>10.64479974</v>
      </c>
      <c r="L74" s="20" t="n">
        <v>1.89478969</v>
      </c>
      <c r="M74" s="18" t="n">
        <v>0</v>
      </c>
      <c r="N74" s="20" t="n">
        <v>0</v>
      </c>
      <c r="O74" s="18" t="n">
        <v>0</v>
      </c>
      <c r="P74" s="20" t="n">
        <v>0</v>
      </c>
      <c r="Q74" s="18" t="n">
        <v>20.42654001</v>
      </c>
      <c r="R74" s="20" t="n">
        <v>2.50318561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(2314.0/B78*100)</f>
        <v/>
      </c>
      <c r="D78" s="19" t="n">
        <v>472</v>
      </c>
      <c r="E78" s="18" t="n">
        <v>41.93757768</v>
      </c>
      <c r="F78" s="20" t="n">
        <v>2.89255359</v>
      </c>
      <c r="G78" s="18" t="n">
        <v>56.28213416</v>
      </c>
      <c r="H78" s="20" t="n">
        <v>2.82096601</v>
      </c>
      <c r="I78" s="18" t="s">
        <v>431</v>
      </c>
      <c r="J78" s="20" t="s">
        <v>431</v>
      </c>
      <c r="K78" s="18" t="n">
        <v>0.22482911</v>
      </c>
      <c r="L78" s="20" t="n">
        <v>0.22793405</v>
      </c>
      <c r="M78" s="18" t="n">
        <v>0</v>
      </c>
      <c r="N78" s="20" t="n">
        <v>0</v>
      </c>
      <c r="O78" s="18" t="n">
        <v>0</v>
      </c>
      <c r="P78" s="20" t="n">
        <v>0</v>
      </c>
      <c r="Q78" s="18" t="n">
        <v>1.55545904</v>
      </c>
      <c r="R78" s="20" t="n">
        <v>0.65798748</v>
      </c>
    </row>
    <row customHeight="1" ht="25" r="79" spans="1:18">
      <c r="A79" s="15" t="s">
        <v>503</v>
      </c>
      <c r="B79" s="17" t="n">
        <v>787</v>
      </c>
      <c r="C79" s="18">
        <f>(664.0/B79*100)</f>
        <v/>
      </c>
      <c r="D79" s="19" t="n">
        <v>123</v>
      </c>
      <c r="E79" s="18" t="n">
        <v>15.83342132</v>
      </c>
      <c r="F79" s="20" t="n">
        <v>3.41556817</v>
      </c>
      <c r="G79" s="18" t="n">
        <v>72.24202871</v>
      </c>
      <c r="H79" s="20" t="n">
        <v>3.74619444</v>
      </c>
      <c r="I79" s="18" t="s">
        <v>431</v>
      </c>
      <c r="J79" s="20" t="s">
        <v>431</v>
      </c>
      <c r="K79" s="18" t="n">
        <v>7.14318591</v>
      </c>
      <c r="L79" s="20" t="n">
        <v>3.64060823</v>
      </c>
      <c r="M79" s="18" t="n">
        <v>0</v>
      </c>
      <c r="N79" s="20" t="n">
        <v>0</v>
      </c>
      <c r="O79" s="18" t="n">
        <v>0</v>
      </c>
      <c r="P79" s="20" t="n">
        <v>0</v>
      </c>
      <c r="Q79" s="18" t="n">
        <v>4.78136406</v>
      </c>
      <c r="R79" s="20" t="n">
        <v>1.76317199</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(2119.0/B44*100)</f>
        <v/>
      </c>
      <c r="D44" s="19" t="n">
        <v>405</v>
      </c>
      <c r="E44" s="18" t="n">
        <v>53.50661687</v>
      </c>
      <c r="F44" s="20" t="n">
        <v>3.02333998</v>
      </c>
      <c r="G44" s="18" t="n">
        <v>29.7005902</v>
      </c>
      <c r="H44" s="20" t="n">
        <v>2.62534926</v>
      </c>
      <c r="I44" s="18" t="s">
        <v>431</v>
      </c>
      <c r="J44" s="20" t="s">
        <v>431</v>
      </c>
      <c r="K44" s="18" t="n">
        <v>7.25836898</v>
      </c>
      <c r="L44" s="20" t="n">
        <v>1.3124653</v>
      </c>
      <c r="M44" s="18" t="n">
        <v>0</v>
      </c>
      <c r="N44" s="20" t="n">
        <v>0</v>
      </c>
      <c r="O44" s="18" t="n">
        <v>0.8615340500000001</v>
      </c>
      <c r="P44" s="20" t="n">
        <v>0.5343862700000001</v>
      </c>
      <c r="Q44" s="18" t="n">
        <v>8.67288989</v>
      </c>
      <c r="R44" s="20" t="n">
        <v>1.8590206</v>
      </c>
    </row>
    <row r="45" spans="1:18">
      <c r="A45" s="15" t="s">
        <v>469</v>
      </c>
      <c r="B45" s="17" t="n">
        <v>2849</v>
      </c>
      <c r="C45" s="18">
        <f>(2360.0/B45*100)</f>
        <v/>
      </c>
      <c r="D45" s="19" t="n">
        <v>489</v>
      </c>
      <c r="E45" s="18" t="n">
        <v>59.64492325</v>
      </c>
      <c r="F45" s="20" t="n">
        <v>2.48334788</v>
      </c>
      <c r="G45" s="18" t="n">
        <v>21.04921459</v>
      </c>
      <c r="H45" s="20" t="n">
        <v>1.98144111</v>
      </c>
      <c r="I45" s="18" t="s">
        <v>431</v>
      </c>
      <c r="J45" s="20" t="s">
        <v>431</v>
      </c>
      <c r="K45" s="18" t="n">
        <v>10.14339277</v>
      </c>
      <c r="L45" s="20" t="n">
        <v>1.40851762</v>
      </c>
      <c r="M45" s="18" t="n">
        <v>0.39397289</v>
      </c>
      <c r="N45" s="20" t="n">
        <v>0.30987552</v>
      </c>
      <c r="O45" s="18" t="n">
        <v>4.17226432</v>
      </c>
      <c r="P45" s="20" t="n">
        <v>0.99414076</v>
      </c>
      <c r="Q45" s="18" t="n">
        <v>4.59623219</v>
      </c>
      <c r="R45" s="20" t="n">
        <v>1.00419412</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(2522.0/B49*100)</f>
        <v/>
      </c>
      <c r="D49" s="19" t="n">
        <v>496</v>
      </c>
      <c r="E49" s="18" t="n">
        <v>40.3727856</v>
      </c>
      <c r="F49" s="20" t="n">
        <v>2.77061742</v>
      </c>
      <c r="G49" s="18" t="n">
        <v>53.58997977</v>
      </c>
      <c r="H49" s="20" t="n">
        <v>2.53107924</v>
      </c>
      <c r="I49" s="18" t="s">
        <v>431</v>
      </c>
      <c r="J49" s="20" t="s">
        <v>431</v>
      </c>
      <c r="K49" s="18" t="n">
        <v>2.7885671</v>
      </c>
      <c r="L49" s="20" t="n">
        <v>0.79665392</v>
      </c>
      <c r="M49" s="18" t="n">
        <v>0</v>
      </c>
      <c r="N49" s="20" t="n">
        <v>0</v>
      </c>
      <c r="O49" s="18" t="n">
        <v>0.89775173</v>
      </c>
      <c r="P49" s="20" t="n">
        <v>0.62097259</v>
      </c>
      <c r="Q49" s="18" t="n">
        <v>2.3509158</v>
      </c>
      <c r="R49" s="20" t="n">
        <v>0.73834632</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(2284.0/B55*100)</f>
        <v/>
      </c>
      <c r="D55" s="19" t="n">
        <v>475</v>
      </c>
      <c r="E55" s="18" t="n">
        <v>63.5336889</v>
      </c>
      <c r="F55" s="20" t="n">
        <v>2.28507431</v>
      </c>
      <c r="G55" s="18" t="n">
        <v>27.66521746</v>
      </c>
      <c r="H55" s="20" t="n">
        <v>2.08950862</v>
      </c>
      <c r="I55" s="18" t="s">
        <v>431</v>
      </c>
      <c r="J55" s="20" t="s">
        <v>431</v>
      </c>
      <c r="K55" s="18" t="n">
        <v>3.41163391</v>
      </c>
      <c r="L55" s="20" t="n">
        <v>0.82396987</v>
      </c>
      <c r="M55" s="18" t="n">
        <v>0.50166131</v>
      </c>
      <c r="N55" s="20" t="n">
        <v>0.3645507</v>
      </c>
      <c r="O55" s="18" t="n">
        <v>0.53575594</v>
      </c>
      <c r="P55" s="20" t="n">
        <v>0.35988132</v>
      </c>
      <c r="Q55" s="18" t="n">
        <v>4.35204248</v>
      </c>
      <c r="R55" s="20" t="n">
        <v>1.02754622</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50.52495825</v>
      </c>
      <c r="F57" s="20" t="n">
        <v>2.97477973</v>
      </c>
      <c r="G57" s="18" t="n">
        <v>43.9215588</v>
      </c>
      <c r="H57" s="20" t="n">
        <v>3.17096151</v>
      </c>
      <c r="I57" s="18" t="s">
        <v>431</v>
      </c>
      <c r="J57" s="20" t="s">
        <v>431</v>
      </c>
      <c r="K57" s="18" t="n">
        <v>3.65052784</v>
      </c>
      <c r="L57" s="20" t="n">
        <v>0.8397025</v>
      </c>
      <c r="M57" s="18" t="n">
        <v>0</v>
      </c>
      <c r="N57" s="20" t="n">
        <v>0</v>
      </c>
      <c r="O57" s="18" t="n">
        <v>0</v>
      </c>
      <c r="P57" s="20" t="n">
        <v>0</v>
      </c>
      <c r="Q57" s="18" t="n">
        <v>1.90295511</v>
      </c>
      <c r="R57" s="20" t="n">
        <v>0.62976879</v>
      </c>
    </row>
    <row r="58" spans="1:18">
      <c r="A58" s="15" t="s">
        <v>482</v>
      </c>
      <c r="B58" s="17" t="n">
        <v>3530</v>
      </c>
      <c r="C58" s="18">
        <f>(2937.0/B58*100)</f>
        <v/>
      </c>
      <c r="D58" s="19" t="n">
        <v>593</v>
      </c>
      <c r="E58" s="18" t="n">
        <v>58.86563892</v>
      </c>
      <c r="F58" s="20" t="n">
        <v>2.88112963</v>
      </c>
      <c r="G58" s="18" t="n">
        <v>30.03749345</v>
      </c>
      <c r="H58" s="20" t="n">
        <v>2.26727248</v>
      </c>
      <c r="I58" s="18" t="s">
        <v>431</v>
      </c>
      <c r="J58" s="20" t="s">
        <v>431</v>
      </c>
      <c r="K58" s="18" t="n">
        <v>4.37995163</v>
      </c>
      <c r="L58" s="20" t="n">
        <v>0.9613237100000001</v>
      </c>
      <c r="M58" s="18" t="n">
        <v>0</v>
      </c>
      <c r="N58" s="20" t="n">
        <v>0</v>
      </c>
      <c r="O58" s="18" t="n">
        <v>0.92535828</v>
      </c>
      <c r="P58" s="20" t="n">
        <v>0.44310927</v>
      </c>
      <c r="Q58" s="18" t="n">
        <v>5.79155771</v>
      </c>
      <c r="R58" s="20" t="n">
        <v>1.23470601</v>
      </c>
    </row>
    <row r="59" spans="1:18">
      <c r="A59" s="15" t="s">
        <v>483</v>
      </c>
      <c r="B59" s="17" t="n">
        <v>2548</v>
      </c>
      <c r="C59" s="18">
        <f>(2129.0/B59*100)</f>
        <v/>
      </c>
      <c r="D59" s="19" t="n">
        <v>419</v>
      </c>
      <c r="E59" s="18" t="n">
        <v>65.60557059999999</v>
      </c>
      <c r="F59" s="20" t="n">
        <v>2.41658617</v>
      </c>
      <c r="G59" s="18" t="n">
        <v>26.65838986</v>
      </c>
      <c r="H59" s="20" t="n">
        <v>2.62275996</v>
      </c>
      <c r="I59" s="18" t="s">
        <v>431</v>
      </c>
      <c r="J59" s="20" t="s">
        <v>431</v>
      </c>
      <c r="K59" s="18" t="n">
        <v>0.84495609</v>
      </c>
      <c r="L59" s="20" t="n">
        <v>0.58012787</v>
      </c>
      <c r="M59" s="18" t="n">
        <v>1.87800733</v>
      </c>
      <c r="N59" s="20" t="n">
        <v>0.95520692</v>
      </c>
      <c r="O59" s="18" t="n">
        <v>2.45766614</v>
      </c>
      <c r="P59" s="20" t="n">
        <v>1.01785911</v>
      </c>
      <c r="Q59" s="18" t="n">
        <v>2.55540997</v>
      </c>
      <c r="R59" s="20" t="n">
        <v>0.8864489800000001</v>
      </c>
    </row>
    <row r="60" spans="1:18">
      <c r="A60" s="15" t="s">
        <v>484</v>
      </c>
      <c r="B60" s="17" t="n">
        <v>2095</v>
      </c>
      <c r="C60" s="18">
        <f>(1736.0/B60*100)</f>
        <v/>
      </c>
      <c r="D60" s="19" t="n">
        <v>359</v>
      </c>
      <c r="E60" s="18" t="n">
        <v>47.91335186</v>
      </c>
      <c r="F60" s="20" t="n">
        <v>3.0896424</v>
      </c>
      <c r="G60" s="18" t="n">
        <v>29.54037539</v>
      </c>
      <c r="H60" s="20" t="n">
        <v>3.0756778</v>
      </c>
      <c r="I60" s="18" t="s">
        <v>431</v>
      </c>
      <c r="J60" s="20" t="s">
        <v>431</v>
      </c>
      <c r="K60" s="18" t="n">
        <v>9.63767416</v>
      </c>
      <c r="L60" s="20" t="n">
        <v>1.85810572</v>
      </c>
      <c r="M60" s="18" t="n">
        <v>0</v>
      </c>
      <c r="N60" s="20" t="n">
        <v>0</v>
      </c>
      <c r="O60" s="18" t="n">
        <v>4.17889915</v>
      </c>
      <c r="P60" s="20" t="n">
        <v>1.6692437</v>
      </c>
      <c r="Q60" s="18" t="n">
        <v>8.72969945</v>
      </c>
      <c r="R60" s="20" t="n">
        <v>1.37197061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(2344.0/B63*100)</f>
        <v/>
      </c>
      <c r="D63" s="19" t="n">
        <v>469</v>
      </c>
      <c r="E63" s="18" t="n">
        <v>57.32036738</v>
      </c>
      <c r="F63" s="20" t="n">
        <v>2.37910276</v>
      </c>
      <c r="G63" s="18" t="n">
        <v>27.99567353</v>
      </c>
      <c r="H63" s="20" t="n">
        <v>2.26439803</v>
      </c>
      <c r="I63" s="18" t="s">
        <v>431</v>
      </c>
      <c r="J63" s="20" t="s">
        <v>431</v>
      </c>
      <c r="K63" s="18" t="n">
        <v>5.31915737</v>
      </c>
      <c r="L63" s="20" t="n">
        <v>0.95932273</v>
      </c>
      <c r="M63" s="18" t="n">
        <v>0</v>
      </c>
      <c r="N63" s="20" t="n">
        <v>0</v>
      </c>
      <c r="O63" s="18" t="n">
        <v>1.96067569</v>
      </c>
      <c r="P63" s="20" t="n">
        <v>0.6944278699999999</v>
      </c>
      <c r="Q63" s="18" t="n">
        <v>7.40412603</v>
      </c>
      <c r="R63" s="20" t="n">
        <v>1.32772778</v>
      </c>
    </row>
    <row r="64" spans="1:18">
      <c r="A64" s="15" t="s">
        <v>488</v>
      </c>
      <c r="B64" s="17" t="n">
        <v>1844</v>
      </c>
      <c r="C64" s="18">
        <f>(1545.0/B64*100)</f>
        <v/>
      </c>
      <c r="D64" s="19" t="n">
        <v>299</v>
      </c>
      <c r="E64" s="18" t="n">
        <v>45.75476018</v>
      </c>
      <c r="F64" s="20" t="n">
        <v>3.04988198</v>
      </c>
      <c r="G64" s="18" t="n">
        <v>43.41801942</v>
      </c>
      <c r="H64" s="20" t="n">
        <v>3.11333245</v>
      </c>
      <c r="I64" s="18" t="s">
        <v>431</v>
      </c>
      <c r="J64" s="20" t="s">
        <v>431</v>
      </c>
      <c r="K64" s="18" t="n">
        <v>6.22878212</v>
      </c>
      <c r="L64" s="20" t="n">
        <v>1.60323754</v>
      </c>
      <c r="M64" s="18" t="n">
        <v>0</v>
      </c>
      <c r="N64" s="20" t="n">
        <v>0</v>
      </c>
      <c r="O64" s="18" t="n">
        <v>0</v>
      </c>
      <c r="P64" s="20" t="n">
        <v>0</v>
      </c>
      <c r="Q64" s="18" t="n">
        <v>4.59843828</v>
      </c>
      <c r="R64" s="20" t="n">
        <v>1.07338228</v>
      </c>
    </row>
    <row r="65" spans="1:18">
      <c r="A65" s="15" t="s">
        <v>489</v>
      </c>
      <c r="B65" s="17" t="n">
        <v>2691</v>
      </c>
      <c r="C65" s="18">
        <f>(2249.0/B65*100)</f>
        <v/>
      </c>
      <c r="D65" s="19" t="n">
        <v>442</v>
      </c>
      <c r="E65" s="18" t="n">
        <v>55.95034093</v>
      </c>
      <c r="F65" s="20" t="n">
        <v>2.53065618</v>
      </c>
      <c r="G65" s="18" t="n">
        <v>28.21680364</v>
      </c>
      <c r="H65" s="20" t="n">
        <v>2.43275977</v>
      </c>
      <c r="I65" s="18" t="s">
        <v>431</v>
      </c>
      <c r="J65" s="20" t="s">
        <v>431</v>
      </c>
      <c r="K65" s="18" t="n">
        <v>9.78497587</v>
      </c>
      <c r="L65" s="20" t="n">
        <v>1.44695561</v>
      </c>
      <c r="M65" s="18" t="n">
        <v>1.14226787</v>
      </c>
      <c r="N65" s="20" t="n">
        <v>0.52987134</v>
      </c>
      <c r="O65" s="18" t="n">
        <v>0</v>
      </c>
      <c r="P65" s="20" t="n">
        <v>0</v>
      </c>
      <c r="Q65" s="18" t="n">
        <v>4.90561169</v>
      </c>
      <c r="R65" s="20" t="n">
        <v>1.28616528</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(2017.0/B69*100)</f>
        <v/>
      </c>
      <c r="D69" s="19" t="n">
        <v>393</v>
      </c>
      <c r="E69" s="18" t="n">
        <v>66.77941814</v>
      </c>
      <c r="F69" s="20" t="n">
        <v>2.70116715</v>
      </c>
      <c r="G69" s="18" t="n">
        <v>32.03286197</v>
      </c>
      <c r="H69" s="20" t="n">
        <v>2.4229826</v>
      </c>
      <c r="I69" s="18" t="s">
        <v>431</v>
      </c>
      <c r="J69" s="20" t="s">
        <v>431</v>
      </c>
      <c r="K69" s="18" t="n">
        <v>0</v>
      </c>
      <c r="L69" s="20" t="n">
        <v>0</v>
      </c>
      <c r="M69" s="18" t="n">
        <v>0</v>
      </c>
      <c r="N69" s="20" t="n">
        <v>0</v>
      </c>
      <c r="O69" s="18" t="n">
        <v>0</v>
      </c>
      <c r="P69" s="20" t="n">
        <v>0</v>
      </c>
      <c r="Q69" s="18" t="n">
        <v>1.18771989</v>
      </c>
      <c r="R69" s="20" t="n">
        <v>1.00897952</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(1863.0/B74*100)</f>
        <v/>
      </c>
      <c r="D74" s="19" t="n">
        <v>376</v>
      </c>
      <c r="E74" s="18" t="n">
        <v>45.88946227</v>
      </c>
      <c r="F74" s="20" t="n">
        <v>2.84172608</v>
      </c>
      <c r="G74" s="18" t="n">
        <v>38.88743669</v>
      </c>
      <c r="H74" s="20" t="n">
        <v>2.54693405</v>
      </c>
      <c r="I74" s="18" t="s">
        <v>431</v>
      </c>
      <c r="J74" s="20" t="s">
        <v>431</v>
      </c>
      <c r="K74" s="18" t="n">
        <v>11.55471345</v>
      </c>
      <c r="L74" s="20" t="n">
        <v>1.96301333</v>
      </c>
      <c r="M74" s="18" t="n">
        <v>0</v>
      </c>
      <c r="N74" s="20" t="n">
        <v>0</v>
      </c>
      <c r="O74" s="18" t="n">
        <v>0</v>
      </c>
      <c r="P74" s="20" t="n">
        <v>0</v>
      </c>
      <c r="Q74" s="18" t="n">
        <v>3.66838759</v>
      </c>
      <c r="R74" s="20" t="n">
        <v>1.03154803</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(2314.0/B78*100)</f>
        <v/>
      </c>
      <c r="D78" s="19" t="n">
        <v>472</v>
      </c>
      <c r="E78" s="18" t="n">
        <v>38.17771506</v>
      </c>
      <c r="F78" s="20" t="n">
        <v>2.75600233</v>
      </c>
      <c r="G78" s="18" t="n">
        <v>61.59745583</v>
      </c>
      <c r="H78" s="20" t="n">
        <v>2.75863037</v>
      </c>
      <c r="I78" s="18" t="s">
        <v>431</v>
      </c>
      <c r="J78" s="20" t="s">
        <v>431</v>
      </c>
      <c r="K78" s="18" t="n">
        <v>0.22482911</v>
      </c>
      <c r="L78" s="20" t="n">
        <v>0.22793405</v>
      </c>
      <c r="M78" s="18" t="n">
        <v>0</v>
      </c>
      <c r="N78" s="20" t="n">
        <v>0</v>
      </c>
      <c r="O78" s="18" t="n">
        <v>0</v>
      </c>
      <c r="P78" s="20" t="n">
        <v>0</v>
      </c>
      <c r="Q78" s="18" t="n">
        <v>0</v>
      </c>
      <c r="R78" s="20" t="n">
        <v>0</v>
      </c>
    </row>
    <row customHeight="1" ht="25" r="79" spans="1:18">
      <c r="A79" s="15" t="s">
        <v>503</v>
      </c>
      <c r="B79" s="17" t="n">
        <v>787</v>
      </c>
      <c r="C79" s="18">
        <f>(664.0/B79*100)</f>
        <v/>
      </c>
      <c r="D79" s="19" t="n">
        <v>123</v>
      </c>
      <c r="E79" s="18" t="n">
        <v>24.7584648</v>
      </c>
      <c r="F79" s="20" t="n">
        <v>3.91163299</v>
      </c>
      <c r="G79" s="18" t="n">
        <v>63.91815897</v>
      </c>
      <c r="H79" s="20" t="n">
        <v>5.08142113</v>
      </c>
      <c r="I79" s="18" t="s">
        <v>431</v>
      </c>
      <c r="J79" s="20" t="s">
        <v>431</v>
      </c>
      <c r="K79" s="18" t="n">
        <v>8.14545309</v>
      </c>
      <c r="L79" s="20" t="n">
        <v>3.47744554</v>
      </c>
      <c r="M79" s="18" t="n">
        <v>0</v>
      </c>
      <c r="N79" s="20" t="n">
        <v>0</v>
      </c>
      <c r="O79" s="18" t="n">
        <v>1.02089758</v>
      </c>
      <c r="P79" s="20" t="n">
        <v>0.91235718</v>
      </c>
      <c r="Q79" s="18" t="n">
        <v>2.15702557</v>
      </c>
      <c r="R79" s="20" t="n">
        <v>1.23733026</v>
      </c>
    </row>
    <row r="80" spans="1:18">
      <c r="A80" s="15" t="s">
        <v>504</v>
      </c>
      <c r="B80" s="17" t="n">
        <v>3798</v>
      </c>
      <c r="C80" s="18">
        <f>(3169.0/B80*100)</f>
        <v/>
      </c>
      <c r="D80" s="19" t="n">
        <v>629</v>
      </c>
      <c r="E80" s="18" t="n">
        <v>41.01817658</v>
      </c>
      <c r="F80" s="20" t="n">
        <v>2.51975919</v>
      </c>
      <c r="G80" s="18" t="n">
        <v>58.37719403</v>
      </c>
      <c r="H80" s="20" t="n">
        <v>2.46588737</v>
      </c>
      <c r="I80" s="18" t="s">
        <v>431</v>
      </c>
      <c r="J80" s="20" t="s">
        <v>431</v>
      </c>
      <c r="K80" s="18" t="n">
        <v>0.00615649</v>
      </c>
      <c r="L80" s="20" t="n">
        <v>0.0061491</v>
      </c>
      <c r="M80" s="18" t="n">
        <v>0</v>
      </c>
      <c r="N80" s="20" t="n">
        <v>0</v>
      </c>
      <c r="O80" s="18" t="n">
        <v>0</v>
      </c>
      <c r="P80" s="20" t="n">
        <v>0</v>
      </c>
      <c r="Q80" s="18" t="n">
        <v>0.5984729</v>
      </c>
      <c r="R80" s="20" t="n">
        <v>0.29738275</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647</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(2119.0/B44*100)</f>
        <v/>
      </c>
      <c r="D44" s="19" t="n">
        <v>405</v>
      </c>
      <c r="E44" s="18" t="n">
        <v>24.74902621</v>
      </c>
      <c r="F44" s="20" t="n">
        <v>2.36564816</v>
      </c>
      <c r="G44" s="18" t="n">
        <v>26.00130856</v>
      </c>
      <c r="H44" s="20" t="n">
        <v>2.76056081</v>
      </c>
      <c r="I44" s="18" t="n">
        <v>7.27347905</v>
      </c>
      <c r="J44" s="20" t="n">
        <v>1.57395313</v>
      </c>
      <c r="K44" s="18" t="s">
        <v>431</v>
      </c>
      <c r="L44" s="20" t="s">
        <v>431</v>
      </c>
      <c r="M44" s="18" t="n">
        <v>7.45883385</v>
      </c>
      <c r="N44" s="20" t="n">
        <v>1.32523133</v>
      </c>
      <c r="O44" s="18" t="n">
        <v>0</v>
      </c>
      <c r="P44" s="20" t="n">
        <v>0</v>
      </c>
      <c r="Q44" s="18" t="n">
        <v>0</v>
      </c>
      <c r="R44" s="20" t="n">
        <v>0</v>
      </c>
      <c r="S44" s="18" t="n">
        <v>34.51735234</v>
      </c>
      <c r="T44" s="20" t="n">
        <v>2.93735145</v>
      </c>
    </row>
    <row r="45" spans="1:20">
      <c r="A45" s="15" t="s">
        <v>469</v>
      </c>
      <c r="B45" s="17" t="n">
        <v>2849</v>
      </c>
      <c r="C45" s="18">
        <f>(2360.0/B45*100)</f>
        <v/>
      </c>
      <c r="D45" s="19" t="n">
        <v>489</v>
      </c>
      <c r="E45" s="18" t="n">
        <v>33.64536308</v>
      </c>
      <c r="F45" s="20" t="n">
        <v>2.17686466</v>
      </c>
      <c r="G45" s="18" t="n">
        <v>9.51516966</v>
      </c>
      <c r="H45" s="20" t="n">
        <v>1.47357357</v>
      </c>
      <c r="I45" s="18" t="n">
        <v>3.19417564</v>
      </c>
      <c r="J45" s="20" t="n">
        <v>0.9469716</v>
      </c>
      <c r="K45" s="18" t="s">
        <v>431</v>
      </c>
      <c r="L45" s="20" t="s">
        <v>431</v>
      </c>
      <c r="M45" s="18" t="n">
        <v>10.42270502</v>
      </c>
      <c r="N45" s="20" t="n">
        <v>1.40673586</v>
      </c>
      <c r="O45" s="18" t="n">
        <v>0.74605828</v>
      </c>
      <c r="P45" s="20" t="n">
        <v>0.37830297</v>
      </c>
      <c r="Q45" s="18" t="n">
        <v>0.12861329</v>
      </c>
      <c r="R45" s="20" t="n">
        <v>0.12453704</v>
      </c>
      <c r="S45" s="18" t="n">
        <v>42.34791503</v>
      </c>
      <c r="T45" s="20" t="n">
        <v>2.84290458</v>
      </c>
    </row>
    <row r="46" spans="1:20">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3018</v>
      </c>
      <c r="C49" s="18">
        <f>(2522.0/B49*100)</f>
        <v/>
      </c>
      <c r="D49" s="19" t="n">
        <v>496</v>
      </c>
      <c r="E49" s="18" t="n">
        <v>45.94207177</v>
      </c>
      <c r="F49" s="20" t="n">
        <v>2.58559821</v>
      </c>
      <c r="G49" s="18" t="n">
        <v>12.26978455</v>
      </c>
      <c r="H49" s="20" t="n">
        <v>1.55171257</v>
      </c>
      <c r="I49" s="18" t="n">
        <v>4.25632832</v>
      </c>
      <c r="J49" s="20" t="n">
        <v>1.13492147</v>
      </c>
      <c r="K49" s="18" t="s">
        <v>431</v>
      </c>
      <c r="L49" s="20" t="s">
        <v>431</v>
      </c>
      <c r="M49" s="18" t="n">
        <v>2.7885671</v>
      </c>
      <c r="N49" s="20" t="n">
        <v>0.79665392</v>
      </c>
      <c r="O49" s="18" t="n">
        <v>0.40260496</v>
      </c>
      <c r="P49" s="20" t="n">
        <v>0.30585815</v>
      </c>
      <c r="Q49" s="18" t="n">
        <v>0</v>
      </c>
      <c r="R49" s="20" t="n">
        <v>0</v>
      </c>
      <c r="S49" s="18" t="n">
        <v>34.3406433</v>
      </c>
      <c r="T49" s="20" t="n">
        <v>2.75974967</v>
      </c>
    </row>
    <row r="50" spans="1:20">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2759</v>
      </c>
      <c r="C55" s="18">
        <f>(2284.0/B55*100)</f>
        <v/>
      </c>
      <c r="D55" s="19" t="n">
        <v>475</v>
      </c>
      <c r="E55" s="18" t="n">
        <v>23.61632629</v>
      </c>
      <c r="F55" s="20" t="n">
        <v>1.97572784</v>
      </c>
      <c r="G55" s="18" t="n">
        <v>12.89793467</v>
      </c>
      <c r="H55" s="20" t="n">
        <v>1.46267898</v>
      </c>
      <c r="I55" s="18" t="n">
        <v>6.04595924</v>
      </c>
      <c r="J55" s="20" t="n">
        <v>1.07061587</v>
      </c>
      <c r="K55" s="18" t="s">
        <v>431</v>
      </c>
      <c r="L55" s="20" t="s">
        <v>431</v>
      </c>
      <c r="M55" s="18" t="n">
        <v>3.76207796</v>
      </c>
      <c r="N55" s="20" t="n">
        <v>0.88595163</v>
      </c>
      <c r="O55" s="18" t="n">
        <v>0.50166131</v>
      </c>
      <c r="P55" s="20" t="n">
        <v>0.3645507</v>
      </c>
      <c r="Q55" s="18" t="n">
        <v>0</v>
      </c>
      <c r="R55" s="20" t="n">
        <v>0</v>
      </c>
      <c r="S55" s="18" t="n">
        <v>53.17604054</v>
      </c>
      <c r="T55" s="20" t="n">
        <v>2.60629556</v>
      </c>
    </row>
    <row r="56" spans="1:20">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3170</v>
      </c>
      <c r="C57" s="18">
        <f>(2635.0/B57*100)</f>
        <v/>
      </c>
      <c r="D57" s="19" t="n">
        <v>535</v>
      </c>
      <c r="E57" s="18" t="n">
        <v>62.33373252</v>
      </c>
      <c r="F57" s="20" t="n">
        <v>2.51455421</v>
      </c>
      <c r="G57" s="18" t="n">
        <v>17.94575141</v>
      </c>
      <c r="H57" s="20" t="n">
        <v>1.89878111</v>
      </c>
      <c r="I57" s="18" t="n">
        <v>6.81617778</v>
      </c>
      <c r="J57" s="20" t="n">
        <v>1.16083047</v>
      </c>
      <c r="K57" s="18" t="s">
        <v>431</v>
      </c>
      <c r="L57" s="20" t="s">
        <v>431</v>
      </c>
      <c r="M57" s="18" t="n">
        <v>3.65052784</v>
      </c>
      <c r="N57" s="20" t="n">
        <v>0.8397025</v>
      </c>
      <c r="O57" s="18" t="n">
        <v>0</v>
      </c>
      <c r="P57" s="20" t="n">
        <v>0</v>
      </c>
      <c r="Q57" s="18" t="n">
        <v>0</v>
      </c>
      <c r="R57" s="20" t="n">
        <v>0</v>
      </c>
      <c r="S57" s="18" t="n">
        <v>9.25381045</v>
      </c>
      <c r="T57" s="20" t="n">
        <v>1.83797938</v>
      </c>
    </row>
    <row r="58" spans="1:20">
      <c r="A58" s="15" t="s">
        <v>482</v>
      </c>
      <c r="B58" s="17" t="n">
        <v>3530</v>
      </c>
      <c r="C58" s="18">
        <f>(2937.0/B58*100)</f>
        <v/>
      </c>
      <c r="D58" s="19" t="n">
        <v>593</v>
      </c>
      <c r="E58" s="18" t="n">
        <v>21.21694692</v>
      </c>
      <c r="F58" s="20" t="n">
        <v>1.70466521</v>
      </c>
      <c r="G58" s="18" t="n">
        <v>30.13125947</v>
      </c>
      <c r="H58" s="20" t="n">
        <v>1.85613849</v>
      </c>
      <c r="I58" s="18" t="n">
        <v>17.53119503</v>
      </c>
      <c r="J58" s="20" t="n">
        <v>1.46779638</v>
      </c>
      <c r="K58" s="18" t="s">
        <v>431</v>
      </c>
      <c r="L58" s="20" t="s">
        <v>431</v>
      </c>
      <c r="M58" s="18" t="n">
        <v>4.64910584</v>
      </c>
      <c r="N58" s="20" t="n">
        <v>1.06863137</v>
      </c>
      <c r="O58" s="18" t="n">
        <v>0</v>
      </c>
      <c r="P58" s="20" t="n">
        <v>0</v>
      </c>
      <c r="Q58" s="18" t="n">
        <v>0</v>
      </c>
      <c r="R58" s="20" t="n">
        <v>0</v>
      </c>
      <c r="S58" s="18" t="n">
        <v>26.47149274</v>
      </c>
      <c r="T58" s="20" t="n">
        <v>2.15062643</v>
      </c>
    </row>
    <row r="59" spans="1:20">
      <c r="A59" s="15" t="s">
        <v>483</v>
      </c>
      <c r="B59" s="17" t="n">
        <v>2548</v>
      </c>
      <c r="C59" s="18">
        <f>(2129.0/B59*100)</f>
        <v/>
      </c>
      <c r="D59" s="19" t="n">
        <v>419</v>
      </c>
      <c r="E59" s="18" t="n">
        <v>66.06387767</v>
      </c>
      <c r="F59" s="20" t="n">
        <v>2.70460632</v>
      </c>
      <c r="G59" s="18" t="n">
        <v>5.69037439</v>
      </c>
      <c r="H59" s="20" t="n">
        <v>1.20194792</v>
      </c>
      <c r="I59" s="18" t="n">
        <v>1.76671856</v>
      </c>
      <c r="J59" s="20" t="n">
        <v>0.89414613</v>
      </c>
      <c r="K59" s="18" t="s">
        <v>431</v>
      </c>
      <c r="L59" s="20" t="s">
        <v>431</v>
      </c>
      <c r="M59" s="18" t="n">
        <v>0.84495609</v>
      </c>
      <c r="N59" s="20" t="n">
        <v>0.58012787</v>
      </c>
      <c r="O59" s="18" t="n">
        <v>0</v>
      </c>
      <c r="P59" s="20" t="n">
        <v>0</v>
      </c>
      <c r="Q59" s="18" t="n">
        <v>0</v>
      </c>
      <c r="R59" s="20" t="n">
        <v>0</v>
      </c>
      <c r="S59" s="18" t="n">
        <v>25.63407329</v>
      </c>
      <c r="T59" s="20" t="n">
        <v>2.590129</v>
      </c>
    </row>
    <row r="60" spans="1:20">
      <c r="A60" s="15" t="s">
        <v>484</v>
      </c>
      <c r="B60" s="17" t="n">
        <v>2095</v>
      </c>
      <c r="C60" s="18">
        <f>(1736.0/B60*100)</f>
        <v/>
      </c>
      <c r="D60" s="19" t="n">
        <v>359</v>
      </c>
      <c r="E60" s="18" t="n">
        <v>35.38137131</v>
      </c>
      <c r="F60" s="20" t="n">
        <v>3.08852583</v>
      </c>
      <c r="G60" s="18" t="n">
        <v>10.21444886</v>
      </c>
      <c r="H60" s="20" t="n">
        <v>1.91492643</v>
      </c>
      <c r="I60" s="18" t="n">
        <v>1.30906866</v>
      </c>
      <c r="J60" s="20" t="n">
        <v>0.55339501</v>
      </c>
      <c r="K60" s="18" t="s">
        <v>431</v>
      </c>
      <c r="L60" s="20" t="s">
        <v>431</v>
      </c>
      <c r="M60" s="18" t="n">
        <v>9.766055830000001</v>
      </c>
      <c r="N60" s="20" t="n">
        <v>1.86857829</v>
      </c>
      <c r="O60" s="18" t="n">
        <v>0</v>
      </c>
      <c r="P60" s="20" t="n">
        <v>0</v>
      </c>
      <c r="Q60" s="18" t="n">
        <v>0</v>
      </c>
      <c r="R60" s="20" t="n">
        <v>0</v>
      </c>
      <c r="S60" s="18" t="n">
        <v>43.32905534</v>
      </c>
      <c r="T60" s="20" t="n">
        <v>3.16640556</v>
      </c>
    </row>
    <row r="61" spans="1:20">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2813</v>
      </c>
      <c r="C63" s="18">
        <f>(2344.0/B63*100)</f>
        <v/>
      </c>
      <c r="D63" s="19" t="n">
        <v>469</v>
      </c>
      <c r="E63" s="18" t="n">
        <v>18.65569279</v>
      </c>
      <c r="F63" s="20" t="n">
        <v>2.06357004</v>
      </c>
      <c r="G63" s="18" t="n">
        <v>8.05259487</v>
      </c>
      <c r="H63" s="20" t="n">
        <v>1.36979051</v>
      </c>
      <c r="I63" s="18" t="n">
        <v>1.80975755</v>
      </c>
      <c r="J63" s="20" t="n">
        <v>0.71009514</v>
      </c>
      <c r="K63" s="18" t="s">
        <v>431</v>
      </c>
      <c r="L63" s="20" t="s">
        <v>431</v>
      </c>
      <c r="M63" s="18" t="n">
        <v>5.86981186</v>
      </c>
      <c r="N63" s="20" t="n">
        <v>0.95196578</v>
      </c>
      <c r="O63" s="18" t="n">
        <v>0</v>
      </c>
      <c r="P63" s="20" t="n">
        <v>0</v>
      </c>
      <c r="Q63" s="18" t="n">
        <v>0</v>
      </c>
      <c r="R63" s="20" t="n">
        <v>0</v>
      </c>
      <c r="S63" s="18" t="n">
        <v>65.61214293</v>
      </c>
      <c r="T63" s="20" t="n">
        <v>2.78822657</v>
      </c>
    </row>
    <row r="64" spans="1:20">
      <c r="A64" s="15" t="s">
        <v>488</v>
      </c>
      <c r="B64" s="17" t="n">
        <v>1844</v>
      </c>
      <c r="C64" s="18">
        <f>(1545.0/B64*100)</f>
        <v/>
      </c>
      <c r="D64" s="19" t="n">
        <v>299</v>
      </c>
      <c r="E64" s="18" t="n">
        <v>29.41458247</v>
      </c>
      <c r="F64" s="20" t="n">
        <v>2.88632435</v>
      </c>
      <c r="G64" s="18" t="n">
        <v>22.68127809</v>
      </c>
      <c r="H64" s="20" t="n">
        <v>2.13882699</v>
      </c>
      <c r="I64" s="18" t="n">
        <v>11.85045208</v>
      </c>
      <c r="J64" s="20" t="n">
        <v>2.09894225</v>
      </c>
      <c r="K64" s="18" t="s">
        <v>431</v>
      </c>
      <c r="L64" s="20" t="s">
        <v>431</v>
      </c>
      <c r="M64" s="18" t="n">
        <v>6.22878212</v>
      </c>
      <c r="N64" s="20" t="n">
        <v>1.60323754</v>
      </c>
      <c r="O64" s="18" t="n">
        <v>0</v>
      </c>
      <c r="P64" s="20" t="n">
        <v>0</v>
      </c>
      <c r="Q64" s="18" t="n">
        <v>0.3675628</v>
      </c>
      <c r="R64" s="20" t="n">
        <v>0.36715674</v>
      </c>
      <c r="S64" s="18" t="n">
        <v>29.45734243</v>
      </c>
      <c r="T64" s="20" t="n">
        <v>3.08302082</v>
      </c>
    </row>
    <row r="65" spans="1:20">
      <c r="A65" s="15" t="s">
        <v>489</v>
      </c>
      <c r="B65" s="17" t="n">
        <v>2691</v>
      </c>
      <c r="C65" s="18">
        <f>(2249.0/B65*100)</f>
        <v/>
      </c>
      <c r="D65" s="19" t="n">
        <v>442</v>
      </c>
      <c r="E65" s="18" t="n">
        <v>21.56573874</v>
      </c>
      <c r="F65" s="20" t="n">
        <v>2.1788208</v>
      </c>
      <c r="G65" s="18" t="n">
        <v>15.96023297</v>
      </c>
      <c r="H65" s="20" t="n">
        <v>1.59820434</v>
      </c>
      <c r="I65" s="18" t="n">
        <v>5.08691607</v>
      </c>
      <c r="J65" s="20" t="n">
        <v>1.01998911</v>
      </c>
      <c r="K65" s="18" t="s">
        <v>431</v>
      </c>
      <c r="L65" s="20" t="s">
        <v>431</v>
      </c>
      <c r="M65" s="18" t="n">
        <v>10.41507376</v>
      </c>
      <c r="N65" s="20" t="n">
        <v>1.44113939</v>
      </c>
      <c r="O65" s="18" t="n">
        <v>0</v>
      </c>
      <c r="P65" s="20" t="n">
        <v>0</v>
      </c>
      <c r="Q65" s="18" t="n">
        <v>0</v>
      </c>
      <c r="R65" s="20" t="n">
        <v>0</v>
      </c>
      <c r="S65" s="18" t="n">
        <v>46.97203845</v>
      </c>
      <c r="T65" s="20" t="n">
        <v>2.40050608</v>
      </c>
    </row>
    <row r="66" spans="1:20">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2410</v>
      </c>
      <c r="C69" s="18">
        <f>(2017.0/B69*100)</f>
        <v/>
      </c>
      <c r="D69" s="19" t="n">
        <v>393</v>
      </c>
      <c r="E69" s="18" t="n">
        <v>51.87150379</v>
      </c>
      <c r="F69" s="20" t="n">
        <v>2.64399295</v>
      </c>
      <c r="G69" s="18" t="n">
        <v>18.47014273</v>
      </c>
      <c r="H69" s="20" t="n">
        <v>2.09390292</v>
      </c>
      <c r="I69" s="18" t="n">
        <v>21.18274606</v>
      </c>
      <c r="J69" s="20" t="n">
        <v>2.22559727</v>
      </c>
      <c r="K69" s="18" t="s">
        <v>431</v>
      </c>
      <c r="L69" s="20" t="s">
        <v>431</v>
      </c>
      <c r="M69" s="18" t="n">
        <v>0</v>
      </c>
      <c r="N69" s="20" t="n">
        <v>0</v>
      </c>
      <c r="O69" s="18" t="n">
        <v>0</v>
      </c>
      <c r="P69" s="20" t="n">
        <v>0</v>
      </c>
      <c r="Q69" s="18" t="n">
        <v>0</v>
      </c>
      <c r="R69" s="20" t="n">
        <v>0</v>
      </c>
      <c r="S69" s="18" t="n">
        <v>8.475607419999999</v>
      </c>
      <c r="T69" s="20" t="n">
        <v>1.38009278</v>
      </c>
    </row>
    <row r="70" spans="1:20">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2239</v>
      </c>
      <c r="C74" s="18">
        <f>(1863.0/B74*100)</f>
        <v/>
      </c>
      <c r="D74" s="19" t="n">
        <v>376</v>
      </c>
      <c r="E74" s="18" t="n">
        <v>30.39072827</v>
      </c>
      <c r="F74" s="20" t="n">
        <v>2.63862574</v>
      </c>
      <c r="G74" s="18" t="n">
        <v>16.64608501</v>
      </c>
      <c r="H74" s="20" t="n">
        <v>2.128813</v>
      </c>
      <c r="I74" s="18" t="n">
        <v>7.15624958</v>
      </c>
      <c r="J74" s="20" t="n">
        <v>1.29522243</v>
      </c>
      <c r="K74" s="18" t="s">
        <v>431</v>
      </c>
      <c r="L74" s="20" t="s">
        <v>431</v>
      </c>
      <c r="M74" s="18" t="n">
        <v>12.2525814</v>
      </c>
      <c r="N74" s="20" t="n">
        <v>2.02702408</v>
      </c>
      <c r="O74" s="18" t="n">
        <v>0</v>
      </c>
      <c r="P74" s="20" t="n">
        <v>0</v>
      </c>
      <c r="Q74" s="18" t="n">
        <v>0</v>
      </c>
      <c r="R74" s="20" t="n">
        <v>0</v>
      </c>
      <c r="S74" s="18" t="n">
        <v>33.55435575</v>
      </c>
      <c r="T74" s="20" t="n">
        <v>2.90681976</v>
      </c>
    </row>
    <row r="75" spans="1:20">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2786</v>
      </c>
      <c r="C78" s="18">
        <f>(2314.0/B78*100)</f>
        <v/>
      </c>
      <c r="D78" s="19" t="n">
        <v>472</v>
      </c>
      <c r="E78" s="18" t="n">
        <v>48.1951452</v>
      </c>
      <c r="F78" s="20" t="n">
        <v>2.47677135</v>
      </c>
      <c r="G78" s="18" t="n">
        <v>30.9638468</v>
      </c>
      <c r="H78" s="20" t="n">
        <v>2.58504677</v>
      </c>
      <c r="I78" s="18" t="n">
        <v>17.09261064</v>
      </c>
      <c r="J78" s="20" t="n">
        <v>2.10760345</v>
      </c>
      <c r="K78" s="18" t="s">
        <v>431</v>
      </c>
      <c r="L78" s="20" t="s">
        <v>431</v>
      </c>
      <c r="M78" s="18" t="n">
        <v>0.22482911</v>
      </c>
      <c r="N78" s="20" t="n">
        <v>0.22793405</v>
      </c>
      <c r="O78" s="18" t="n">
        <v>0</v>
      </c>
      <c r="P78" s="20" t="n">
        <v>0</v>
      </c>
      <c r="Q78" s="18" t="n">
        <v>0</v>
      </c>
      <c r="R78" s="20" t="n">
        <v>0</v>
      </c>
      <c r="S78" s="18" t="n">
        <v>3.52356825</v>
      </c>
      <c r="T78" s="20" t="n">
        <v>1.12820178</v>
      </c>
    </row>
    <row customHeight="1" ht="25" r="79" spans="1:20">
      <c r="A79" s="15" t="s">
        <v>503</v>
      </c>
      <c r="B79" s="17" t="n">
        <v>787</v>
      </c>
      <c r="C79" s="18">
        <f>(664.0/B79*100)</f>
        <v/>
      </c>
      <c r="D79" s="19" t="n">
        <v>123</v>
      </c>
      <c r="E79" s="18" t="n">
        <v>45.6223186</v>
      </c>
      <c r="F79" s="20" t="n">
        <v>5.40609997</v>
      </c>
      <c r="G79" s="18" t="n">
        <v>19.91320607</v>
      </c>
      <c r="H79" s="20" t="n">
        <v>3.67088943</v>
      </c>
      <c r="I79" s="18" t="n">
        <v>5.09255815</v>
      </c>
      <c r="J79" s="20" t="n">
        <v>1.96458744</v>
      </c>
      <c r="K79" s="18" t="s">
        <v>431</v>
      </c>
      <c r="L79" s="20" t="s">
        <v>431</v>
      </c>
      <c r="M79" s="18" t="n">
        <v>8.14545309</v>
      </c>
      <c r="N79" s="20" t="n">
        <v>3.47744554</v>
      </c>
      <c r="O79" s="18" t="n">
        <v>0</v>
      </c>
      <c r="P79" s="20" t="n">
        <v>0</v>
      </c>
      <c r="Q79" s="18" t="n">
        <v>0</v>
      </c>
      <c r="R79" s="20" t="n">
        <v>0</v>
      </c>
      <c r="S79" s="18" t="n">
        <v>21.22646409</v>
      </c>
      <c r="T79" s="20" t="n">
        <v>4.10951362</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648</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(2119.0/B44*100)</f>
        <v/>
      </c>
      <c r="D44" s="19" t="n">
        <v>405</v>
      </c>
      <c r="E44" s="18" t="n">
        <v>19.94494709</v>
      </c>
      <c r="F44" s="20" t="n">
        <v>2.39706694</v>
      </c>
      <c r="G44" s="18" t="n">
        <v>29.20259324</v>
      </c>
      <c r="H44" s="20" t="n">
        <v>2.8083402</v>
      </c>
      <c r="I44" s="18" t="n">
        <v>4.267424</v>
      </c>
      <c r="J44" s="20" t="n">
        <v>0.89019011</v>
      </c>
      <c r="K44" s="18" t="s">
        <v>431</v>
      </c>
      <c r="L44" s="20" t="s">
        <v>431</v>
      </c>
      <c r="M44" s="18" t="n">
        <v>7.45883385</v>
      </c>
      <c r="N44" s="20" t="n">
        <v>1.32523133</v>
      </c>
      <c r="O44" s="18" t="n">
        <v>0</v>
      </c>
      <c r="P44" s="20" t="n">
        <v>0</v>
      </c>
      <c r="Q44" s="18" t="n">
        <v>0</v>
      </c>
      <c r="R44" s="20" t="n">
        <v>0</v>
      </c>
      <c r="S44" s="18" t="n">
        <v>39.12620183</v>
      </c>
      <c r="T44" s="20" t="n">
        <v>3.29072872</v>
      </c>
    </row>
    <row r="45" spans="1:20">
      <c r="A45" s="15" t="s">
        <v>469</v>
      </c>
      <c r="B45" s="17" t="n">
        <v>2849</v>
      </c>
      <c r="C45" s="18">
        <f>(2360.0/B45*100)</f>
        <v/>
      </c>
      <c r="D45" s="19" t="n">
        <v>489</v>
      </c>
      <c r="E45" s="18" t="n">
        <v>36.33222826</v>
      </c>
      <c r="F45" s="20" t="n">
        <v>2.1862565</v>
      </c>
      <c r="G45" s="18" t="n">
        <v>7.49583966</v>
      </c>
      <c r="H45" s="20" t="n">
        <v>1.32843693</v>
      </c>
      <c r="I45" s="18" t="n">
        <v>3.22137159</v>
      </c>
      <c r="J45" s="20" t="n">
        <v>0.77312163</v>
      </c>
      <c r="K45" s="18" t="s">
        <v>431</v>
      </c>
      <c r="L45" s="20" t="s">
        <v>431</v>
      </c>
      <c r="M45" s="18" t="n">
        <v>10.42270502</v>
      </c>
      <c r="N45" s="20" t="n">
        <v>1.40673586</v>
      </c>
      <c r="O45" s="18" t="n">
        <v>0.3124156</v>
      </c>
      <c r="P45" s="20" t="n">
        <v>0.22112168</v>
      </c>
      <c r="Q45" s="18" t="n">
        <v>0</v>
      </c>
      <c r="R45" s="20" t="n">
        <v>0</v>
      </c>
      <c r="S45" s="18" t="n">
        <v>42.21543988</v>
      </c>
      <c r="T45" s="20" t="n">
        <v>2.58744454</v>
      </c>
    </row>
    <row r="46" spans="1:20">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3018</v>
      </c>
      <c r="C49" s="18">
        <f>(2522.0/B49*100)</f>
        <v/>
      </c>
      <c r="D49" s="19" t="n">
        <v>496</v>
      </c>
      <c r="E49" s="18" t="n">
        <v>36.28510534</v>
      </c>
      <c r="F49" s="20" t="n">
        <v>2.57841629</v>
      </c>
      <c r="G49" s="18" t="n">
        <v>15.44705916</v>
      </c>
      <c r="H49" s="20" t="n">
        <v>1.65548301</v>
      </c>
      <c r="I49" s="18" t="n">
        <v>15.51873464</v>
      </c>
      <c r="J49" s="20" t="n">
        <v>1.84514994</v>
      </c>
      <c r="K49" s="18" t="s">
        <v>431</v>
      </c>
      <c r="L49" s="20" t="s">
        <v>431</v>
      </c>
      <c r="M49" s="18" t="n">
        <v>2.84584543</v>
      </c>
      <c r="N49" s="20" t="n">
        <v>0.79844994</v>
      </c>
      <c r="O49" s="18" t="n">
        <v>0.40260496</v>
      </c>
      <c r="P49" s="20" t="n">
        <v>0.30585815</v>
      </c>
      <c r="Q49" s="18" t="n">
        <v>0</v>
      </c>
      <c r="R49" s="20" t="n">
        <v>0</v>
      </c>
      <c r="S49" s="18" t="n">
        <v>29.50065047</v>
      </c>
      <c r="T49" s="20" t="n">
        <v>2.65194589</v>
      </c>
    </row>
    <row r="50" spans="1:20">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2759</v>
      </c>
      <c r="C55" s="18">
        <f>(2284.0/B55*100)</f>
        <v/>
      </c>
      <c r="D55" s="19" t="n">
        <v>475</v>
      </c>
      <c r="E55" s="18" t="n">
        <v>25.83056315</v>
      </c>
      <c r="F55" s="20" t="n">
        <v>2.03178635</v>
      </c>
      <c r="G55" s="18" t="n">
        <v>5.15936678</v>
      </c>
      <c r="H55" s="20" t="n">
        <v>0.91667541</v>
      </c>
      <c r="I55" s="18" t="n">
        <v>8.5041859</v>
      </c>
      <c r="J55" s="20" t="n">
        <v>1.46116684</v>
      </c>
      <c r="K55" s="18" t="s">
        <v>431</v>
      </c>
      <c r="L55" s="20" t="s">
        <v>431</v>
      </c>
      <c r="M55" s="18" t="n">
        <v>3.76207796</v>
      </c>
      <c r="N55" s="20" t="n">
        <v>0.88595163</v>
      </c>
      <c r="O55" s="18" t="n">
        <v>0.50166131</v>
      </c>
      <c r="P55" s="20" t="n">
        <v>0.3645507</v>
      </c>
      <c r="Q55" s="18" t="n">
        <v>0</v>
      </c>
      <c r="R55" s="20" t="n">
        <v>0</v>
      </c>
      <c r="S55" s="18" t="n">
        <v>56.2421449</v>
      </c>
      <c r="T55" s="20" t="n">
        <v>2.37380721</v>
      </c>
    </row>
    <row r="56" spans="1:20">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3170</v>
      </c>
      <c r="C57" s="18">
        <f>(2635.0/B57*100)</f>
        <v/>
      </c>
      <c r="D57" s="19" t="n">
        <v>535</v>
      </c>
      <c r="E57" s="18" t="n">
        <v>61.11829919</v>
      </c>
      <c r="F57" s="20" t="n">
        <v>2.7366727</v>
      </c>
      <c r="G57" s="18" t="n">
        <v>17.12503226</v>
      </c>
      <c r="H57" s="20" t="n">
        <v>1.76750269</v>
      </c>
      <c r="I57" s="18" t="n">
        <v>6.90983071</v>
      </c>
      <c r="J57" s="20" t="n">
        <v>1.10984413</v>
      </c>
      <c r="K57" s="18" t="s">
        <v>431</v>
      </c>
      <c r="L57" s="20" t="s">
        <v>431</v>
      </c>
      <c r="M57" s="18" t="n">
        <v>3.81648967</v>
      </c>
      <c r="N57" s="20" t="n">
        <v>0.8000844499999999</v>
      </c>
      <c r="O57" s="18" t="n">
        <v>0</v>
      </c>
      <c r="P57" s="20" t="n">
        <v>0</v>
      </c>
      <c r="Q57" s="18" t="n">
        <v>0</v>
      </c>
      <c r="R57" s="20" t="n">
        <v>0</v>
      </c>
      <c r="S57" s="18" t="n">
        <v>11.03034817</v>
      </c>
      <c r="T57" s="20" t="n">
        <v>1.77739543</v>
      </c>
    </row>
    <row r="58" spans="1:20">
      <c r="A58" s="15" t="s">
        <v>482</v>
      </c>
      <c r="B58" s="17" t="n">
        <v>3530</v>
      </c>
      <c r="C58" s="18">
        <f>(2937.0/B58*100)</f>
        <v/>
      </c>
      <c r="D58" s="19" t="n">
        <v>593</v>
      </c>
      <c r="E58" s="18" t="n">
        <v>19.42827599</v>
      </c>
      <c r="F58" s="20" t="n">
        <v>1.68682152</v>
      </c>
      <c r="G58" s="18" t="n">
        <v>26.86508195</v>
      </c>
      <c r="H58" s="20" t="n">
        <v>2.30356703</v>
      </c>
      <c r="I58" s="18" t="n">
        <v>15.6523418</v>
      </c>
      <c r="J58" s="20" t="n">
        <v>1.28579255</v>
      </c>
      <c r="K58" s="18" t="s">
        <v>431</v>
      </c>
      <c r="L58" s="20" t="s">
        <v>431</v>
      </c>
      <c r="M58" s="18" t="n">
        <v>4.70778808</v>
      </c>
      <c r="N58" s="20" t="n">
        <v>1.07135582</v>
      </c>
      <c r="O58" s="18" t="n">
        <v>0</v>
      </c>
      <c r="P58" s="20" t="n">
        <v>0</v>
      </c>
      <c r="Q58" s="18" t="n">
        <v>0</v>
      </c>
      <c r="R58" s="20" t="n">
        <v>0</v>
      </c>
      <c r="S58" s="18" t="n">
        <v>33.34651218</v>
      </c>
      <c r="T58" s="20" t="n">
        <v>2.56073462</v>
      </c>
    </row>
    <row r="59" spans="1:20">
      <c r="A59" s="15" t="s">
        <v>483</v>
      </c>
      <c r="B59" s="17" t="n">
        <v>2548</v>
      </c>
      <c r="C59" s="18">
        <f>(2129.0/B59*100)</f>
        <v/>
      </c>
      <c r="D59" s="19" t="n">
        <v>419</v>
      </c>
      <c r="E59" s="18" t="n">
        <v>60.80991539</v>
      </c>
      <c r="F59" s="20" t="n">
        <v>3.15793755</v>
      </c>
      <c r="G59" s="18" t="n">
        <v>4.58042575</v>
      </c>
      <c r="H59" s="20" t="n">
        <v>1.33282438</v>
      </c>
      <c r="I59" s="18" t="n">
        <v>1.76740075</v>
      </c>
      <c r="J59" s="20" t="n">
        <v>0.78136402</v>
      </c>
      <c r="K59" s="18" t="s">
        <v>431</v>
      </c>
      <c r="L59" s="20" t="s">
        <v>431</v>
      </c>
      <c r="M59" s="18" t="n">
        <v>0.94984207</v>
      </c>
      <c r="N59" s="20" t="n">
        <v>0.59027925</v>
      </c>
      <c r="O59" s="18" t="n">
        <v>0</v>
      </c>
      <c r="P59" s="20" t="n">
        <v>0</v>
      </c>
      <c r="Q59" s="18" t="n">
        <v>0</v>
      </c>
      <c r="R59" s="20" t="n">
        <v>0</v>
      </c>
      <c r="S59" s="18" t="n">
        <v>31.89241604</v>
      </c>
      <c r="T59" s="20" t="n">
        <v>3.02936697</v>
      </c>
    </row>
    <row r="60" spans="1:20">
      <c r="A60" s="15" t="s">
        <v>484</v>
      </c>
      <c r="B60" s="17" t="n">
        <v>2095</v>
      </c>
      <c r="C60" s="18">
        <f>(1736.0/B60*100)</f>
        <v/>
      </c>
      <c r="D60" s="19" t="n">
        <v>359</v>
      </c>
      <c r="E60" s="18" t="n">
        <v>26.1341146</v>
      </c>
      <c r="F60" s="20" t="n">
        <v>2.6134943</v>
      </c>
      <c r="G60" s="18" t="n">
        <v>6.1092986</v>
      </c>
      <c r="H60" s="20" t="n">
        <v>1.19356358</v>
      </c>
      <c r="I60" s="18" t="n">
        <v>4.67846759</v>
      </c>
      <c r="J60" s="20" t="n">
        <v>1.20274525</v>
      </c>
      <c r="K60" s="18" t="s">
        <v>431</v>
      </c>
      <c r="L60" s="20" t="s">
        <v>431</v>
      </c>
      <c r="M60" s="18" t="n">
        <v>9.766055830000001</v>
      </c>
      <c r="N60" s="20" t="n">
        <v>1.86857829</v>
      </c>
      <c r="O60" s="18" t="n">
        <v>0</v>
      </c>
      <c r="P60" s="20" t="n">
        <v>0</v>
      </c>
      <c r="Q60" s="18" t="n">
        <v>0</v>
      </c>
      <c r="R60" s="20" t="n">
        <v>0</v>
      </c>
      <c r="S60" s="18" t="n">
        <v>53.31206338</v>
      </c>
      <c r="T60" s="20" t="n">
        <v>3.25518196</v>
      </c>
    </row>
    <row r="61" spans="1:20">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2813</v>
      </c>
      <c r="C63" s="18">
        <f>(2344.0/B63*100)</f>
        <v/>
      </c>
      <c r="D63" s="19" t="n">
        <v>469</v>
      </c>
      <c r="E63" s="18" t="n">
        <v>18.43564059</v>
      </c>
      <c r="F63" s="20" t="n">
        <v>2.16057874</v>
      </c>
      <c r="G63" s="18" t="n">
        <v>5.0000507</v>
      </c>
      <c r="H63" s="20" t="n">
        <v>1.20495742</v>
      </c>
      <c r="I63" s="18" t="n">
        <v>3.12092199</v>
      </c>
      <c r="J63" s="20" t="n">
        <v>0.81113559</v>
      </c>
      <c r="K63" s="18" t="s">
        <v>431</v>
      </c>
      <c r="L63" s="20" t="s">
        <v>431</v>
      </c>
      <c r="M63" s="18" t="n">
        <v>5.86981186</v>
      </c>
      <c r="N63" s="20" t="n">
        <v>0.95196578</v>
      </c>
      <c r="O63" s="18" t="n">
        <v>0</v>
      </c>
      <c r="P63" s="20" t="n">
        <v>0</v>
      </c>
      <c r="Q63" s="18" t="n">
        <v>0</v>
      </c>
      <c r="R63" s="20" t="n">
        <v>0</v>
      </c>
      <c r="S63" s="18" t="n">
        <v>67.57357485999999</v>
      </c>
      <c r="T63" s="20" t="n">
        <v>2.56227771</v>
      </c>
    </row>
    <row r="64" spans="1:20">
      <c r="A64" s="15" t="s">
        <v>488</v>
      </c>
      <c r="B64" s="17" t="n">
        <v>1844</v>
      </c>
      <c r="C64" s="18">
        <f>(1545.0/B64*100)</f>
        <v/>
      </c>
      <c r="D64" s="19" t="n">
        <v>299</v>
      </c>
      <c r="E64" s="18" t="n">
        <v>50.9460384</v>
      </c>
      <c r="F64" s="20" t="n">
        <v>3.15211469</v>
      </c>
      <c r="G64" s="18" t="n">
        <v>6.13377194</v>
      </c>
      <c r="H64" s="20" t="n">
        <v>1.26641102</v>
      </c>
      <c r="I64" s="18" t="n">
        <v>16.72028363</v>
      </c>
      <c r="J64" s="20" t="n">
        <v>2.26240756</v>
      </c>
      <c r="K64" s="18" t="s">
        <v>431</v>
      </c>
      <c r="L64" s="20" t="s">
        <v>431</v>
      </c>
      <c r="M64" s="18" t="n">
        <v>6.22878212</v>
      </c>
      <c r="N64" s="20" t="n">
        <v>1.60323754</v>
      </c>
      <c r="O64" s="18" t="n">
        <v>0</v>
      </c>
      <c r="P64" s="20" t="n">
        <v>0</v>
      </c>
      <c r="Q64" s="18" t="n">
        <v>0</v>
      </c>
      <c r="R64" s="20" t="n">
        <v>0</v>
      </c>
      <c r="S64" s="18" t="n">
        <v>19.97112391</v>
      </c>
      <c r="T64" s="20" t="n">
        <v>2.50440072</v>
      </c>
    </row>
    <row r="65" spans="1:20">
      <c r="A65" s="15" t="s">
        <v>489</v>
      </c>
      <c r="B65" s="17" t="n">
        <v>2691</v>
      </c>
      <c r="C65" s="18">
        <f>(2249.0/B65*100)</f>
        <v/>
      </c>
      <c r="D65" s="19" t="n">
        <v>442</v>
      </c>
      <c r="E65" s="18" t="n">
        <v>24.35108588</v>
      </c>
      <c r="F65" s="20" t="n">
        <v>2.41123397</v>
      </c>
      <c r="G65" s="18" t="n">
        <v>13.70083114</v>
      </c>
      <c r="H65" s="20" t="n">
        <v>1.56656559</v>
      </c>
      <c r="I65" s="18" t="n">
        <v>6.56549333</v>
      </c>
      <c r="J65" s="20" t="n">
        <v>1.27358106</v>
      </c>
      <c r="K65" s="18" t="s">
        <v>431</v>
      </c>
      <c r="L65" s="20" t="s">
        <v>431</v>
      </c>
      <c r="M65" s="18" t="n">
        <v>10.41507376</v>
      </c>
      <c r="N65" s="20" t="n">
        <v>1.44113939</v>
      </c>
      <c r="O65" s="18" t="n">
        <v>0</v>
      </c>
      <c r="P65" s="20" t="n">
        <v>0</v>
      </c>
      <c r="Q65" s="18" t="n">
        <v>0</v>
      </c>
      <c r="R65" s="20" t="n">
        <v>0</v>
      </c>
      <c r="S65" s="18" t="n">
        <v>44.96751589</v>
      </c>
      <c r="T65" s="20" t="n">
        <v>2.37848002</v>
      </c>
    </row>
    <row r="66" spans="1:20">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2410</v>
      </c>
      <c r="C69" s="18">
        <f>(2017.0/B69*100)</f>
        <v/>
      </c>
      <c r="D69" s="19" t="n">
        <v>393</v>
      </c>
      <c r="E69" s="18" t="n">
        <v>59.32190939</v>
      </c>
      <c r="F69" s="20" t="n">
        <v>2.76804626</v>
      </c>
      <c r="G69" s="18" t="n">
        <v>14.61016682</v>
      </c>
      <c r="H69" s="20" t="n">
        <v>2.02767991</v>
      </c>
      <c r="I69" s="18" t="n">
        <v>16.37477325</v>
      </c>
      <c r="J69" s="20" t="n">
        <v>2.05803268</v>
      </c>
      <c r="K69" s="18" t="s">
        <v>431</v>
      </c>
      <c r="L69" s="20" t="s">
        <v>431</v>
      </c>
      <c r="M69" s="18" t="n">
        <v>0</v>
      </c>
      <c r="N69" s="20" t="n">
        <v>0</v>
      </c>
      <c r="O69" s="18" t="n">
        <v>0</v>
      </c>
      <c r="P69" s="20" t="n">
        <v>0</v>
      </c>
      <c r="Q69" s="18" t="n">
        <v>0</v>
      </c>
      <c r="R69" s="20" t="n">
        <v>0</v>
      </c>
      <c r="S69" s="18" t="n">
        <v>9.69315055</v>
      </c>
      <c r="T69" s="20" t="n">
        <v>1.93581925</v>
      </c>
    </row>
    <row r="70" spans="1:20">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2239</v>
      </c>
      <c r="C74" s="18">
        <f>(1863.0/B74*100)</f>
        <v/>
      </c>
      <c r="D74" s="19" t="n">
        <v>376</v>
      </c>
      <c r="E74" s="18" t="n">
        <v>33.35386602</v>
      </c>
      <c r="F74" s="20" t="n">
        <v>2.74151743</v>
      </c>
      <c r="G74" s="18" t="n">
        <v>8.263145379999999</v>
      </c>
      <c r="H74" s="20" t="n">
        <v>1.57766245</v>
      </c>
      <c r="I74" s="18" t="n">
        <v>8.698816320000001</v>
      </c>
      <c r="J74" s="20" t="n">
        <v>1.77410151</v>
      </c>
      <c r="K74" s="18" t="s">
        <v>431</v>
      </c>
      <c r="L74" s="20" t="s">
        <v>431</v>
      </c>
      <c r="M74" s="18" t="n">
        <v>12.2525814</v>
      </c>
      <c r="N74" s="20" t="n">
        <v>2.02702408</v>
      </c>
      <c r="O74" s="18" t="n">
        <v>0</v>
      </c>
      <c r="P74" s="20" t="n">
        <v>0</v>
      </c>
      <c r="Q74" s="18" t="n">
        <v>0</v>
      </c>
      <c r="R74" s="20" t="n">
        <v>0</v>
      </c>
      <c r="S74" s="18" t="n">
        <v>37.43159088</v>
      </c>
      <c r="T74" s="20" t="n">
        <v>3.1722876</v>
      </c>
    </row>
    <row r="75" spans="1:20">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2786</v>
      </c>
      <c r="C78" s="18">
        <f>(2314.0/B78*100)</f>
        <v/>
      </c>
      <c r="D78" s="19" t="n">
        <v>472</v>
      </c>
      <c r="E78" s="18" t="n">
        <v>0</v>
      </c>
      <c r="F78" s="20" t="n">
        <v>0</v>
      </c>
      <c r="G78" s="18" t="n">
        <v>0</v>
      </c>
      <c r="H78" s="20" t="n">
        <v>0</v>
      </c>
      <c r="I78" s="18" t="n">
        <v>0</v>
      </c>
      <c r="J78" s="20" t="n">
        <v>0</v>
      </c>
      <c r="K78" s="18" t="s">
        <v>431</v>
      </c>
      <c r="L78" s="20" t="s">
        <v>431</v>
      </c>
      <c r="M78" s="18" t="n">
        <v>0</v>
      </c>
      <c r="N78" s="20" t="n">
        <v>0</v>
      </c>
      <c r="O78" s="18" t="n">
        <v>100</v>
      </c>
      <c r="P78" s="20" t="n">
        <v>0</v>
      </c>
      <c r="Q78" s="18" t="n">
        <v>0</v>
      </c>
      <c r="R78" s="20" t="n">
        <v>0</v>
      </c>
      <c r="S78" s="18" t="n">
        <v>0</v>
      </c>
      <c r="T78" s="20" t="n">
        <v>0</v>
      </c>
    </row>
    <row customHeight="1" ht="25" r="79" spans="1:20">
      <c r="A79" s="15" t="s">
        <v>503</v>
      </c>
      <c r="B79" s="17" t="n">
        <v>787</v>
      </c>
      <c r="C79" s="18">
        <f>(664.0/B79*100)</f>
        <v/>
      </c>
      <c r="D79" s="19" t="n">
        <v>123</v>
      </c>
      <c r="E79" s="18" t="n">
        <v>30.52450548</v>
      </c>
      <c r="F79" s="20" t="n">
        <v>4.48956261</v>
      </c>
      <c r="G79" s="18" t="n">
        <v>10.00242954</v>
      </c>
      <c r="H79" s="20" t="n">
        <v>2.45761491</v>
      </c>
      <c r="I79" s="18" t="n">
        <v>38.88362603</v>
      </c>
      <c r="J79" s="20" t="n">
        <v>4.25303496</v>
      </c>
      <c r="K79" s="18" t="s">
        <v>431</v>
      </c>
      <c r="L79" s="20" t="s">
        <v>431</v>
      </c>
      <c r="M79" s="18" t="n">
        <v>8.89325273</v>
      </c>
      <c r="N79" s="20" t="n">
        <v>3.49124804</v>
      </c>
      <c r="O79" s="18" t="n">
        <v>0</v>
      </c>
      <c r="P79" s="20" t="n">
        <v>0</v>
      </c>
      <c r="Q79" s="18" t="n">
        <v>0</v>
      </c>
      <c r="R79" s="20" t="n">
        <v>0</v>
      </c>
      <c r="S79" s="18" t="n">
        <v>11.69618623</v>
      </c>
      <c r="T79" s="20" t="n">
        <v>2.46644497</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(2119.0/B44*100)</f>
        <v/>
      </c>
      <c r="D44" s="19" t="n">
        <v>405</v>
      </c>
      <c r="E44" s="18" t="n">
        <v>27.81528543</v>
      </c>
      <c r="F44" s="20" t="n">
        <v>2.3344505</v>
      </c>
      <c r="G44" s="18" t="n">
        <v>58.51728174</v>
      </c>
      <c r="H44" s="20" t="n">
        <v>3.38910471</v>
      </c>
      <c r="I44" s="18" t="s">
        <v>431</v>
      </c>
      <c r="J44" s="20" t="s">
        <v>431</v>
      </c>
      <c r="K44" s="18" t="n">
        <v>7.8794672</v>
      </c>
      <c r="L44" s="20" t="n">
        <v>1.37457598</v>
      </c>
      <c r="M44" s="18" t="n">
        <v>0</v>
      </c>
      <c r="N44" s="20" t="n">
        <v>0</v>
      </c>
      <c r="O44" s="18" t="n">
        <v>1.9252676</v>
      </c>
      <c r="P44" s="20" t="n">
        <v>0.7312796499999999</v>
      </c>
      <c r="Q44" s="18" t="n">
        <v>3.86269804</v>
      </c>
      <c r="R44" s="20" t="n">
        <v>1.29854064</v>
      </c>
    </row>
    <row r="45" spans="1:18">
      <c r="A45" s="15" t="s">
        <v>469</v>
      </c>
      <c r="B45" s="17" t="n">
        <v>2849</v>
      </c>
      <c r="C45" s="18">
        <f>(2360.0/B45*100)</f>
        <v/>
      </c>
      <c r="D45" s="19" t="n">
        <v>489</v>
      </c>
      <c r="E45" s="18" t="n">
        <v>44.11288798</v>
      </c>
      <c r="F45" s="20" t="n">
        <v>2.41369288</v>
      </c>
      <c r="G45" s="18" t="n">
        <v>36.44414959</v>
      </c>
      <c r="H45" s="20" t="n">
        <v>2.2875127</v>
      </c>
      <c r="I45" s="18" t="s">
        <v>431</v>
      </c>
      <c r="J45" s="20" t="s">
        <v>431</v>
      </c>
      <c r="K45" s="18" t="n">
        <v>11.86573852</v>
      </c>
      <c r="L45" s="20" t="n">
        <v>1.43459514</v>
      </c>
      <c r="M45" s="18" t="n">
        <v>0</v>
      </c>
      <c r="N45" s="20" t="n">
        <v>0</v>
      </c>
      <c r="O45" s="18" t="n">
        <v>3.6878933</v>
      </c>
      <c r="P45" s="20" t="n">
        <v>0.9926620900000001</v>
      </c>
      <c r="Q45" s="18" t="n">
        <v>3.88933062</v>
      </c>
      <c r="R45" s="20" t="n">
        <v>0.97505276</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(2522.0/B49*100)</f>
        <v/>
      </c>
      <c r="D49" s="19" t="n">
        <v>496</v>
      </c>
      <c r="E49" s="18" t="n">
        <v>25.4438864</v>
      </c>
      <c r="F49" s="20" t="n">
        <v>2.52437915</v>
      </c>
      <c r="G49" s="18" t="n">
        <v>67.41698817</v>
      </c>
      <c r="H49" s="20" t="n">
        <v>2.71138766</v>
      </c>
      <c r="I49" s="18" t="s">
        <v>431</v>
      </c>
      <c r="J49" s="20" t="s">
        <v>431</v>
      </c>
      <c r="K49" s="18" t="n">
        <v>3.37122588</v>
      </c>
      <c r="L49" s="20" t="n">
        <v>0.85837907</v>
      </c>
      <c r="M49" s="18" t="n">
        <v>0</v>
      </c>
      <c r="N49" s="20" t="n">
        <v>0</v>
      </c>
      <c r="O49" s="18" t="n">
        <v>1.77683183</v>
      </c>
      <c r="P49" s="20" t="n">
        <v>0.79949193</v>
      </c>
      <c r="Q49" s="18" t="n">
        <v>1.99106772</v>
      </c>
      <c r="R49" s="20" t="n">
        <v>0.62494763</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(2284.0/B55*100)</f>
        <v/>
      </c>
      <c r="D55" s="19" t="n">
        <v>475</v>
      </c>
      <c r="E55" s="18" t="n">
        <v>39.28426143</v>
      </c>
      <c r="F55" s="20" t="n">
        <v>2.13657729</v>
      </c>
      <c r="G55" s="18" t="n">
        <v>51.89200912</v>
      </c>
      <c r="H55" s="20" t="n">
        <v>2.17919012</v>
      </c>
      <c r="I55" s="18" t="s">
        <v>431</v>
      </c>
      <c r="J55" s="20" t="s">
        <v>431</v>
      </c>
      <c r="K55" s="18" t="n">
        <v>5.35341938</v>
      </c>
      <c r="L55" s="20" t="n">
        <v>0.93458732</v>
      </c>
      <c r="M55" s="18" t="n">
        <v>0</v>
      </c>
      <c r="N55" s="20" t="n">
        <v>0</v>
      </c>
      <c r="O55" s="18" t="n">
        <v>0.77086296</v>
      </c>
      <c r="P55" s="20" t="n">
        <v>0.38777329</v>
      </c>
      <c r="Q55" s="18" t="n">
        <v>2.69944711</v>
      </c>
      <c r="R55" s="20" t="n">
        <v>0.72754275</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34.13005886</v>
      </c>
      <c r="F57" s="20" t="n">
        <v>2.35032871</v>
      </c>
      <c r="G57" s="18" t="n">
        <v>60.08442718</v>
      </c>
      <c r="H57" s="20" t="n">
        <v>2.6577525</v>
      </c>
      <c r="I57" s="18" t="s">
        <v>431</v>
      </c>
      <c r="J57" s="20" t="s">
        <v>431</v>
      </c>
      <c r="K57" s="18" t="n">
        <v>3.98602825</v>
      </c>
      <c r="L57" s="20" t="n">
        <v>0.81355422</v>
      </c>
      <c r="M57" s="18" t="n">
        <v>0</v>
      </c>
      <c r="N57" s="20" t="n">
        <v>0</v>
      </c>
      <c r="O57" s="18" t="n">
        <v>0</v>
      </c>
      <c r="P57" s="20" t="n">
        <v>0</v>
      </c>
      <c r="Q57" s="18" t="n">
        <v>1.79948571</v>
      </c>
      <c r="R57" s="20" t="n">
        <v>0.62001635</v>
      </c>
    </row>
    <row r="58" spans="1:18">
      <c r="A58" s="15" t="s">
        <v>482</v>
      </c>
      <c r="B58" s="17" t="n">
        <v>3530</v>
      </c>
      <c r="C58" s="18">
        <f>(2937.0/B58*100)</f>
        <v/>
      </c>
      <c r="D58" s="19" t="n">
        <v>593</v>
      </c>
      <c r="E58" s="18" t="n">
        <v>48.79006906</v>
      </c>
      <c r="F58" s="20" t="n">
        <v>2.88827223</v>
      </c>
      <c r="G58" s="18" t="n">
        <v>40.05086983</v>
      </c>
      <c r="H58" s="20" t="n">
        <v>2.56430228</v>
      </c>
      <c r="I58" s="18" t="s">
        <v>431</v>
      </c>
      <c r="J58" s="20" t="s">
        <v>431</v>
      </c>
      <c r="K58" s="18" t="n">
        <v>5.99027716</v>
      </c>
      <c r="L58" s="20" t="n">
        <v>1.09127627</v>
      </c>
      <c r="M58" s="18" t="n">
        <v>0</v>
      </c>
      <c r="N58" s="20" t="n">
        <v>0</v>
      </c>
      <c r="O58" s="18" t="n">
        <v>0.40944635</v>
      </c>
      <c r="P58" s="20" t="n">
        <v>0.26943584</v>
      </c>
      <c r="Q58" s="18" t="n">
        <v>4.7593376</v>
      </c>
      <c r="R58" s="20" t="n">
        <v>1.11853281</v>
      </c>
    </row>
    <row r="59" spans="1:18">
      <c r="A59" s="15" t="s">
        <v>483</v>
      </c>
      <c r="B59" s="17" t="n">
        <v>2548</v>
      </c>
      <c r="C59" s="18">
        <f>(2129.0/B59*100)</f>
        <v/>
      </c>
      <c r="D59" s="19" t="n">
        <v>419</v>
      </c>
      <c r="E59" s="18" t="n">
        <v>49.76537536</v>
      </c>
      <c r="F59" s="20" t="n">
        <v>3.01535533</v>
      </c>
      <c r="G59" s="18" t="n">
        <v>44.34103262</v>
      </c>
      <c r="H59" s="20" t="n">
        <v>3.23678163</v>
      </c>
      <c r="I59" s="18" t="s">
        <v>431</v>
      </c>
      <c r="J59" s="20" t="s">
        <v>431</v>
      </c>
      <c r="K59" s="18" t="n">
        <v>2.53330852</v>
      </c>
      <c r="L59" s="20" t="n">
        <v>0.95591498</v>
      </c>
      <c r="M59" s="18" t="n">
        <v>1.16083464</v>
      </c>
      <c r="N59" s="20" t="n">
        <v>0.74819221</v>
      </c>
      <c r="O59" s="18" t="n">
        <v>0.4300515</v>
      </c>
      <c r="P59" s="20" t="n">
        <v>0.33320502</v>
      </c>
      <c r="Q59" s="18" t="n">
        <v>1.76939735</v>
      </c>
      <c r="R59" s="20" t="n">
        <v>0.91037114</v>
      </c>
    </row>
    <row r="60" spans="1:18">
      <c r="A60" s="15" t="s">
        <v>484</v>
      </c>
      <c r="B60" s="17" t="n">
        <v>2095</v>
      </c>
      <c r="C60" s="18">
        <f>(1736.0/B60*100)</f>
        <v/>
      </c>
      <c r="D60" s="19" t="n">
        <v>359</v>
      </c>
      <c r="E60" s="18" t="n">
        <v>43.84852979</v>
      </c>
      <c r="F60" s="20" t="n">
        <v>2.84602866</v>
      </c>
      <c r="G60" s="18" t="n">
        <v>34.5457494</v>
      </c>
      <c r="H60" s="20" t="n">
        <v>3.11954436</v>
      </c>
      <c r="I60" s="18" t="s">
        <v>431</v>
      </c>
      <c r="J60" s="20" t="s">
        <v>431</v>
      </c>
      <c r="K60" s="18" t="n">
        <v>12.16218841</v>
      </c>
      <c r="L60" s="20" t="n">
        <v>2.01371512</v>
      </c>
      <c r="M60" s="18" t="n">
        <v>0</v>
      </c>
      <c r="N60" s="20" t="n">
        <v>0</v>
      </c>
      <c r="O60" s="18" t="n">
        <v>3.71119703</v>
      </c>
      <c r="P60" s="20" t="n">
        <v>1.65575735</v>
      </c>
      <c r="Q60" s="18" t="n">
        <v>5.73233536</v>
      </c>
      <c r="R60" s="20" t="n">
        <v>1.12640465</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(2344.0/B63*100)</f>
        <v/>
      </c>
      <c r="D63" s="19" t="n">
        <v>469</v>
      </c>
      <c r="E63" s="18" t="n">
        <v>40.61337769</v>
      </c>
      <c r="F63" s="20" t="n">
        <v>2.48158176</v>
      </c>
      <c r="G63" s="18" t="n">
        <v>45.41251919</v>
      </c>
      <c r="H63" s="20" t="n">
        <v>2.13515176</v>
      </c>
      <c r="I63" s="18" t="s">
        <v>431</v>
      </c>
      <c r="J63" s="20" t="s">
        <v>431</v>
      </c>
      <c r="K63" s="18" t="n">
        <v>7.23358792</v>
      </c>
      <c r="L63" s="20" t="n">
        <v>1.10235179</v>
      </c>
      <c r="M63" s="18" t="n">
        <v>0</v>
      </c>
      <c r="N63" s="20" t="n">
        <v>0</v>
      </c>
      <c r="O63" s="18" t="n">
        <v>2.69725845</v>
      </c>
      <c r="P63" s="20" t="n">
        <v>0.89385237</v>
      </c>
      <c r="Q63" s="18" t="n">
        <v>4.04325675</v>
      </c>
      <c r="R63" s="20" t="n">
        <v>0.94811426</v>
      </c>
    </row>
    <row r="64" spans="1:18">
      <c r="A64" s="15" t="s">
        <v>488</v>
      </c>
      <c r="B64" s="17" t="n">
        <v>1844</v>
      </c>
      <c r="C64" s="18">
        <f>(1545.0/B64*100)</f>
        <v/>
      </c>
      <c r="D64" s="19" t="n">
        <v>299</v>
      </c>
      <c r="E64" s="18" t="n">
        <v>25.48139686</v>
      </c>
      <c r="F64" s="20" t="n">
        <v>2.44055473</v>
      </c>
      <c r="G64" s="18" t="n">
        <v>65.29241964000001</v>
      </c>
      <c r="H64" s="20" t="n">
        <v>2.89508684</v>
      </c>
      <c r="I64" s="18" t="s">
        <v>431</v>
      </c>
      <c r="J64" s="20" t="s">
        <v>431</v>
      </c>
      <c r="K64" s="18" t="n">
        <v>7.18618302</v>
      </c>
      <c r="L64" s="20" t="n">
        <v>1.63031643</v>
      </c>
      <c r="M64" s="18" t="n">
        <v>0</v>
      </c>
      <c r="N64" s="20" t="n">
        <v>0</v>
      </c>
      <c r="O64" s="18" t="n">
        <v>0.32849632</v>
      </c>
      <c r="P64" s="20" t="n">
        <v>0.32702736</v>
      </c>
      <c r="Q64" s="18" t="n">
        <v>1.71150416</v>
      </c>
      <c r="R64" s="20" t="n">
        <v>0.65139372</v>
      </c>
    </row>
    <row r="65" spans="1:18">
      <c r="A65" s="15" t="s">
        <v>489</v>
      </c>
      <c r="B65" s="17" t="n">
        <v>2691</v>
      </c>
      <c r="C65" s="18">
        <f>(2249.0/B65*100)</f>
        <v/>
      </c>
      <c r="D65" s="19" t="n">
        <v>442</v>
      </c>
      <c r="E65" s="18" t="n">
        <v>26.1965686</v>
      </c>
      <c r="F65" s="20" t="n">
        <v>2.27186463</v>
      </c>
      <c r="G65" s="18" t="n">
        <v>55.17547772</v>
      </c>
      <c r="H65" s="20" t="n">
        <v>2.68742004</v>
      </c>
      <c r="I65" s="18" t="s">
        <v>431</v>
      </c>
      <c r="J65" s="20" t="s">
        <v>431</v>
      </c>
      <c r="K65" s="18" t="n">
        <v>12.01670899</v>
      </c>
      <c r="L65" s="20" t="n">
        <v>1.56461294</v>
      </c>
      <c r="M65" s="18" t="n">
        <v>2.22353313</v>
      </c>
      <c r="N65" s="20" t="n">
        <v>0.76496917</v>
      </c>
      <c r="O65" s="18" t="n">
        <v>0</v>
      </c>
      <c r="P65" s="20" t="n">
        <v>0</v>
      </c>
      <c r="Q65" s="18" t="n">
        <v>4.38771156</v>
      </c>
      <c r="R65" s="20" t="n">
        <v>0.99893072</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(2017.0/B69*100)</f>
        <v/>
      </c>
      <c r="D69" s="19" t="n">
        <v>393</v>
      </c>
      <c r="E69" s="18" t="n">
        <v>36.14282268</v>
      </c>
      <c r="F69" s="20" t="n">
        <v>2.72339141</v>
      </c>
      <c r="G69" s="18" t="n">
        <v>62.88147422</v>
      </c>
      <c r="H69" s="20" t="n">
        <v>2.91304347</v>
      </c>
      <c r="I69" s="18" t="s">
        <v>431</v>
      </c>
      <c r="J69" s="20" t="s">
        <v>431</v>
      </c>
      <c r="K69" s="18" t="n">
        <v>0.23127462</v>
      </c>
      <c r="L69" s="20" t="n">
        <v>0.23053538</v>
      </c>
      <c r="M69" s="18" t="n">
        <v>0</v>
      </c>
      <c r="N69" s="20" t="n">
        <v>0</v>
      </c>
      <c r="O69" s="18" t="n">
        <v>0</v>
      </c>
      <c r="P69" s="20" t="n">
        <v>0</v>
      </c>
      <c r="Q69" s="18" t="n">
        <v>0.7444284799999999</v>
      </c>
      <c r="R69" s="20" t="n">
        <v>0.5724701800000001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(1863.0/B74*100)</f>
        <v/>
      </c>
      <c r="D74" s="19" t="n">
        <v>376</v>
      </c>
      <c r="E74" s="18" t="n">
        <v>21.54989749</v>
      </c>
      <c r="F74" s="20" t="n">
        <v>2.56714584</v>
      </c>
      <c r="G74" s="18" t="n">
        <v>60.73373386</v>
      </c>
      <c r="H74" s="20" t="n">
        <v>2.82579664</v>
      </c>
      <c r="I74" s="18" t="s">
        <v>431</v>
      </c>
      <c r="J74" s="20" t="s">
        <v>431</v>
      </c>
      <c r="K74" s="18" t="n">
        <v>14.23468034</v>
      </c>
      <c r="L74" s="20" t="n">
        <v>2.08262157</v>
      </c>
      <c r="M74" s="18" t="n">
        <v>0</v>
      </c>
      <c r="N74" s="20" t="n">
        <v>0</v>
      </c>
      <c r="O74" s="18" t="n">
        <v>0</v>
      </c>
      <c r="P74" s="20" t="n">
        <v>0</v>
      </c>
      <c r="Q74" s="18" t="n">
        <v>3.48168831</v>
      </c>
      <c r="R74" s="20" t="n">
        <v>1.10848436</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(2314.0/B78*100)</f>
        <v/>
      </c>
      <c r="D78" s="19" t="n">
        <v>472</v>
      </c>
      <c r="E78" s="18" t="n">
        <v>14.42679642</v>
      </c>
      <c r="F78" s="20" t="n">
        <v>1.7970616</v>
      </c>
      <c r="G78" s="18" t="n">
        <v>84.71316991</v>
      </c>
      <c r="H78" s="20" t="n">
        <v>1.87949968</v>
      </c>
      <c r="I78" s="18" t="s">
        <v>431</v>
      </c>
      <c r="J78" s="20" t="s">
        <v>431</v>
      </c>
      <c r="K78" s="18" t="n">
        <v>0.22482911</v>
      </c>
      <c r="L78" s="20" t="n">
        <v>0.22793405</v>
      </c>
      <c r="M78" s="18" t="n">
        <v>0</v>
      </c>
      <c r="N78" s="20" t="n">
        <v>0</v>
      </c>
      <c r="O78" s="18" t="n">
        <v>0</v>
      </c>
      <c r="P78" s="20" t="n">
        <v>0</v>
      </c>
      <c r="Q78" s="18" t="n">
        <v>0.63520456</v>
      </c>
      <c r="R78" s="20" t="n">
        <v>0.6215644299999999</v>
      </c>
    </row>
    <row customHeight="1" ht="25" r="79" spans="1:18">
      <c r="A79" s="15" t="s">
        <v>503</v>
      </c>
      <c r="B79" s="17" t="n">
        <v>787</v>
      </c>
      <c r="C79" s="18">
        <f>(664.0/B79*100)</f>
        <v/>
      </c>
      <c r="D79" s="19" t="n">
        <v>123</v>
      </c>
      <c r="E79" s="18" t="n">
        <v>9.171403850000001</v>
      </c>
      <c r="F79" s="20" t="n">
        <v>3.10537686</v>
      </c>
      <c r="G79" s="18" t="n">
        <v>79.67793593</v>
      </c>
      <c r="H79" s="20" t="n">
        <v>4.17228424</v>
      </c>
      <c r="I79" s="18" t="s">
        <v>431</v>
      </c>
      <c r="J79" s="20" t="s">
        <v>431</v>
      </c>
      <c r="K79" s="18" t="n">
        <v>9.28378062</v>
      </c>
      <c r="L79" s="20" t="n">
        <v>3.40760913</v>
      </c>
      <c r="M79" s="18" t="n">
        <v>0</v>
      </c>
      <c r="N79" s="20" t="n">
        <v>0</v>
      </c>
      <c r="O79" s="18" t="n">
        <v>1.02089758</v>
      </c>
      <c r="P79" s="20" t="n">
        <v>0.91235718</v>
      </c>
      <c r="Q79" s="18" t="n">
        <v>0.84598202</v>
      </c>
      <c r="R79" s="20" t="n">
        <v>0.81634717</v>
      </c>
    </row>
    <row r="80" spans="1:18">
      <c r="A80" s="15" t="s">
        <v>504</v>
      </c>
      <c r="B80" s="17" t="n">
        <v>3798</v>
      </c>
      <c r="C80" s="18">
        <f>(3169.0/B80*100)</f>
        <v/>
      </c>
      <c r="D80" s="19" t="n">
        <v>629</v>
      </c>
      <c r="E80" s="18" t="n">
        <v>30.96555627</v>
      </c>
      <c r="F80" s="20" t="n">
        <v>2.37010944</v>
      </c>
      <c r="G80" s="18" t="n">
        <v>68.42832970000001</v>
      </c>
      <c r="H80" s="20" t="n">
        <v>2.32171343</v>
      </c>
      <c r="I80" s="18" t="s">
        <v>431</v>
      </c>
      <c r="J80" s="20" t="s">
        <v>431</v>
      </c>
      <c r="K80" s="18" t="n">
        <v>0.00615649</v>
      </c>
      <c r="L80" s="20" t="n">
        <v>0.0061491</v>
      </c>
      <c r="M80" s="18" t="n">
        <v>0</v>
      </c>
      <c r="N80" s="20" t="n">
        <v>0</v>
      </c>
      <c r="O80" s="18" t="n">
        <v>0</v>
      </c>
      <c r="P80" s="20" t="n">
        <v>0</v>
      </c>
      <c r="Q80" s="18" t="n">
        <v>0.59995754</v>
      </c>
      <c r="R80" s="20" t="n">
        <v>0.33457806</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(2119.0/B44*100)</f>
        <v/>
      </c>
      <c r="D44" s="19" t="n">
        <v>405</v>
      </c>
      <c r="E44" s="18" t="n">
        <v>31.4062455</v>
      </c>
      <c r="F44" s="20" t="n">
        <v>2.56438751</v>
      </c>
      <c r="G44" s="18" t="n">
        <v>30.23267745</v>
      </c>
      <c r="H44" s="20" t="n">
        <v>2.83387661</v>
      </c>
      <c r="I44" s="18" t="s">
        <v>431</v>
      </c>
      <c r="J44" s="20" t="s">
        <v>431</v>
      </c>
      <c r="K44" s="18" t="n">
        <v>14.50174564</v>
      </c>
      <c r="L44" s="20" t="n">
        <v>2.16294487</v>
      </c>
      <c r="M44" s="18" t="n">
        <v>0</v>
      </c>
      <c r="N44" s="20" t="n">
        <v>0</v>
      </c>
      <c r="O44" s="18" t="n">
        <v>0</v>
      </c>
      <c r="P44" s="20" t="n">
        <v>0</v>
      </c>
      <c r="Q44" s="18" t="n">
        <v>23.85933141</v>
      </c>
      <c r="R44" s="20" t="n">
        <v>2.54608629</v>
      </c>
    </row>
    <row r="45" spans="1:18">
      <c r="A45" s="15" t="s">
        <v>469</v>
      </c>
      <c r="B45" s="17" t="n">
        <v>2849</v>
      </c>
      <c r="C45" s="18">
        <f>(2360.0/B45*100)</f>
        <v/>
      </c>
      <c r="D45" s="19" t="n">
        <v>489</v>
      </c>
      <c r="E45" s="18" t="n">
        <v>31.32290866</v>
      </c>
      <c r="F45" s="20" t="n">
        <v>2.13197894</v>
      </c>
      <c r="G45" s="18" t="n">
        <v>20.5334614</v>
      </c>
      <c r="H45" s="20" t="n">
        <v>2.15345868</v>
      </c>
      <c r="I45" s="18" t="s">
        <v>431</v>
      </c>
      <c r="J45" s="20" t="s">
        <v>431</v>
      </c>
      <c r="K45" s="18" t="n">
        <v>17.07889347</v>
      </c>
      <c r="L45" s="20" t="n">
        <v>1.43291877</v>
      </c>
      <c r="M45" s="18" t="n">
        <v>0.6173954</v>
      </c>
      <c r="N45" s="20" t="n">
        <v>0.33159013</v>
      </c>
      <c r="O45" s="18" t="n">
        <v>0</v>
      </c>
      <c r="P45" s="20" t="n">
        <v>0</v>
      </c>
      <c r="Q45" s="18" t="n">
        <v>30.44734107</v>
      </c>
      <c r="R45" s="20" t="n">
        <v>2.26221794</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(2522.0/B49*100)</f>
        <v/>
      </c>
      <c r="D49" s="19" t="n">
        <v>496</v>
      </c>
      <c r="E49" s="18" t="n">
        <v>43.2222371</v>
      </c>
      <c r="F49" s="20" t="n">
        <v>2.65395288</v>
      </c>
      <c r="G49" s="18" t="n">
        <v>29.90653892</v>
      </c>
      <c r="H49" s="20" t="n">
        <v>2.33101192</v>
      </c>
      <c r="I49" s="18" t="s">
        <v>431</v>
      </c>
      <c r="J49" s="20" t="s">
        <v>431</v>
      </c>
      <c r="K49" s="18" t="n">
        <v>8.450112000000001</v>
      </c>
      <c r="L49" s="20" t="n">
        <v>1.48735654</v>
      </c>
      <c r="M49" s="18" t="n">
        <v>0.40260496</v>
      </c>
      <c r="N49" s="20" t="n">
        <v>0.30585815</v>
      </c>
      <c r="O49" s="18" t="n">
        <v>0</v>
      </c>
      <c r="P49" s="20" t="n">
        <v>0</v>
      </c>
      <c r="Q49" s="18" t="n">
        <v>18.01850703</v>
      </c>
      <c r="R49" s="20" t="n">
        <v>2.21157684</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(2284.0/B55*100)</f>
        <v/>
      </c>
      <c r="D55" s="19" t="n">
        <v>475</v>
      </c>
      <c r="E55" s="18" t="n">
        <v>30.87704956</v>
      </c>
      <c r="F55" s="20" t="n">
        <v>2.26421859</v>
      </c>
      <c r="G55" s="18" t="n">
        <v>20.30819239</v>
      </c>
      <c r="H55" s="20" t="n">
        <v>2.14156122</v>
      </c>
      <c r="I55" s="18" t="s">
        <v>431</v>
      </c>
      <c r="J55" s="20" t="s">
        <v>431</v>
      </c>
      <c r="K55" s="18" t="n">
        <v>19.85097733</v>
      </c>
      <c r="L55" s="20" t="n">
        <v>2.05004903</v>
      </c>
      <c r="M55" s="18" t="n">
        <v>0</v>
      </c>
      <c r="N55" s="20" t="n">
        <v>0</v>
      </c>
      <c r="O55" s="18" t="n">
        <v>0</v>
      </c>
      <c r="P55" s="20" t="n">
        <v>0</v>
      </c>
      <c r="Q55" s="18" t="n">
        <v>28.96378072</v>
      </c>
      <c r="R55" s="20" t="n">
        <v>1.84437628</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51.78867346</v>
      </c>
      <c r="F57" s="20" t="n">
        <v>2.52730018</v>
      </c>
      <c r="G57" s="18" t="n">
        <v>35.90177281</v>
      </c>
      <c r="H57" s="20" t="n">
        <v>2.34188602</v>
      </c>
      <c r="I57" s="18" t="s">
        <v>431</v>
      </c>
      <c r="J57" s="20" t="s">
        <v>431</v>
      </c>
      <c r="K57" s="18" t="n">
        <v>6.18822037</v>
      </c>
      <c r="L57" s="20" t="n">
        <v>1.05565551</v>
      </c>
      <c r="M57" s="18" t="n">
        <v>0</v>
      </c>
      <c r="N57" s="20" t="n">
        <v>0</v>
      </c>
      <c r="O57" s="18" t="n">
        <v>0</v>
      </c>
      <c r="P57" s="20" t="n">
        <v>0</v>
      </c>
      <c r="Q57" s="18" t="n">
        <v>6.12133337</v>
      </c>
      <c r="R57" s="20" t="n">
        <v>1.23272213</v>
      </c>
    </row>
    <row r="58" spans="1:18">
      <c r="A58" s="15" t="s">
        <v>482</v>
      </c>
      <c r="B58" s="17" t="n">
        <v>3530</v>
      </c>
      <c r="C58" s="18">
        <f>(2937.0/B58*100)</f>
        <v/>
      </c>
      <c r="D58" s="19" t="n">
        <v>593</v>
      </c>
      <c r="E58" s="18" t="n">
        <v>27.23110983</v>
      </c>
      <c r="F58" s="20" t="n">
        <v>2.04237188</v>
      </c>
      <c r="G58" s="18" t="n">
        <v>40.88162066</v>
      </c>
      <c r="H58" s="20" t="n">
        <v>2.25406158</v>
      </c>
      <c r="I58" s="18" t="s">
        <v>431</v>
      </c>
      <c r="J58" s="20" t="s">
        <v>431</v>
      </c>
      <c r="K58" s="18" t="n">
        <v>14.42532384</v>
      </c>
      <c r="L58" s="20" t="n">
        <v>1.80604429</v>
      </c>
      <c r="M58" s="18" t="n">
        <v>0</v>
      </c>
      <c r="N58" s="20" t="n">
        <v>0</v>
      </c>
      <c r="O58" s="18" t="n">
        <v>0</v>
      </c>
      <c r="P58" s="20" t="n">
        <v>0</v>
      </c>
      <c r="Q58" s="18" t="n">
        <v>17.46194567</v>
      </c>
      <c r="R58" s="20" t="n">
        <v>1.55482305</v>
      </c>
    </row>
    <row r="59" spans="1:18">
      <c r="A59" s="15" t="s">
        <v>483</v>
      </c>
      <c r="B59" s="17" t="n">
        <v>2548</v>
      </c>
      <c r="C59" s="18">
        <f>(2129.0/B59*100)</f>
        <v/>
      </c>
      <c r="D59" s="19" t="n">
        <v>419</v>
      </c>
      <c r="E59" s="18" t="n">
        <v>65.16089341</v>
      </c>
      <c r="F59" s="20" t="n">
        <v>2.74072766</v>
      </c>
      <c r="G59" s="18" t="n">
        <v>8.068178469999999</v>
      </c>
      <c r="H59" s="20" t="n">
        <v>1.82828116</v>
      </c>
      <c r="I59" s="18" t="s">
        <v>431</v>
      </c>
      <c r="J59" s="20" t="s">
        <v>431</v>
      </c>
      <c r="K59" s="18" t="n">
        <v>7.86959517</v>
      </c>
      <c r="L59" s="20" t="n">
        <v>1.56624229</v>
      </c>
      <c r="M59" s="18" t="n">
        <v>0</v>
      </c>
      <c r="N59" s="20" t="n">
        <v>0</v>
      </c>
      <c r="O59" s="18" t="n">
        <v>0</v>
      </c>
      <c r="P59" s="20" t="n">
        <v>0</v>
      </c>
      <c r="Q59" s="18" t="n">
        <v>18.90133294</v>
      </c>
      <c r="R59" s="20" t="n">
        <v>2.26385797</v>
      </c>
    </row>
    <row r="60" spans="1:18">
      <c r="A60" s="15" t="s">
        <v>484</v>
      </c>
      <c r="B60" s="17" t="n">
        <v>2095</v>
      </c>
      <c r="C60" s="18">
        <f>(1736.0/B60*100)</f>
        <v/>
      </c>
      <c r="D60" s="19" t="n">
        <v>359</v>
      </c>
      <c r="E60" s="18" t="n">
        <v>38.23120031</v>
      </c>
      <c r="F60" s="20" t="n">
        <v>2.91803908</v>
      </c>
      <c r="G60" s="18" t="n">
        <v>17.28043526</v>
      </c>
      <c r="H60" s="20" t="n">
        <v>2.0326967</v>
      </c>
      <c r="I60" s="18" t="s">
        <v>431</v>
      </c>
      <c r="J60" s="20" t="s">
        <v>431</v>
      </c>
      <c r="K60" s="18" t="n">
        <v>21.40999632</v>
      </c>
      <c r="L60" s="20" t="n">
        <v>3.11197998</v>
      </c>
      <c r="M60" s="18" t="n">
        <v>0</v>
      </c>
      <c r="N60" s="20" t="n">
        <v>0</v>
      </c>
      <c r="O60" s="18" t="n">
        <v>0</v>
      </c>
      <c r="P60" s="20" t="n">
        <v>0</v>
      </c>
      <c r="Q60" s="18" t="n">
        <v>23.07836811</v>
      </c>
      <c r="R60" s="20" t="n">
        <v>2.4787193</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(2344.0/B63*100)</f>
        <v/>
      </c>
      <c r="D63" s="19" t="n">
        <v>469</v>
      </c>
      <c r="E63" s="18" t="n">
        <v>22.17848297</v>
      </c>
      <c r="F63" s="20" t="n">
        <v>2.38891638</v>
      </c>
      <c r="G63" s="18" t="n">
        <v>12.1398716</v>
      </c>
      <c r="H63" s="20" t="n">
        <v>1.67911839</v>
      </c>
      <c r="I63" s="18" t="s">
        <v>431</v>
      </c>
      <c r="J63" s="20" t="s">
        <v>431</v>
      </c>
      <c r="K63" s="18" t="n">
        <v>25.92191568</v>
      </c>
      <c r="L63" s="20" t="n">
        <v>2.13890969</v>
      </c>
      <c r="M63" s="18" t="n">
        <v>0</v>
      </c>
      <c r="N63" s="20" t="n">
        <v>0</v>
      </c>
      <c r="O63" s="18" t="n">
        <v>0</v>
      </c>
      <c r="P63" s="20" t="n">
        <v>0</v>
      </c>
      <c r="Q63" s="18" t="n">
        <v>39.75972975</v>
      </c>
      <c r="R63" s="20" t="n">
        <v>2.67801031</v>
      </c>
    </row>
    <row r="64" spans="1:18">
      <c r="A64" s="15" t="s">
        <v>488</v>
      </c>
      <c r="B64" s="17" t="n">
        <v>1844</v>
      </c>
      <c r="C64" s="18">
        <f>(1545.0/B64*100)</f>
        <v/>
      </c>
      <c r="D64" s="19" t="n">
        <v>299</v>
      </c>
      <c r="E64" s="18" t="n">
        <v>32.4070403</v>
      </c>
      <c r="F64" s="20" t="n">
        <v>2.43930309</v>
      </c>
      <c r="G64" s="18" t="n">
        <v>32.11052679</v>
      </c>
      <c r="H64" s="20" t="n">
        <v>3.05615068</v>
      </c>
      <c r="I64" s="18" t="s">
        <v>431</v>
      </c>
      <c r="J64" s="20" t="s">
        <v>431</v>
      </c>
      <c r="K64" s="18" t="n">
        <v>14.65974079</v>
      </c>
      <c r="L64" s="20" t="n">
        <v>2.14783612</v>
      </c>
      <c r="M64" s="18" t="n">
        <v>0</v>
      </c>
      <c r="N64" s="20" t="n">
        <v>0</v>
      </c>
      <c r="O64" s="18" t="n">
        <v>0</v>
      </c>
      <c r="P64" s="20" t="n">
        <v>0</v>
      </c>
      <c r="Q64" s="18" t="n">
        <v>20.82269212</v>
      </c>
      <c r="R64" s="20" t="n">
        <v>2.36810312</v>
      </c>
    </row>
    <row r="65" spans="1:18">
      <c r="A65" s="15" t="s">
        <v>489</v>
      </c>
      <c r="B65" s="17" t="n">
        <v>2691</v>
      </c>
      <c r="C65" s="18">
        <f>(2249.0/B65*100)</f>
        <v/>
      </c>
      <c r="D65" s="19" t="n">
        <v>442</v>
      </c>
      <c r="E65" s="18" t="n">
        <v>27.84730128</v>
      </c>
      <c r="F65" s="20" t="n">
        <v>2.50096976</v>
      </c>
      <c r="G65" s="18" t="n">
        <v>23.40079101</v>
      </c>
      <c r="H65" s="20" t="n">
        <v>2.2147879</v>
      </c>
      <c r="I65" s="18" t="s">
        <v>431</v>
      </c>
      <c r="J65" s="20" t="s">
        <v>431</v>
      </c>
      <c r="K65" s="18" t="n">
        <v>21.04000545</v>
      </c>
      <c r="L65" s="20" t="n">
        <v>1.76418831</v>
      </c>
      <c r="M65" s="18" t="n">
        <v>0</v>
      </c>
      <c r="N65" s="20" t="n">
        <v>0</v>
      </c>
      <c r="O65" s="18" t="n">
        <v>0</v>
      </c>
      <c r="P65" s="20" t="n">
        <v>0</v>
      </c>
      <c r="Q65" s="18" t="n">
        <v>27.71190226</v>
      </c>
      <c r="R65" s="20" t="n">
        <v>2.23292761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(2017.0/B69*100)</f>
        <v/>
      </c>
      <c r="D69" s="19" t="n">
        <v>393</v>
      </c>
      <c r="E69" s="18" t="n">
        <v>55.67678805</v>
      </c>
      <c r="F69" s="20" t="n">
        <v>3.05544851</v>
      </c>
      <c r="G69" s="18" t="n">
        <v>36.49421405</v>
      </c>
      <c r="H69" s="20" t="n">
        <v>3.05106683</v>
      </c>
      <c r="I69" s="18" t="s">
        <v>431</v>
      </c>
      <c r="J69" s="20" t="s">
        <v>431</v>
      </c>
      <c r="K69" s="18" t="n">
        <v>0.9240076699999999</v>
      </c>
      <c r="L69" s="20" t="n">
        <v>0.56396996</v>
      </c>
      <c r="M69" s="18" t="n">
        <v>0</v>
      </c>
      <c r="N69" s="20" t="n">
        <v>0</v>
      </c>
      <c r="O69" s="18" t="n">
        <v>0</v>
      </c>
      <c r="P69" s="20" t="n">
        <v>0</v>
      </c>
      <c r="Q69" s="18" t="n">
        <v>6.90499023</v>
      </c>
      <c r="R69" s="20" t="n">
        <v>1.34324872</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(1863.0/B74*100)</f>
        <v/>
      </c>
      <c r="D74" s="19" t="n">
        <v>376</v>
      </c>
      <c r="E74" s="18" t="n">
        <v>27.95216828</v>
      </c>
      <c r="F74" s="20" t="n">
        <v>2.74815509</v>
      </c>
      <c r="G74" s="18" t="n">
        <v>25.2699947</v>
      </c>
      <c r="H74" s="20" t="n">
        <v>2.10263492</v>
      </c>
      <c r="I74" s="18" t="s">
        <v>431</v>
      </c>
      <c r="J74" s="20" t="s">
        <v>431</v>
      </c>
      <c r="K74" s="18" t="n">
        <v>22.39345308</v>
      </c>
      <c r="L74" s="20" t="n">
        <v>2.36784545</v>
      </c>
      <c r="M74" s="18" t="n">
        <v>0</v>
      </c>
      <c r="N74" s="20" t="n">
        <v>0</v>
      </c>
      <c r="O74" s="18" t="n">
        <v>0</v>
      </c>
      <c r="P74" s="20" t="n">
        <v>0</v>
      </c>
      <c r="Q74" s="18" t="n">
        <v>24.38438394</v>
      </c>
      <c r="R74" s="20" t="n">
        <v>2.81352906</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(2314.0/B78*100)</f>
        <v/>
      </c>
      <c r="D78" s="19" t="n">
        <v>472</v>
      </c>
      <c r="E78" s="18" t="n">
        <v>47.86190086</v>
      </c>
      <c r="F78" s="20" t="n">
        <v>2.24161617</v>
      </c>
      <c r="G78" s="18" t="n">
        <v>48.46618275</v>
      </c>
      <c r="H78" s="20" t="n">
        <v>2.18704244</v>
      </c>
      <c r="I78" s="18" t="s">
        <v>431</v>
      </c>
      <c r="J78" s="20" t="s">
        <v>431</v>
      </c>
      <c r="K78" s="18" t="n">
        <v>1.48491573</v>
      </c>
      <c r="L78" s="20" t="n">
        <v>0.46975303</v>
      </c>
      <c r="M78" s="18" t="n">
        <v>0</v>
      </c>
      <c r="N78" s="20" t="n">
        <v>0</v>
      </c>
      <c r="O78" s="18" t="n">
        <v>0</v>
      </c>
      <c r="P78" s="20" t="n">
        <v>0</v>
      </c>
      <c r="Q78" s="18" t="n">
        <v>2.18700067</v>
      </c>
      <c r="R78" s="20" t="n">
        <v>0.81309216</v>
      </c>
    </row>
    <row customHeight="1" ht="25" r="79" spans="1:18">
      <c r="A79" s="15" t="s">
        <v>503</v>
      </c>
      <c r="B79" s="17" t="n">
        <v>787</v>
      </c>
      <c r="C79" s="18">
        <f>(664.0/B79*100)</f>
        <v/>
      </c>
      <c r="D79" s="19" t="n">
        <v>123</v>
      </c>
      <c r="E79" s="18" t="n">
        <v>33.47239334</v>
      </c>
      <c r="F79" s="20" t="n">
        <v>4.97038237</v>
      </c>
      <c r="G79" s="18" t="n">
        <v>45.54270524</v>
      </c>
      <c r="H79" s="20" t="n">
        <v>4.09809397</v>
      </c>
      <c r="I79" s="18" t="s">
        <v>431</v>
      </c>
      <c r="J79" s="20" t="s">
        <v>431</v>
      </c>
      <c r="K79" s="18" t="n">
        <v>11.44946792</v>
      </c>
      <c r="L79" s="20" t="n">
        <v>3.36339163</v>
      </c>
      <c r="M79" s="18" t="n">
        <v>0</v>
      </c>
      <c r="N79" s="20" t="n">
        <v>0</v>
      </c>
      <c r="O79" s="18" t="n">
        <v>0</v>
      </c>
      <c r="P79" s="20" t="n">
        <v>0</v>
      </c>
      <c r="Q79" s="18" t="n">
        <v>9.5354335</v>
      </c>
      <c r="R79" s="20" t="n">
        <v>3.34007612</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651</v>
      </c>
    </row>
    <row customHeight="1" ht="30" r="4" spans="1:20">
      <c r="A4" s="6" t="n"/>
      <c r="B4" s="7" t="s">
        <v>415</v>
      </c>
      <c r="C4" s="7" t="s">
        <v>416</v>
      </c>
      <c r="D4" s="8" t="s">
        <v>415</v>
      </c>
      <c r="E4" s="9" t="s">
        <v>417</v>
      </c>
      <c r="F4" s="10" t="n"/>
      <c r="G4" s="9" t="s">
        <v>548</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(2119.0/B44*100)</f>
        <v/>
      </c>
      <c r="D44" s="19" t="n">
        <v>405</v>
      </c>
      <c r="E44" s="18" t="n">
        <v>31.79964571</v>
      </c>
      <c r="F44" s="20" t="n">
        <v>2.92195169</v>
      </c>
      <c r="G44" s="18" t="n">
        <v>12.03898927</v>
      </c>
      <c r="H44" s="20" t="n">
        <v>2.01799541</v>
      </c>
      <c r="I44" s="18" t="n">
        <v>23.70183422</v>
      </c>
      <c r="J44" s="20" t="n">
        <v>2.71554143</v>
      </c>
      <c r="K44" s="18" t="s">
        <v>431</v>
      </c>
      <c r="L44" s="20" t="s">
        <v>431</v>
      </c>
      <c r="M44" s="18" t="n">
        <v>15.21372915</v>
      </c>
      <c r="N44" s="20" t="n">
        <v>2.2225274</v>
      </c>
      <c r="O44" s="18" t="n">
        <v>0</v>
      </c>
      <c r="P44" s="20" t="n">
        <v>0</v>
      </c>
      <c r="Q44" s="18" t="n">
        <v>0</v>
      </c>
      <c r="R44" s="20" t="n">
        <v>0</v>
      </c>
      <c r="S44" s="18" t="n">
        <v>17.24580165</v>
      </c>
      <c r="T44" s="20" t="n">
        <v>2.22747812</v>
      </c>
    </row>
    <row r="45" spans="1:20">
      <c r="A45" s="15" t="s">
        <v>469</v>
      </c>
      <c r="B45" s="17" t="n">
        <v>2849</v>
      </c>
      <c r="C45" s="18">
        <f>(2360.0/B45*100)</f>
        <v/>
      </c>
      <c r="D45" s="19" t="n">
        <v>489</v>
      </c>
      <c r="E45" s="18" t="n">
        <v>50.77754284</v>
      </c>
      <c r="F45" s="20" t="n">
        <v>2.31437716</v>
      </c>
      <c r="G45" s="18" t="n">
        <v>5.4752254</v>
      </c>
      <c r="H45" s="20" t="n">
        <v>1.01746665</v>
      </c>
      <c r="I45" s="18" t="n">
        <v>9.011745339999999</v>
      </c>
      <c r="J45" s="20" t="n">
        <v>1.39305005</v>
      </c>
      <c r="K45" s="18" t="s">
        <v>431</v>
      </c>
      <c r="L45" s="20" t="s">
        <v>431</v>
      </c>
      <c r="M45" s="18" t="n">
        <v>17.28928785</v>
      </c>
      <c r="N45" s="20" t="n">
        <v>1.43077565</v>
      </c>
      <c r="O45" s="18" t="n">
        <v>0</v>
      </c>
      <c r="P45" s="20" t="n">
        <v>0</v>
      </c>
      <c r="Q45" s="18" t="n">
        <v>0</v>
      </c>
      <c r="R45" s="20" t="n">
        <v>0</v>
      </c>
      <c r="S45" s="18" t="n">
        <v>17.44619857</v>
      </c>
      <c r="T45" s="20" t="n">
        <v>1.66416545</v>
      </c>
    </row>
    <row r="46" spans="1:20">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3018</v>
      </c>
      <c r="C49" s="18">
        <f>(2522.0/B49*100)</f>
        <v/>
      </c>
      <c r="D49" s="19" t="n">
        <v>496</v>
      </c>
      <c r="E49" s="18" t="n">
        <v>27.46649063</v>
      </c>
      <c r="F49" s="20" t="n">
        <v>2.27539795</v>
      </c>
      <c r="G49" s="18" t="n">
        <v>8.252305509999999</v>
      </c>
      <c r="H49" s="20" t="n">
        <v>1.20203474</v>
      </c>
      <c r="I49" s="18" t="n">
        <v>42.9037927</v>
      </c>
      <c r="J49" s="20" t="n">
        <v>2.54713912</v>
      </c>
      <c r="K49" s="18" t="s">
        <v>431</v>
      </c>
      <c r="L49" s="20" t="s">
        <v>431</v>
      </c>
      <c r="M49" s="18" t="n">
        <v>9.285178480000001</v>
      </c>
      <c r="N49" s="20" t="n">
        <v>1.6576774</v>
      </c>
      <c r="O49" s="18" t="n">
        <v>0.74859015</v>
      </c>
      <c r="P49" s="20" t="n">
        <v>0.46575027</v>
      </c>
      <c r="Q49" s="18" t="n">
        <v>0</v>
      </c>
      <c r="R49" s="20" t="n">
        <v>0</v>
      </c>
      <c r="S49" s="18" t="n">
        <v>11.34364252</v>
      </c>
      <c r="T49" s="20" t="n">
        <v>1.52852805</v>
      </c>
    </row>
    <row r="50" spans="1:20">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2759</v>
      </c>
      <c r="C55" s="18">
        <f>(2284.0/B55*100)</f>
        <v/>
      </c>
      <c r="D55" s="19" t="n">
        <v>475</v>
      </c>
      <c r="E55" s="18" t="n">
        <v>34.07273486</v>
      </c>
      <c r="F55" s="20" t="n">
        <v>2.09742735</v>
      </c>
      <c r="G55" s="18" t="n">
        <v>6.95133597</v>
      </c>
      <c r="H55" s="20" t="n">
        <v>0.92688288</v>
      </c>
      <c r="I55" s="18" t="n">
        <v>15.80642623</v>
      </c>
      <c r="J55" s="20" t="n">
        <v>2.04510876</v>
      </c>
      <c r="K55" s="18" t="s">
        <v>431</v>
      </c>
      <c r="L55" s="20" t="s">
        <v>431</v>
      </c>
      <c r="M55" s="18" t="n">
        <v>21.33326109</v>
      </c>
      <c r="N55" s="20" t="n">
        <v>2.00283994</v>
      </c>
      <c r="O55" s="18" t="n">
        <v>0</v>
      </c>
      <c r="P55" s="20" t="n">
        <v>0</v>
      </c>
      <c r="Q55" s="18" t="n">
        <v>0</v>
      </c>
      <c r="R55" s="20" t="n">
        <v>0</v>
      </c>
      <c r="S55" s="18" t="n">
        <v>21.83624186</v>
      </c>
      <c r="T55" s="20" t="n">
        <v>1.65960392</v>
      </c>
    </row>
    <row r="56" spans="1:20">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3170</v>
      </c>
      <c r="C57" s="18">
        <f>(2635.0/B57*100)</f>
        <v/>
      </c>
      <c r="D57" s="19" t="n">
        <v>535</v>
      </c>
      <c r="E57" s="18" t="n">
        <v>45.59283214</v>
      </c>
      <c r="F57" s="20" t="n">
        <v>2.15935965</v>
      </c>
      <c r="G57" s="18" t="n">
        <v>21.02878938</v>
      </c>
      <c r="H57" s="20" t="n">
        <v>1.91314468</v>
      </c>
      <c r="I57" s="18" t="n">
        <v>22.73979524</v>
      </c>
      <c r="J57" s="20" t="n">
        <v>1.88309446</v>
      </c>
      <c r="K57" s="18" t="s">
        <v>431</v>
      </c>
      <c r="L57" s="20" t="s">
        <v>431</v>
      </c>
      <c r="M57" s="18" t="n">
        <v>6.41892703</v>
      </c>
      <c r="N57" s="20" t="n">
        <v>1.08243659</v>
      </c>
      <c r="O57" s="18" t="n">
        <v>0</v>
      </c>
      <c r="P57" s="20" t="n">
        <v>0</v>
      </c>
      <c r="Q57" s="18" t="n">
        <v>0</v>
      </c>
      <c r="R57" s="20" t="n">
        <v>0</v>
      </c>
      <c r="S57" s="18" t="n">
        <v>4.21965621</v>
      </c>
      <c r="T57" s="20" t="n">
        <v>1.04335942</v>
      </c>
    </row>
    <row r="58" spans="1:20">
      <c r="A58" s="15" t="s">
        <v>482</v>
      </c>
      <c r="B58" s="17" t="n">
        <v>3530</v>
      </c>
      <c r="C58" s="18">
        <f>(2937.0/B58*100)</f>
        <v/>
      </c>
      <c r="D58" s="19" t="n">
        <v>593</v>
      </c>
      <c r="E58" s="18" t="n">
        <v>44.49488277</v>
      </c>
      <c r="F58" s="20" t="n">
        <v>2.36687214</v>
      </c>
      <c r="G58" s="18" t="n">
        <v>2.34104521</v>
      </c>
      <c r="H58" s="20" t="n">
        <v>0.49945217</v>
      </c>
      <c r="I58" s="18" t="n">
        <v>24.51197744</v>
      </c>
      <c r="J58" s="20" t="n">
        <v>1.70994055</v>
      </c>
      <c r="K58" s="18" t="s">
        <v>431</v>
      </c>
      <c r="L58" s="20" t="s">
        <v>431</v>
      </c>
      <c r="M58" s="18" t="n">
        <v>15.24879295</v>
      </c>
      <c r="N58" s="20" t="n">
        <v>1.73035958</v>
      </c>
      <c r="O58" s="18" t="n">
        <v>0</v>
      </c>
      <c r="P58" s="20" t="n">
        <v>0</v>
      </c>
      <c r="Q58" s="18" t="n">
        <v>0</v>
      </c>
      <c r="R58" s="20" t="n">
        <v>0</v>
      </c>
      <c r="S58" s="18" t="n">
        <v>13.40330162</v>
      </c>
      <c r="T58" s="20" t="n">
        <v>1.65024056</v>
      </c>
    </row>
    <row r="59" spans="1:20">
      <c r="A59" s="15" t="s">
        <v>483</v>
      </c>
      <c r="B59" s="17" t="n">
        <v>2548</v>
      </c>
      <c r="C59" s="18">
        <f>(2129.0/B59*100)</f>
        <v/>
      </c>
      <c r="D59" s="19" t="n">
        <v>419</v>
      </c>
      <c r="E59" s="18" t="n">
        <v>56.56634228</v>
      </c>
      <c r="F59" s="20" t="n">
        <v>2.757231</v>
      </c>
      <c r="G59" s="18" t="n">
        <v>9.6229303</v>
      </c>
      <c r="H59" s="20" t="n">
        <v>1.52190746</v>
      </c>
      <c r="I59" s="18" t="n">
        <v>12.56543502</v>
      </c>
      <c r="J59" s="20" t="n">
        <v>2.09460699</v>
      </c>
      <c r="K59" s="18" t="s">
        <v>431</v>
      </c>
      <c r="L59" s="20" t="s">
        <v>431</v>
      </c>
      <c r="M59" s="18" t="n">
        <v>8.778185690000001</v>
      </c>
      <c r="N59" s="20" t="n">
        <v>1.64855144</v>
      </c>
      <c r="O59" s="18" t="n">
        <v>0</v>
      </c>
      <c r="P59" s="20" t="n">
        <v>0</v>
      </c>
      <c r="Q59" s="18" t="n">
        <v>0</v>
      </c>
      <c r="R59" s="20" t="n">
        <v>0</v>
      </c>
      <c r="S59" s="18" t="n">
        <v>12.4671067</v>
      </c>
      <c r="T59" s="20" t="n">
        <v>1.93574162</v>
      </c>
    </row>
    <row r="60" spans="1:20">
      <c r="A60" s="15" t="s">
        <v>484</v>
      </c>
      <c r="B60" s="17" t="n">
        <v>2095</v>
      </c>
      <c r="C60" s="18">
        <f>(1736.0/B60*100)</f>
        <v/>
      </c>
      <c r="D60" s="19" t="n">
        <v>359</v>
      </c>
      <c r="E60" s="18" t="n">
        <v>30.11492272</v>
      </c>
      <c r="F60" s="20" t="n">
        <v>2.89093046</v>
      </c>
      <c r="G60" s="18" t="n">
        <v>13.76797594</v>
      </c>
      <c r="H60" s="20" t="n">
        <v>2.15822487</v>
      </c>
      <c r="I60" s="18" t="n">
        <v>11.98468596</v>
      </c>
      <c r="J60" s="20" t="n">
        <v>1.78797876</v>
      </c>
      <c r="K60" s="18" t="s">
        <v>431</v>
      </c>
      <c r="L60" s="20" t="s">
        <v>431</v>
      </c>
      <c r="M60" s="18" t="n">
        <v>22.88374834</v>
      </c>
      <c r="N60" s="20" t="n">
        <v>3.15145971</v>
      </c>
      <c r="O60" s="18" t="n">
        <v>0</v>
      </c>
      <c r="P60" s="20" t="n">
        <v>0</v>
      </c>
      <c r="Q60" s="18" t="n">
        <v>0.59491166</v>
      </c>
      <c r="R60" s="20" t="n">
        <v>0.58941087</v>
      </c>
      <c r="S60" s="18" t="n">
        <v>20.65375539</v>
      </c>
      <c r="T60" s="20" t="n">
        <v>2.3826673</v>
      </c>
    </row>
    <row r="61" spans="1:20">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2813</v>
      </c>
      <c r="C63" s="18">
        <f>(2344.0/B63*100)</f>
        <v/>
      </c>
      <c r="D63" s="19" t="n">
        <v>469</v>
      </c>
      <c r="E63" s="18" t="n">
        <v>24.14064072</v>
      </c>
      <c r="F63" s="20" t="n">
        <v>2.11022637</v>
      </c>
      <c r="G63" s="18" t="n">
        <v>10.7480436</v>
      </c>
      <c r="H63" s="20" t="n">
        <v>1.74791681</v>
      </c>
      <c r="I63" s="18" t="n">
        <v>15.15902801</v>
      </c>
      <c r="J63" s="20" t="n">
        <v>1.83802651</v>
      </c>
      <c r="K63" s="18" t="s">
        <v>431</v>
      </c>
      <c r="L63" s="20" t="s">
        <v>431</v>
      </c>
      <c r="M63" s="18" t="n">
        <v>26.4239948</v>
      </c>
      <c r="N63" s="20" t="n">
        <v>2.11058778</v>
      </c>
      <c r="O63" s="18" t="n">
        <v>0</v>
      </c>
      <c r="P63" s="20" t="n">
        <v>0</v>
      </c>
      <c r="Q63" s="18" t="n">
        <v>0</v>
      </c>
      <c r="R63" s="20" t="n">
        <v>0</v>
      </c>
      <c r="S63" s="18" t="n">
        <v>23.52829286</v>
      </c>
      <c r="T63" s="20" t="n">
        <v>1.95706432</v>
      </c>
    </row>
    <row r="64" spans="1:20">
      <c r="A64" s="15" t="s">
        <v>488</v>
      </c>
      <c r="B64" s="17" t="n">
        <v>1844</v>
      </c>
      <c r="C64" s="18">
        <f>(1545.0/B64*100)</f>
        <v/>
      </c>
      <c r="D64" s="19" t="n">
        <v>299</v>
      </c>
      <c r="E64" s="18" t="n">
        <v>19.85085743</v>
      </c>
      <c r="F64" s="20" t="n">
        <v>2.36813714</v>
      </c>
      <c r="G64" s="18" t="n">
        <v>5.03977726</v>
      </c>
      <c r="H64" s="20" t="n">
        <v>1.33912293</v>
      </c>
      <c r="I64" s="18" t="n">
        <v>43.79385076</v>
      </c>
      <c r="J64" s="20" t="n">
        <v>2.99903124</v>
      </c>
      <c r="K64" s="18" t="s">
        <v>431</v>
      </c>
      <c r="L64" s="20" t="s">
        <v>431</v>
      </c>
      <c r="M64" s="18" t="n">
        <v>14.65974079</v>
      </c>
      <c r="N64" s="20" t="n">
        <v>2.14783612</v>
      </c>
      <c r="O64" s="18" t="n">
        <v>0</v>
      </c>
      <c r="P64" s="20" t="n">
        <v>0</v>
      </c>
      <c r="Q64" s="18" t="n">
        <v>0</v>
      </c>
      <c r="R64" s="20" t="n">
        <v>0</v>
      </c>
      <c r="S64" s="18" t="n">
        <v>16.65577376</v>
      </c>
      <c r="T64" s="20" t="n">
        <v>2.17662649</v>
      </c>
    </row>
    <row r="65" spans="1:20">
      <c r="A65" s="15" t="s">
        <v>489</v>
      </c>
      <c r="B65" s="17" t="n">
        <v>2691</v>
      </c>
      <c r="C65" s="18">
        <f>(2249.0/B65*100)</f>
        <v/>
      </c>
      <c r="D65" s="19" t="n">
        <v>442</v>
      </c>
      <c r="E65" s="18" t="n">
        <v>27.44535883</v>
      </c>
      <c r="F65" s="20" t="n">
        <v>2.08219943</v>
      </c>
      <c r="G65" s="18" t="n">
        <v>7.56855896</v>
      </c>
      <c r="H65" s="20" t="n">
        <v>1.3486288</v>
      </c>
      <c r="I65" s="18" t="n">
        <v>25.26030519</v>
      </c>
      <c r="J65" s="20" t="n">
        <v>2.18668457</v>
      </c>
      <c r="K65" s="18" t="s">
        <v>431</v>
      </c>
      <c r="L65" s="20" t="s">
        <v>431</v>
      </c>
      <c r="M65" s="18" t="n">
        <v>21.66250672</v>
      </c>
      <c r="N65" s="20" t="n">
        <v>1.81139539</v>
      </c>
      <c r="O65" s="18" t="n">
        <v>0</v>
      </c>
      <c r="P65" s="20" t="n">
        <v>0</v>
      </c>
      <c r="Q65" s="18" t="n">
        <v>0</v>
      </c>
      <c r="R65" s="20" t="n">
        <v>0</v>
      </c>
      <c r="S65" s="18" t="n">
        <v>18.0632703</v>
      </c>
      <c r="T65" s="20" t="n">
        <v>1.8524189</v>
      </c>
    </row>
    <row r="66" spans="1:20">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2410</v>
      </c>
      <c r="C69" s="18">
        <f>(2017.0/B69*100)</f>
        <v/>
      </c>
      <c r="D69" s="19" t="n">
        <v>393</v>
      </c>
      <c r="E69" s="18" t="n">
        <v>49.07706997</v>
      </c>
      <c r="F69" s="20" t="n">
        <v>2.79836946</v>
      </c>
      <c r="G69" s="18" t="n">
        <v>10.88792217</v>
      </c>
      <c r="H69" s="20" t="n">
        <v>1.5119405</v>
      </c>
      <c r="I69" s="18" t="n">
        <v>35.54382148</v>
      </c>
      <c r="J69" s="20" t="n">
        <v>2.83983951</v>
      </c>
      <c r="K69" s="18" t="s">
        <v>431</v>
      </c>
      <c r="L69" s="20" t="s">
        <v>431</v>
      </c>
      <c r="M69" s="18" t="n">
        <v>0.9240076699999999</v>
      </c>
      <c r="N69" s="20" t="n">
        <v>0.56396996</v>
      </c>
      <c r="O69" s="18" t="n">
        <v>0</v>
      </c>
      <c r="P69" s="20" t="n">
        <v>0</v>
      </c>
      <c r="Q69" s="18" t="n">
        <v>0</v>
      </c>
      <c r="R69" s="20" t="n">
        <v>0</v>
      </c>
      <c r="S69" s="18" t="n">
        <v>3.5671787</v>
      </c>
      <c r="T69" s="20" t="n">
        <v>0.92754664</v>
      </c>
    </row>
    <row r="70" spans="1:20">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2239</v>
      </c>
      <c r="C74" s="18">
        <f>(1863.0/B74*100)</f>
        <v/>
      </c>
      <c r="D74" s="19" t="n">
        <v>376</v>
      </c>
      <c r="E74" s="18" t="n">
        <v>25.35583158</v>
      </c>
      <c r="F74" s="20" t="n">
        <v>2.71720388</v>
      </c>
      <c r="G74" s="18" t="n">
        <v>2.4795101</v>
      </c>
      <c r="H74" s="20" t="n">
        <v>1.05276431</v>
      </c>
      <c r="I74" s="18" t="n">
        <v>34.28580925</v>
      </c>
      <c r="J74" s="20" t="n">
        <v>2.58900656</v>
      </c>
      <c r="K74" s="18" t="s">
        <v>431</v>
      </c>
      <c r="L74" s="20" t="s">
        <v>431</v>
      </c>
      <c r="M74" s="18" t="n">
        <v>23.46475946</v>
      </c>
      <c r="N74" s="20" t="n">
        <v>2.53888161</v>
      </c>
      <c r="O74" s="18" t="n">
        <v>0</v>
      </c>
      <c r="P74" s="20" t="n">
        <v>0</v>
      </c>
      <c r="Q74" s="18" t="n">
        <v>0</v>
      </c>
      <c r="R74" s="20" t="n">
        <v>0</v>
      </c>
      <c r="S74" s="18" t="n">
        <v>14.4140896</v>
      </c>
      <c r="T74" s="20" t="n">
        <v>2.37335689</v>
      </c>
    </row>
    <row r="75" spans="1:20">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2786</v>
      </c>
      <c r="C78" s="18">
        <f>(2314.0/B78*100)</f>
        <v/>
      </c>
      <c r="D78" s="19" t="n">
        <v>472</v>
      </c>
      <c r="E78" s="18" t="n">
        <v>48.00577303</v>
      </c>
      <c r="F78" s="20" t="n">
        <v>2.71310447</v>
      </c>
      <c r="G78" s="18" t="n">
        <v>6.16925211</v>
      </c>
      <c r="H78" s="20" t="n">
        <v>1.08999004</v>
      </c>
      <c r="I78" s="18" t="n">
        <v>41.99753473</v>
      </c>
      <c r="J78" s="20" t="n">
        <v>2.50943358</v>
      </c>
      <c r="K78" s="18" t="s">
        <v>431</v>
      </c>
      <c r="L78" s="20" t="s">
        <v>431</v>
      </c>
      <c r="M78" s="18" t="n">
        <v>1.66735813</v>
      </c>
      <c r="N78" s="20" t="n">
        <v>0.50213656</v>
      </c>
      <c r="O78" s="18" t="n">
        <v>0</v>
      </c>
      <c r="P78" s="20" t="n">
        <v>0</v>
      </c>
      <c r="Q78" s="18" t="n">
        <v>0</v>
      </c>
      <c r="R78" s="20" t="n">
        <v>0</v>
      </c>
      <c r="S78" s="18" t="n">
        <v>2.160082</v>
      </c>
      <c r="T78" s="20" t="n">
        <v>0.8000931</v>
      </c>
    </row>
    <row customHeight="1" ht="25" r="79" spans="1:20">
      <c r="A79" s="15" t="s">
        <v>503</v>
      </c>
      <c r="B79" s="17" t="n">
        <v>787</v>
      </c>
      <c r="C79" s="18">
        <f>(664.0/B79*100)</f>
        <v/>
      </c>
      <c r="D79" s="19" t="n">
        <v>123</v>
      </c>
      <c r="E79" s="18" t="n">
        <v>16.67180053</v>
      </c>
      <c r="F79" s="20" t="n">
        <v>3.33191035</v>
      </c>
      <c r="G79" s="18" t="n">
        <v>7.45496151</v>
      </c>
      <c r="H79" s="20" t="n">
        <v>2.41269923</v>
      </c>
      <c r="I79" s="18" t="n">
        <v>58.02672965</v>
      </c>
      <c r="J79" s="20" t="n">
        <v>6.23446018</v>
      </c>
      <c r="K79" s="18" t="s">
        <v>431</v>
      </c>
      <c r="L79" s="20" t="s">
        <v>431</v>
      </c>
      <c r="M79" s="18" t="n">
        <v>11.44946792</v>
      </c>
      <c r="N79" s="20" t="n">
        <v>3.36339163</v>
      </c>
      <c r="O79" s="18" t="n">
        <v>0</v>
      </c>
      <c r="P79" s="20" t="n">
        <v>0</v>
      </c>
      <c r="Q79" s="18" t="n">
        <v>0</v>
      </c>
      <c r="R79" s="20" t="n">
        <v>0</v>
      </c>
      <c r="S79" s="18" t="n">
        <v>6.39704039</v>
      </c>
      <c r="T79" s="20" t="n">
        <v>2.39836463</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(2119.0/B44*100)</f>
        <v/>
      </c>
      <c r="D44" s="19" t="n">
        <v>405</v>
      </c>
      <c r="E44" s="18" t="n">
        <v>25.52438847</v>
      </c>
      <c r="F44" s="20" t="n">
        <v>2.87700461</v>
      </c>
      <c r="G44" s="18" t="n">
        <v>43.5482331</v>
      </c>
      <c r="H44" s="20" t="n">
        <v>3.52442281</v>
      </c>
      <c r="I44" s="18" t="s">
        <v>431</v>
      </c>
      <c r="J44" s="20" t="s">
        <v>431</v>
      </c>
      <c r="K44" s="18" t="n">
        <v>15.4957998</v>
      </c>
      <c r="L44" s="20" t="n">
        <v>2.30549626</v>
      </c>
      <c r="M44" s="18" t="n">
        <v>0</v>
      </c>
      <c r="N44" s="20" t="n">
        <v>0</v>
      </c>
      <c r="O44" s="18" t="n">
        <v>0</v>
      </c>
      <c r="P44" s="20" t="n">
        <v>0</v>
      </c>
      <c r="Q44" s="18" t="n">
        <v>15.43157863</v>
      </c>
      <c r="R44" s="20" t="n">
        <v>2.17115208</v>
      </c>
    </row>
    <row r="45" spans="1:18">
      <c r="A45" s="15" t="s">
        <v>469</v>
      </c>
      <c r="B45" s="17" t="n">
        <v>2849</v>
      </c>
      <c r="C45" s="18">
        <f>(2360.0/B45*100)</f>
        <v/>
      </c>
      <c r="D45" s="19" t="n">
        <v>489</v>
      </c>
      <c r="E45" s="18" t="n">
        <v>39.21695503</v>
      </c>
      <c r="F45" s="20" t="n">
        <v>2.43606951</v>
      </c>
      <c r="G45" s="18" t="n">
        <v>20.92845614</v>
      </c>
      <c r="H45" s="20" t="n">
        <v>2.08377927</v>
      </c>
      <c r="I45" s="18" t="s">
        <v>431</v>
      </c>
      <c r="J45" s="20" t="s">
        <v>431</v>
      </c>
      <c r="K45" s="18" t="n">
        <v>19.36611866</v>
      </c>
      <c r="L45" s="20" t="n">
        <v>1.57012077</v>
      </c>
      <c r="M45" s="18" t="n">
        <v>0</v>
      </c>
      <c r="N45" s="20" t="n">
        <v>0</v>
      </c>
      <c r="O45" s="18" t="n">
        <v>0</v>
      </c>
      <c r="P45" s="20" t="n">
        <v>0</v>
      </c>
      <c r="Q45" s="18" t="n">
        <v>20.48847016</v>
      </c>
      <c r="R45" s="20" t="n">
        <v>1.99249358</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(2522.0/B49*100)</f>
        <v/>
      </c>
      <c r="D49" s="19" t="n">
        <v>496</v>
      </c>
      <c r="E49" s="18" t="n">
        <v>23.28142818</v>
      </c>
      <c r="F49" s="20" t="n">
        <v>2.81428327</v>
      </c>
      <c r="G49" s="18" t="n">
        <v>51.17345223</v>
      </c>
      <c r="H49" s="20" t="n">
        <v>2.64232485</v>
      </c>
      <c r="I49" s="18" t="s">
        <v>431</v>
      </c>
      <c r="J49" s="20" t="s">
        <v>431</v>
      </c>
      <c r="K49" s="18" t="n">
        <v>10.17406345</v>
      </c>
      <c r="L49" s="20" t="n">
        <v>1.77379971</v>
      </c>
      <c r="M49" s="18" t="n">
        <v>0.40260496</v>
      </c>
      <c r="N49" s="20" t="n">
        <v>0.30585815</v>
      </c>
      <c r="O49" s="18" t="n">
        <v>0</v>
      </c>
      <c r="P49" s="20" t="n">
        <v>0</v>
      </c>
      <c r="Q49" s="18" t="n">
        <v>14.96845119</v>
      </c>
      <c r="R49" s="20" t="n">
        <v>1.82128733</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(2284.0/B55*100)</f>
        <v/>
      </c>
      <c r="D55" s="19" t="n">
        <v>475</v>
      </c>
      <c r="E55" s="18" t="n">
        <v>27.54548241</v>
      </c>
      <c r="F55" s="20" t="n">
        <v>2.30430116</v>
      </c>
      <c r="G55" s="18" t="n">
        <v>22.48125547</v>
      </c>
      <c r="H55" s="20" t="n">
        <v>2.23368602</v>
      </c>
      <c r="I55" s="18" t="s">
        <v>431</v>
      </c>
      <c r="J55" s="20" t="s">
        <v>431</v>
      </c>
      <c r="K55" s="18" t="n">
        <v>23.34099839</v>
      </c>
      <c r="L55" s="20" t="n">
        <v>2.0366221</v>
      </c>
      <c r="M55" s="18" t="n">
        <v>0</v>
      </c>
      <c r="N55" s="20" t="n">
        <v>0</v>
      </c>
      <c r="O55" s="18" t="n">
        <v>0</v>
      </c>
      <c r="P55" s="20" t="n">
        <v>0</v>
      </c>
      <c r="Q55" s="18" t="n">
        <v>26.63226373</v>
      </c>
      <c r="R55" s="20" t="n">
        <v>1.95518983</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45.35548256</v>
      </c>
      <c r="F57" s="20" t="n">
        <v>2.33288183</v>
      </c>
      <c r="G57" s="18" t="n">
        <v>44.08446399</v>
      </c>
      <c r="H57" s="20" t="n">
        <v>2.33423206</v>
      </c>
      <c r="I57" s="18" t="s">
        <v>431</v>
      </c>
      <c r="J57" s="20" t="s">
        <v>431</v>
      </c>
      <c r="K57" s="18" t="n">
        <v>6.88124589</v>
      </c>
      <c r="L57" s="20" t="n">
        <v>1.13552002</v>
      </c>
      <c r="M57" s="18" t="n">
        <v>0</v>
      </c>
      <c r="N57" s="20" t="n">
        <v>0</v>
      </c>
      <c r="O57" s="18" t="n">
        <v>0</v>
      </c>
      <c r="P57" s="20" t="n">
        <v>0</v>
      </c>
      <c r="Q57" s="18" t="n">
        <v>3.67880756</v>
      </c>
      <c r="R57" s="20" t="n">
        <v>1.00757872</v>
      </c>
    </row>
    <row r="58" spans="1:18">
      <c r="A58" s="15" t="s">
        <v>482</v>
      </c>
      <c r="B58" s="17" t="n">
        <v>3530</v>
      </c>
      <c r="C58" s="18">
        <f>(2937.0/B58*100)</f>
        <v/>
      </c>
      <c r="D58" s="19" t="n">
        <v>593</v>
      </c>
      <c r="E58" s="18" t="n">
        <v>27.54438983</v>
      </c>
      <c r="F58" s="20" t="n">
        <v>2.16570872</v>
      </c>
      <c r="G58" s="18" t="n">
        <v>39.47468779</v>
      </c>
      <c r="H58" s="20" t="n">
        <v>2.58601241</v>
      </c>
      <c r="I58" s="18" t="s">
        <v>431</v>
      </c>
      <c r="J58" s="20" t="s">
        <v>431</v>
      </c>
      <c r="K58" s="18" t="n">
        <v>16.12993663</v>
      </c>
      <c r="L58" s="20" t="n">
        <v>1.79946802</v>
      </c>
      <c r="M58" s="18" t="n">
        <v>0</v>
      </c>
      <c r="N58" s="20" t="n">
        <v>0</v>
      </c>
      <c r="O58" s="18" t="n">
        <v>0</v>
      </c>
      <c r="P58" s="20" t="n">
        <v>0</v>
      </c>
      <c r="Q58" s="18" t="n">
        <v>16.85098574</v>
      </c>
      <c r="R58" s="20" t="n">
        <v>2.14987934</v>
      </c>
    </row>
    <row r="59" spans="1:18">
      <c r="A59" s="15" t="s">
        <v>483</v>
      </c>
      <c r="B59" s="17" t="n">
        <v>2548</v>
      </c>
      <c r="C59" s="18">
        <f>(2129.0/B59*100)</f>
        <v/>
      </c>
      <c r="D59" s="19" t="n">
        <v>419</v>
      </c>
      <c r="E59" s="18" t="n">
        <v>57.04488463</v>
      </c>
      <c r="F59" s="20" t="n">
        <v>2.96748142</v>
      </c>
      <c r="G59" s="18" t="n">
        <v>17.25654063</v>
      </c>
      <c r="H59" s="20" t="n">
        <v>2.18389473</v>
      </c>
      <c r="I59" s="18" t="s">
        <v>431</v>
      </c>
      <c r="J59" s="20" t="s">
        <v>431</v>
      </c>
      <c r="K59" s="18" t="n">
        <v>9.21825464</v>
      </c>
      <c r="L59" s="20" t="n">
        <v>1.6580301</v>
      </c>
      <c r="M59" s="18" t="n">
        <v>0</v>
      </c>
      <c r="N59" s="20" t="n">
        <v>0</v>
      </c>
      <c r="O59" s="18" t="n">
        <v>0</v>
      </c>
      <c r="P59" s="20" t="n">
        <v>0</v>
      </c>
      <c r="Q59" s="18" t="n">
        <v>16.4803201</v>
      </c>
      <c r="R59" s="20" t="n">
        <v>2.35561813</v>
      </c>
    </row>
    <row r="60" spans="1:18">
      <c r="A60" s="15" t="s">
        <v>484</v>
      </c>
      <c r="B60" s="17" t="n">
        <v>2095</v>
      </c>
      <c r="C60" s="18">
        <f>(1736.0/B60*100)</f>
        <v/>
      </c>
      <c r="D60" s="19" t="n">
        <v>359</v>
      </c>
      <c r="E60" s="18" t="n">
        <v>23.54885255</v>
      </c>
      <c r="F60" s="20" t="n">
        <v>2.84218945</v>
      </c>
      <c r="G60" s="18" t="n">
        <v>25.93491191</v>
      </c>
      <c r="H60" s="20" t="n">
        <v>2.82700838</v>
      </c>
      <c r="I60" s="18" t="s">
        <v>431</v>
      </c>
      <c r="J60" s="20" t="s">
        <v>431</v>
      </c>
      <c r="K60" s="18" t="n">
        <v>23.85288575</v>
      </c>
      <c r="L60" s="20" t="n">
        <v>3.10774629</v>
      </c>
      <c r="M60" s="18" t="n">
        <v>0</v>
      </c>
      <c r="N60" s="20" t="n">
        <v>0</v>
      </c>
      <c r="O60" s="18" t="n">
        <v>0</v>
      </c>
      <c r="P60" s="20" t="n">
        <v>0</v>
      </c>
      <c r="Q60" s="18" t="n">
        <v>26.66334978</v>
      </c>
      <c r="R60" s="20" t="n">
        <v>2.71060825</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(2344.0/B63*100)</f>
        <v/>
      </c>
      <c r="D63" s="19" t="n">
        <v>469</v>
      </c>
      <c r="E63" s="18" t="n">
        <v>25.54492172</v>
      </c>
      <c r="F63" s="20" t="n">
        <v>2.27751858</v>
      </c>
      <c r="G63" s="18" t="n">
        <v>24.78007965</v>
      </c>
      <c r="H63" s="20" t="n">
        <v>1.9489185</v>
      </c>
      <c r="I63" s="18" t="s">
        <v>431</v>
      </c>
      <c r="J63" s="20" t="s">
        <v>431</v>
      </c>
      <c r="K63" s="18" t="n">
        <v>28.77578478</v>
      </c>
      <c r="L63" s="20" t="n">
        <v>2.07717142</v>
      </c>
      <c r="M63" s="18" t="n">
        <v>0</v>
      </c>
      <c r="N63" s="20" t="n">
        <v>0</v>
      </c>
      <c r="O63" s="18" t="n">
        <v>0</v>
      </c>
      <c r="P63" s="20" t="n">
        <v>0</v>
      </c>
      <c r="Q63" s="18" t="n">
        <v>20.89921385</v>
      </c>
      <c r="R63" s="20" t="n">
        <v>1.87866088</v>
      </c>
    </row>
    <row r="64" spans="1:18">
      <c r="A64" s="15" t="s">
        <v>488</v>
      </c>
      <c r="B64" s="17" t="n">
        <v>1844</v>
      </c>
      <c r="C64" s="18">
        <f>(1545.0/B64*100)</f>
        <v/>
      </c>
      <c r="D64" s="19" t="n">
        <v>299</v>
      </c>
      <c r="E64" s="18" t="n">
        <v>21.14724268</v>
      </c>
      <c r="F64" s="20" t="n">
        <v>2.39142847</v>
      </c>
      <c r="G64" s="18" t="n">
        <v>47.61661729</v>
      </c>
      <c r="H64" s="20" t="n">
        <v>3.061483</v>
      </c>
      <c r="I64" s="18" t="s">
        <v>431</v>
      </c>
      <c r="J64" s="20" t="s">
        <v>431</v>
      </c>
      <c r="K64" s="18" t="n">
        <v>15.6386308</v>
      </c>
      <c r="L64" s="20" t="n">
        <v>2.2995643</v>
      </c>
      <c r="M64" s="18" t="n">
        <v>0</v>
      </c>
      <c r="N64" s="20" t="n">
        <v>0</v>
      </c>
      <c r="O64" s="18" t="n">
        <v>0</v>
      </c>
      <c r="P64" s="20" t="n">
        <v>0</v>
      </c>
      <c r="Q64" s="18" t="n">
        <v>15.59750924</v>
      </c>
      <c r="R64" s="20" t="n">
        <v>2.3906348</v>
      </c>
    </row>
    <row r="65" spans="1:18">
      <c r="A65" s="15" t="s">
        <v>489</v>
      </c>
      <c r="B65" s="17" t="n">
        <v>2691</v>
      </c>
      <c r="C65" s="18">
        <f>(2249.0/B65*100)</f>
        <v/>
      </c>
      <c r="D65" s="19" t="n">
        <v>442</v>
      </c>
      <c r="E65" s="18" t="n">
        <v>18.75314978</v>
      </c>
      <c r="F65" s="20" t="n">
        <v>1.98894295</v>
      </c>
      <c r="G65" s="18" t="n">
        <v>39.07313678</v>
      </c>
      <c r="H65" s="20" t="n">
        <v>2.28399364</v>
      </c>
      <c r="I65" s="18" t="s">
        <v>431</v>
      </c>
      <c r="J65" s="20" t="s">
        <v>431</v>
      </c>
      <c r="K65" s="18" t="n">
        <v>23.19482658</v>
      </c>
      <c r="L65" s="20" t="n">
        <v>1.85691766</v>
      </c>
      <c r="M65" s="18" t="n">
        <v>0</v>
      </c>
      <c r="N65" s="20" t="n">
        <v>0</v>
      </c>
      <c r="O65" s="18" t="n">
        <v>0</v>
      </c>
      <c r="P65" s="20" t="n">
        <v>0</v>
      </c>
      <c r="Q65" s="18" t="n">
        <v>18.97888685</v>
      </c>
      <c r="R65" s="20" t="n">
        <v>1.75039936</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(2017.0/B69*100)</f>
        <v/>
      </c>
      <c r="D69" s="19" t="n">
        <v>393</v>
      </c>
      <c r="E69" s="18" t="n">
        <v>50.93349543</v>
      </c>
      <c r="F69" s="20" t="n">
        <v>2.5282741</v>
      </c>
      <c r="G69" s="18" t="n">
        <v>41.83409492</v>
      </c>
      <c r="H69" s="20" t="n">
        <v>2.37423813</v>
      </c>
      <c r="I69" s="18" t="s">
        <v>431</v>
      </c>
      <c r="J69" s="20" t="s">
        <v>431</v>
      </c>
      <c r="K69" s="18" t="n">
        <v>1.3856064</v>
      </c>
      <c r="L69" s="20" t="n">
        <v>0.64356021</v>
      </c>
      <c r="M69" s="18" t="n">
        <v>0</v>
      </c>
      <c r="N69" s="20" t="n">
        <v>0</v>
      </c>
      <c r="O69" s="18" t="n">
        <v>0</v>
      </c>
      <c r="P69" s="20" t="n">
        <v>0</v>
      </c>
      <c r="Q69" s="18" t="n">
        <v>5.84680324</v>
      </c>
      <c r="R69" s="20" t="n">
        <v>1.49373238</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(1863.0/B74*100)</f>
        <v/>
      </c>
      <c r="D74" s="19" t="n">
        <v>376</v>
      </c>
      <c r="E74" s="18" t="n">
        <v>18.83678621</v>
      </c>
      <c r="F74" s="20" t="n">
        <v>2.40166797</v>
      </c>
      <c r="G74" s="18" t="n">
        <v>37.672307</v>
      </c>
      <c r="H74" s="20" t="n">
        <v>2.75891002</v>
      </c>
      <c r="I74" s="18" t="s">
        <v>431</v>
      </c>
      <c r="J74" s="20" t="s">
        <v>431</v>
      </c>
      <c r="K74" s="18" t="n">
        <v>27.61328007</v>
      </c>
      <c r="L74" s="20" t="n">
        <v>2.6660855</v>
      </c>
      <c r="M74" s="18" t="n">
        <v>0</v>
      </c>
      <c r="N74" s="20" t="n">
        <v>0</v>
      </c>
      <c r="O74" s="18" t="n">
        <v>0</v>
      </c>
      <c r="P74" s="20" t="n">
        <v>0</v>
      </c>
      <c r="Q74" s="18" t="n">
        <v>15.87762672</v>
      </c>
      <c r="R74" s="20" t="n">
        <v>2.37984233</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(2314.0/B78*100)</f>
        <v/>
      </c>
      <c r="D78" s="19" t="n">
        <v>472</v>
      </c>
      <c r="E78" s="18" t="n">
        <v>27.97349319</v>
      </c>
      <c r="F78" s="20" t="n">
        <v>2.42256985</v>
      </c>
      <c r="G78" s="18" t="n">
        <v>67.87644431</v>
      </c>
      <c r="H78" s="20" t="n">
        <v>2.51174844</v>
      </c>
      <c r="I78" s="18" t="s">
        <v>431</v>
      </c>
      <c r="J78" s="20" t="s">
        <v>431</v>
      </c>
      <c r="K78" s="18" t="n">
        <v>1.9513859</v>
      </c>
      <c r="L78" s="20" t="n">
        <v>0.45004237</v>
      </c>
      <c r="M78" s="18" t="n">
        <v>0</v>
      </c>
      <c r="N78" s="20" t="n">
        <v>0</v>
      </c>
      <c r="O78" s="18" t="n">
        <v>0</v>
      </c>
      <c r="P78" s="20" t="n">
        <v>0</v>
      </c>
      <c r="Q78" s="18" t="n">
        <v>2.1986766</v>
      </c>
      <c r="R78" s="20" t="n">
        <v>0.80593153</v>
      </c>
    </row>
    <row customHeight="1" ht="25" r="79" spans="1:18">
      <c r="A79" s="15" t="s">
        <v>503</v>
      </c>
      <c r="B79" s="17" t="n">
        <v>787</v>
      </c>
      <c r="C79" s="18">
        <f>(664.0/B79*100)</f>
        <v/>
      </c>
      <c r="D79" s="19" t="n">
        <v>123</v>
      </c>
      <c r="E79" s="18" t="n">
        <v>11.06951012</v>
      </c>
      <c r="F79" s="20" t="n">
        <v>2.92732321</v>
      </c>
      <c r="G79" s="18" t="n">
        <v>67.12318551</v>
      </c>
      <c r="H79" s="20" t="n">
        <v>4.69404162</v>
      </c>
      <c r="I79" s="18" t="s">
        <v>431</v>
      </c>
      <c r="J79" s="20" t="s">
        <v>431</v>
      </c>
      <c r="K79" s="18" t="n">
        <v>12.37603719</v>
      </c>
      <c r="L79" s="20" t="n">
        <v>3.34806133</v>
      </c>
      <c r="M79" s="18" t="n">
        <v>0</v>
      </c>
      <c r="N79" s="20" t="n">
        <v>0</v>
      </c>
      <c r="O79" s="18" t="n">
        <v>0</v>
      </c>
      <c r="P79" s="20" t="n">
        <v>0</v>
      </c>
      <c r="Q79" s="18" t="n">
        <v>9.431267180000001</v>
      </c>
      <c r="R79" s="20" t="n">
        <v>2.85526898</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(2119.0/B44*100)</f>
        <v/>
      </c>
      <c r="D44" s="19" t="n">
        <v>405</v>
      </c>
      <c r="E44" s="18" t="n">
        <v>28.21726959</v>
      </c>
      <c r="F44" s="20" t="n">
        <v>2.76207822</v>
      </c>
      <c r="G44" s="18" t="n">
        <v>46.67766813</v>
      </c>
      <c r="H44" s="20" t="n">
        <v>3.63459617</v>
      </c>
      <c r="I44" s="18" t="s">
        <v>431</v>
      </c>
      <c r="J44" s="20" t="s">
        <v>431</v>
      </c>
      <c r="K44" s="18" t="n">
        <v>19.26578553</v>
      </c>
      <c r="L44" s="20" t="n">
        <v>2.59697234</v>
      </c>
      <c r="M44" s="18" t="n">
        <v>0</v>
      </c>
      <c r="N44" s="20" t="n">
        <v>0</v>
      </c>
      <c r="O44" s="18" t="n">
        <v>0</v>
      </c>
      <c r="P44" s="20" t="n">
        <v>0</v>
      </c>
      <c r="Q44" s="18" t="n">
        <v>5.83927675</v>
      </c>
      <c r="R44" s="20" t="n">
        <v>1.74757992</v>
      </c>
    </row>
    <row r="45" spans="1:18">
      <c r="A45" s="15" t="s">
        <v>469</v>
      </c>
      <c r="B45" s="17" t="n">
        <v>2849</v>
      </c>
      <c r="C45" s="18">
        <f>(2360.0/B45*100)</f>
        <v/>
      </c>
      <c r="D45" s="19" t="n">
        <v>489</v>
      </c>
      <c r="E45" s="18" t="n">
        <v>42.67054355</v>
      </c>
      <c r="F45" s="20" t="n">
        <v>2.09269503</v>
      </c>
      <c r="G45" s="18" t="n">
        <v>28.85765444</v>
      </c>
      <c r="H45" s="20" t="n">
        <v>1.83916174</v>
      </c>
      <c r="I45" s="18" t="s">
        <v>431</v>
      </c>
      <c r="J45" s="20" t="s">
        <v>431</v>
      </c>
      <c r="K45" s="18" t="n">
        <v>22.83049233</v>
      </c>
      <c r="L45" s="20" t="n">
        <v>1.43233351</v>
      </c>
      <c r="M45" s="18" t="n">
        <v>0.47421442</v>
      </c>
      <c r="N45" s="20" t="n">
        <v>0.28823398</v>
      </c>
      <c r="O45" s="18" t="n">
        <v>0</v>
      </c>
      <c r="P45" s="20" t="n">
        <v>0</v>
      </c>
      <c r="Q45" s="18" t="n">
        <v>5.16709527</v>
      </c>
      <c r="R45" s="20" t="n">
        <v>1.00034398</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(2522.0/B49*100)</f>
        <v/>
      </c>
      <c r="D49" s="19" t="n">
        <v>496</v>
      </c>
      <c r="E49" s="18" t="n">
        <v>30.82327875</v>
      </c>
      <c r="F49" s="20" t="n">
        <v>2.19553269</v>
      </c>
      <c r="G49" s="18" t="n">
        <v>54.1947869</v>
      </c>
      <c r="H49" s="20" t="n">
        <v>2.48725744</v>
      </c>
      <c r="I49" s="18" t="s">
        <v>431</v>
      </c>
      <c r="J49" s="20" t="s">
        <v>431</v>
      </c>
      <c r="K49" s="18" t="n">
        <v>12.8397133</v>
      </c>
      <c r="L49" s="20" t="n">
        <v>1.84804521</v>
      </c>
      <c r="M49" s="18" t="n">
        <v>0.2411324</v>
      </c>
      <c r="N49" s="20" t="n">
        <v>0.24100663</v>
      </c>
      <c r="O49" s="18" t="n">
        <v>0</v>
      </c>
      <c r="P49" s="20" t="n">
        <v>0</v>
      </c>
      <c r="Q49" s="18" t="n">
        <v>1.90108866</v>
      </c>
      <c r="R49" s="20" t="n">
        <v>0.64224316</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(2284.0/B55*100)</f>
        <v/>
      </c>
      <c r="D55" s="19" t="n">
        <v>475</v>
      </c>
      <c r="E55" s="18" t="n">
        <v>25.34242691</v>
      </c>
      <c r="F55" s="20" t="n">
        <v>2.27982672</v>
      </c>
      <c r="G55" s="18" t="n">
        <v>42.38565877</v>
      </c>
      <c r="H55" s="20" t="n">
        <v>2.3953705</v>
      </c>
      <c r="I55" s="18" t="s">
        <v>431</v>
      </c>
      <c r="J55" s="20" t="s">
        <v>431</v>
      </c>
      <c r="K55" s="18" t="n">
        <v>26.58392112</v>
      </c>
      <c r="L55" s="20" t="n">
        <v>2.21248454</v>
      </c>
      <c r="M55" s="18" t="n">
        <v>0</v>
      </c>
      <c r="N55" s="20" t="n">
        <v>0</v>
      </c>
      <c r="O55" s="18" t="n">
        <v>0</v>
      </c>
      <c r="P55" s="20" t="n">
        <v>0</v>
      </c>
      <c r="Q55" s="18" t="n">
        <v>5.6879932</v>
      </c>
      <c r="R55" s="20" t="n">
        <v>1.15199837</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57.02246168</v>
      </c>
      <c r="F57" s="20" t="n">
        <v>2.17272747</v>
      </c>
      <c r="G57" s="18" t="n">
        <v>32.43768641</v>
      </c>
      <c r="H57" s="20" t="n">
        <v>2.0863571</v>
      </c>
      <c r="I57" s="18" t="s">
        <v>431</v>
      </c>
      <c r="J57" s="20" t="s">
        <v>431</v>
      </c>
      <c r="K57" s="18" t="n">
        <v>9.28968152</v>
      </c>
      <c r="L57" s="20" t="n">
        <v>1.24196859</v>
      </c>
      <c r="M57" s="18" t="n">
        <v>0</v>
      </c>
      <c r="N57" s="20" t="n">
        <v>0</v>
      </c>
      <c r="O57" s="18" t="n">
        <v>0</v>
      </c>
      <c r="P57" s="20" t="n">
        <v>0</v>
      </c>
      <c r="Q57" s="18" t="n">
        <v>1.2501704</v>
      </c>
      <c r="R57" s="20" t="n">
        <v>0.46314077</v>
      </c>
    </row>
    <row r="58" spans="1:18">
      <c r="A58" s="15" t="s">
        <v>482</v>
      </c>
      <c r="B58" s="17" t="n">
        <v>3530</v>
      </c>
      <c r="C58" s="18">
        <f>(2937.0/B58*100)</f>
        <v/>
      </c>
      <c r="D58" s="19" t="n">
        <v>593</v>
      </c>
      <c r="E58" s="18" t="n">
        <v>43.5846102</v>
      </c>
      <c r="F58" s="20" t="n">
        <v>2.55479045</v>
      </c>
      <c r="G58" s="18" t="n">
        <v>35.52988109</v>
      </c>
      <c r="H58" s="20" t="n">
        <v>2.24594559</v>
      </c>
      <c r="I58" s="18" t="s">
        <v>431</v>
      </c>
      <c r="J58" s="20" t="s">
        <v>431</v>
      </c>
      <c r="K58" s="18" t="n">
        <v>19.62793448</v>
      </c>
      <c r="L58" s="20" t="n">
        <v>1.9038448</v>
      </c>
      <c r="M58" s="18" t="n">
        <v>0</v>
      </c>
      <c r="N58" s="20" t="n">
        <v>0</v>
      </c>
      <c r="O58" s="18" t="n">
        <v>0</v>
      </c>
      <c r="P58" s="20" t="n">
        <v>0</v>
      </c>
      <c r="Q58" s="18" t="n">
        <v>1.25757424</v>
      </c>
      <c r="R58" s="20" t="n">
        <v>0.53192004</v>
      </c>
    </row>
    <row r="59" spans="1:18">
      <c r="A59" s="15" t="s">
        <v>483</v>
      </c>
      <c r="B59" s="17" t="n">
        <v>2548</v>
      </c>
      <c r="C59" s="18">
        <f>(2129.0/B59*100)</f>
        <v/>
      </c>
      <c r="D59" s="19" t="n">
        <v>419</v>
      </c>
      <c r="E59" s="18" t="n">
        <v>48.60089998</v>
      </c>
      <c r="F59" s="20" t="n">
        <v>2.86223119</v>
      </c>
      <c r="G59" s="18" t="n">
        <v>34.6984099</v>
      </c>
      <c r="H59" s="20" t="n">
        <v>3.31984483</v>
      </c>
      <c r="I59" s="18" t="s">
        <v>431</v>
      </c>
      <c r="J59" s="20" t="s">
        <v>431</v>
      </c>
      <c r="K59" s="18" t="n">
        <v>12.51791722</v>
      </c>
      <c r="L59" s="20" t="n">
        <v>1.75743915</v>
      </c>
      <c r="M59" s="18" t="n">
        <v>0</v>
      </c>
      <c r="N59" s="20" t="n">
        <v>0</v>
      </c>
      <c r="O59" s="18" t="n">
        <v>0</v>
      </c>
      <c r="P59" s="20" t="n">
        <v>0</v>
      </c>
      <c r="Q59" s="18" t="n">
        <v>4.1827729</v>
      </c>
      <c r="R59" s="20" t="n">
        <v>1.10249777</v>
      </c>
    </row>
    <row r="60" spans="1:18">
      <c r="A60" s="15" t="s">
        <v>484</v>
      </c>
      <c r="B60" s="17" t="n">
        <v>2095</v>
      </c>
      <c r="C60" s="18">
        <f>(1736.0/B60*100)</f>
        <v/>
      </c>
      <c r="D60" s="19" t="n">
        <v>359</v>
      </c>
      <c r="E60" s="18" t="n">
        <v>34.40552517</v>
      </c>
      <c r="F60" s="20" t="n">
        <v>3.08779205</v>
      </c>
      <c r="G60" s="18" t="n">
        <v>37.26916427</v>
      </c>
      <c r="H60" s="20" t="n">
        <v>3.35781296</v>
      </c>
      <c r="I60" s="18" t="s">
        <v>431</v>
      </c>
      <c r="J60" s="20" t="s">
        <v>431</v>
      </c>
      <c r="K60" s="18" t="n">
        <v>25.91283004</v>
      </c>
      <c r="L60" s="20" t="n">
        <v>3.1972353</v>
      </c>
      <c r="M60" s="18" t="n">
        <v>0</v>
      </c>
      <c r="N60" s="20" t="n">
        <v>0</v>
      </c>
      <c r="O60" s="18" t="n">
        <v>0</v>
      </c>
      <c r="P60" s="20" t="n">
        <v>0</v>
      </c>
      <c r="Q60" s="18" t="n">
        <v>2.41248052</v>
      </c>
      <c r="R60" s="20" t="n">
        <v>0.78169208</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(2344.0/B63*100)</f>
        <v/>
      </c>
      <c r="D63" s="19" t="n">
        <v>469</v>
      </c>
      <c r="E63" s="18" t="n">
        <v>28.89764176</v>
      </c>
      <c r="F63" s="20" t="n">
        <v>2.34842426</v>
      </c>
      <c r="G63" s="18" t="n">
        <v>33.66223973</v>
      </c>
      <c r="H63" s="20" t="n">
        <v>2.62179371</v>
      </c>
      <c r="I63" s="18" t="s">
        <v>431</v>
      </c>
      <c r="J63" s="20" t="s">
        <v>431</v>
      </c>
      <c r="K63" s="18" t="n">
        <v>31.1930742</v>
      </c>
      <c r="L63" s="20" t="n">
        <v>2.32242758</v>
      </c>
      <c r="M63" s="18" t="n">
        <v>0</v>
      </c>
      <c r="N63" s="20" t="n">
        <v>0</v>
      </c>
      <c r="O63" s="18" t="n">
        <v>0</v>
      </c>
      <c r="P63" s="20" t="n">
        <v>0</v>
      </c>
      <c r="Q63" s="18" t="n">
        <v>6.24704431</v>
      </c>
      <c r="R63" s="20" t="n">
        <v>1.3212256</v>
      </c>
    </row>
    <row r="64" spans="1:18">
      <c r="A64" s="15" t="s">
        <v>488</v>
      </c>
      <c r="B64" s="17" t="n">
        <v>1844</v>
      </c>
      <c r="C64" s="18">
        <f>(1545.0/B64*100)</f>
        <v/>
      </c>
      <c r="D64" s="19" t="n">
        <v>299</v>
      </c>
      <c r="E64" s="18" t="n">
        <v>23.45383178</v>
      </c>
      <c r="F64" s="20" t="n">
        <v>2.5756892</v>
      </c>
      <c r="G64" s="18" t="n">
        <v>55.31745626</v>
      </c>
      <c r="H64" s="20" t="n">
        <v>2.95096101</v>
      </c>
      <c r="I64" s="18" t="s">
        <v>431</v>
      </c>
      <c r="J64" s="20" t="s">
        <v>431</v>
      </c>
      <c r="K64" s="18" t="n">
        <v>18.87787189</v>
      </c>
      <c r="L64" s="20" t="n">
        <v>2.44415733</v>
      </c>
      <c r="M64" s="18" t="n">
        <v>0</v>
      </c>
      <c r="N64" s="20" t="n">
        <v>0</v>
      </c>
      <c r="O64" s="18" t="n">
        <v>0</v>
      </c>
      <c r="P64" s="20" t="n">
        <v>0</v>
      </c>
      <c r="Q64" s="18" t="n">
        <v>2.35084007</v>
      </c>
      <c r="R64" s="20" t="n">
        <v>0.86588992</v>
      </c>
    </row>
    <row r="65" spans="1:18">
      <c r="A65" s="15" t="s">
        <v>489</v>
      </c>
      <c r="B65" s="17" t="n">
        <v>2691</v>
      </c>
      <c r="C65" s="18">
        <f>(2249.0/B65*100)</f>
        <v/>
      </c>
      <c r="D65" s="19" t="n">
        <v>442</v>
      </c>
      <c r="E65" s="18" t="n">
        <v>20.79178896</v>
      </c>
      <c r="F65" s="20" t="n">
        <v>1.83601124</v>
      </c>
      <c r="G65" s="18" t="n">
        <v>46.53093757</v>
      </c>
      <c r="H65" s="20" t="n">
        <v>2.48746408</v>
      </c>
      <c r="I65" s="18" t="s">
        <v>431</v>
      </c>
      <c r="J65" s="20" t="s">
        <v>431</v>
      </c>
      <c r="K65" s="18" t="n">
        <v>26.5814215</v>
      </c>
      <c r="L65" s="20" t="n">
        <v>1.95285344</v>
      </c>
      <c r="M65" s="18" t="n">
        <v>0</v>
      </c>
      <c r="N65" s="20" t="n">
        <v>0</v>
      </c>
      <c r="O65" s="18" t="n">
        <v>0</v>
      </c>
      <c r="P65" s="20" t="n">
        <v>0</v>
      </c>
      <c r="Q65" s="18" t="n">
        <v>6.09585198</v>
      </c>
      <c r="R65" s="20" t="n">
        <v>1.11288094</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(2017.0/B69*100)</f>
        <v/>
      </c>
      <c r="D69" s="19" t="n">
        <v>393</v>
      </c>
      <c r="E69" s="18" t="n">
        <v>46.48837004</v>
      </c>
      <c r="F69" s="20" t="n">
        <v>3.05474294</v>
      </c>
      <c r="G69" s="18" t="n">
        <v>51.1481118</v>
      </c>
      <c r="H69" s="20" t="n">
        <v>3.12638367</v>
      </c>
      <c r="I69" s="18" t="s">
        <v>431</v>
      </c>
      <c r="J69" s="20" t="s">
        <v>431</v>
      </c>
      <c r="K69" s="18" t="n">
        <v>1.63837262</v>
      </c>
      <c r="L69" s="20" t="n">
        <v>0.6895081</v>
      </c>
      <c r="M69" s="18" t="n">
        <v>0</v>
      </c>
      <c r="N69" s="20" t="n">
        <v>0</v>
      </c>
      <c r="O69" s="18" t="n">
        <v>0</v>
      </c>
      <c r="P69" s="20" t="n">
        <v>0</v>
      </c>
      <c r="Q69" s="18" t="n">
        <v>0.72514554</v>
      </c>
      <c r="R69" s="20" t="n">
        <v>0.41401505</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(1863.0/B74*100)</f>
        <v/>
      </c>
      <c r="D74" s="19" t="n">
        <v>376</v>
      </c>
      <c r="E74" s="18" t="n">
        <v>23.19616603</v>
      </c>
      <c r="F74" s="20" t="n">
        <v>2.24036843</v>
      </c>
      <c r="G74" s="18" t="n">
        <v>40.85873452</v>
      </c>
      <c r="H74" s="20" t="n">
        <v>2.71718163</v>
      </c>
      <c r="I74" s="18" t="s">
        <v>431</v>
      </c>
      <c r="J74" s="20" t="s">
        <v>431</v>
      </c>
      <c r="K74" s="18" t="n">
        <v>32.51309696</v>
      </c>
      <c r="L74" s="20" t="n">
        <v>3.00827203</v>
      </c>
      <c r="M74" s="18" t="n">
        <v>0</v>
      </c>
      <c r="N74" s="20" t="n">
        <v>0</v>
      </c>
      <c r="O74" s="18" t="n">
        <v>0</v>
      </c>
      <c r="P74" s="20" t="n">
        <v>0</v>
      </c>
      <c r="Q74" s="18" t="n">
        <v>3.43200249</v>
      </c>
      <c r="R74" s="20" t="n">
        <v>1.03263741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(2314.0/B78*100)</f>
        <v/>
      </c>
      <c r="D78" s="19" t="n">
        <v>472</v>
      </c>
      <c r="E78" s="18" t="n">
        <v>41.41011821</v>
      </c>
      <c r="F78" s="20" t="n">
        <v>2.89061526</v>
      </c>
      <c r="G78" s="18" t="n">
        <v>54.98639678</v>
      </c>
      <c r="H78" s="20" t="n">
        <v>2.73211726</v>
      </c>
      <c r="I78" s="18" t="s">
        <v>431</v>
      </c>
      <c r="J78" s="20" t="s">
        <v>431</v>
      </c>
      <c r="K78" s="18" t="n">
        <v>3.24849687</v>
      </c>
      <c r="L78" s="20" t="n">
        <v>0.80390937</v>
      </c>
      <c r="M78" s="18" t="n">
        <v>0</v>
      </c>
      <c r="N78" s="20" t="n">
        <v>0</v>
      </c>
      <c r="O78" s="18" t="n">
        <v>0</v>
      </c>
      <c r="P78" s="20" t="n">
        <v>0</v>
      </c>
      <c r="Q78" s="18" t="n">
        <v>0.35498814</v>
      </c>
      <c r="R78" s="20" t="n">
        <v>0.26374429</v>
      </c>
    </row>
    <row customHeight="1" ht="25" r="79" spans="1:18">
      <c r="A79" s="15" t="s">
        <v>503</v>
      </c>
      <c r="B79" s="17" t="n">
        <v>787</v>
      </c>
      <c r="C79" s="18">
        <f>(664.0/B79*100)</f>
        <v/>
      </c>
      <c r="D79" s="19" t="n">
        <v>123</v>
      </c>
      <c r="E79" s="18" t="n">
        <v>15.9544453</v>
      </c>
      <c r="F79" s="20" t="n">
        <v>3.17538624</v>
      </c>
      <c r="G79" s="18" t="n">
        <v>66.81216023</v>
      </c>
      <c r="H79" s="20" t="n">
        <v>4.4408295</v>
      </c>
      <c r="I79" s="18" t="s">
        <v>431</v>
      </c>
      <c r="J79" s="20" t="s">
        <v>431</v>
      </c>
      <c r="K79" s="18" t="n">
        <v>15.47837194</v>
      </c>
      <c r="L79" s="20" t="n">
        <v>3.6478209</v>
      </c>
      <c r="M79" s="18" t="n">
        <v>0</v>
      </c>
      <c r="N79" s="20" t="n">
        <v>0</v>
      </c>
      <c r="O79" s="18" t="n">
        <v>0</v>
      </c>
      <c r="P79" s="20" t="n">
        <v>0</v>
      </c>
      <c r="Q79" s="18" t="n">
        <v>1.75502253</v>
      </c>
      <c r="R79" s="20" t="n">
        <v>1.23107848</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(2119.0/B44*100)</f>
        <v/>
      </c>
      <c r="D44" s="19" t="n">
        <v>405</v>
      </c>
      <c r="E44" s="18" t="n">
        <v>50.65359886</v>
      </c>
      <c r="F44" s="20" t="n">
        <v>3.08101176</v>
      </c>
      <c r="G44" s="18" t="n">
        <v>25.36475797</v>
      </c>
      <c r="H44" s="20" t="n">
        <v>2.42411146</v>
      </c>
      <c r="I44" s="18" t="s">
        <v>431</v>
      </c>
      <c r="J44" s="20" t="s">
        <v>431</v>
      </c>
      <c r="K44" s="18" t="n">
        <v>20.93763709</v>
      </c>
      <c r="L44" s="20" t="n">
        <v>2.72735309</v>
      </c>
      <c r="M44" s="18" t="n">
        <v>0</v>
      </c>
      <c r="N44" s="20" t="n">
        <v>0</v>
      </c>
      <c r="O44" s="18" t="n">
        <v>0</v>
      </c>
      <c r="P44" s="20" t="n">
        <v>0</v>
      </c>
      <c r="Q44" s="18" t="n">
        <v>3.04400608</v>
      </c>
      <c r="R44" s="20" t="n">
        <v>0.93999276</v>
      </c>
    </row>
    <row r="45" spans="1:18">
      <c r="A45" s="15" t="s">
        <v>469</v>
      </c>
      <c r="B45" s="17" t="n">
        <v>2849</v>
      </c>
      <c r="C45" s="18">
        <f>(2360.0/B45*100)</f>
        <v/>
      </c>
      <c r="D45" s="19" t="n">
        <v>489</v>
      </c>
      <c r="E45" s="18" t="n">
        <v>56.03538693</v>
      </c>
      <c r="F45" s="20" t="n">
        <v>1.98228406</v>
      </c>
      <c r="G45" s="18" t="n">
        <v>16.12797653</v>
      </c>
      <c r="H45" s="20" t="n">
        <v>1.88610407</v>
      </c>
      <c r="I45" s="18" t="s">
        <v>431</v>
      </c>
      <c r="J45" s="20" t="s">
        <v>431</v>
      </c>
      <c r="K45" s="18" t="n">
        <v>24.94969598</v>
      </c>
      <c r="L45" s="20" t="n">
        <v>1.51636274</v>
      </c>
      <c r="M45" s="18" t="n">
        <v>0.47421442</v>
      </c>
      <c r="N45" s="20" t="n">
        <v>0.28823398</v>
      </c>
      <c r="O45" s="18" t="n">
        <v>0</v>
      </c>
      <c r="P45" s="20" t="n">
        <v>0</v>
      </c>
      <c r="Q45" s="18" t="n">
        <v>2.41272613</v>
      </c>
      <c r="R45" s="20" t="n">
        <v>0.7441176900000001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(2522.0/B49*100)</f>
        <v/>
      </c>
      <c r="D49" s="19" t="n">
        <v>496</v>
      </c>
      <c r="E49" s="18" t="n">
        <v>63.99539898</v>
      </c>
      <c r="F49" s="20" t="n">
        <v>2.56736861</v>
      </c>
      <c r="G49" s="18" t="n">
        <v>19.03383685</v>
      </c>
      <c r="H49" s="20" t="n">
        <v>2.16038862</v>
      </c>
      <c r="I49" s="18" t="s">
        <v>431</v>
      </c>
      <c r="J49" s="20" t="s">
        <v>431</v>
      </c>
      <c r="K49" s="18" t="n">
        <v>13.78184971</v>
      </c>
      <c r="L49" s="20" t="n">
        <v>1.93558991</v>
      </c>
      <c r="M49" s="18" t="n">
        <v>0</v>
      </c>
      <c r="N49" s="20" t="n">
        <v>0</v>
      </c>
      <c r="O49" s="18" t="n">
        <v>0</v>
      </c>
      <c r="P49" s="20" t="n">
        <v>0</v>
      </c>
      <c r="Q49" s="18" t="n">
        <v>3.18891446</v>
      </c>
      <c r="R49" s="20" t="n">
        <v>0.85108085</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(2284.0/B55*100)</f>
        <v/>
      </c>
      <c r="D55" s="19" t="n">
        <v>475</v>
      </c>
      <c r="E55" s="18" t="n">
        <v>51.9667794</v>
      </c>
      <c r="F55" s="20" t="n">
        <v>2.30097081</v>
      </c>
      <c r="G55" s="18" t="n">
        <v>15.65538017</v>
      </c>
      <c r="H55" s="20" t="n">
        <v>1.64562162</v>
      </c>
      <c r="I55" s="18" t="s">
        <v>431</v>
      </c>
      <c r="J55" s="20" t="s">
        <v>431</v>
      </c>
      <c r="K55" s="18" t="n">
        <v>28.47509625</v>
      </c>
      <c r="L55" s="20" t="n">
        <v>2.25490677</v>
      </c>
      <c r="M55" s="18" t="n">
        <v>0</v>
      </c>
      <c r="N55" s="20" t="n">
        <v>0</v>
      </c>
      <c r="O55" s="18" t="n">
        <v>0</v>
      </c>
      <c r="P55" s="20" t="n">
        <v>0</v>
      </c>
      <c r="Q55" s="18" t="n">
        <v>3.90274418</v>
      </c>
      <c r="R55" s="20" t="n">
        <v>0.9233088</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(2635.0/B57*100)</f>
        <v/>
      </c>
      <c r="D57" s="19" t="n">
        <v>535</v>
      </c>
      <c r="E57" s="18" t="n">
        <v>52.10786857</v>
      </c>
      <c r="F57" s="20" t="n">
        <v>2.51960283</v>
      </c>
      <c r="G57" s="18" t="n">
        <v>37.69007838</v>
      </c>
      <c r="H57" s="20" t="n">
        <v>2.46407427</v>
      </c>
      <c r="I57" s="18" t="s">
        <v>431</v>
      </c>
      <c r="J57" s="20" t="s">
        <v>431</v>
      </c>
      <c r="K57" s="18" t="n">
        <v>9.41245086</v>
      </c>
      <c r="L57" s="20" t="n">
        <v>1.24485984</v>
      </c>
      <c r="M57" s="18" t="n">
        <v>0</v>
      </c>
      <c r="N57" s="20" t="n">
        <v>0</v>
      </c>
      <c r="O57" s="18" t="n">
        <v>0</v>
      </c>
      <c r="P57" s="20" t="n">
        <v>0</v>
      </c>
      <c r="Q57" s="18" t="n">
        <v>0.78960219</v>
      </c>
      <c r="R57" s="20" t="n">
        <v>0.3933143</v>
      </c>
    </row>
    <row r="58" spans="1:18">
      <c r="A58" s="15" t="s">
        <v>482</v>
      </c>
      <c r="B58" s="17" t="n">
        <v>3530</v>
      </c>
      <c r="C58" s="18">
        <f>(2937.0/B58*100)</f>
        <v/>
      </c>
      <c r="D58" s="19" t="n">
        <v>593</v>
      </c>
      <c r="E58" s="18" t="n">
        <v>62.54450863</v>
      </c>
      <c r="F58" s="20" t="n">
        <v>2.63957055</v>
      </c>
      <c r="G58" s="18" t="n">
        <v>15.51994966</v>
      </c>
      <c r="H58" s="20" t="n">
        <v>1.87455757</v>
      </c>
      <c r="I58" s="18" t="s">
        <v>431</v>
      </c>
      <c r="J58" s="20" t="s">
        <v>431</v>
      </c>
      <c r="K58" s="18" t="n">
        <v>20.87710381</v>
      </c>
      <c r="L58" s="20" t="n">
        <v>1.98261565</v>
      </c>
      <c r="M58" s="18" t="n">
        <v>0</v>
      </c>
      <c r="N58" s="20" t="n">
        <v>0</v>
      </c>
      <c r="O58" s="18" t="n">
        <v>0</v>
      </c>
      <c r="P58" s="20" t="n">
        <v>0</v>
      </c>
      <c r="Q58" s="18" t="n">
        <v>1.0584379</v>
      </c>
      <c r="R58" s="20" t="n">
        <v>0.47450375</v>
      </c>
    </row>
    <row r="59" spans="1:18">
      <c r="A59" s="15" t="s">
        <v>483</v>
      </c>
      <c r="B59" s="17" t="n">
        <v>2548</v>
      </c>
      <c r="C59" s="18">
        <f>(2129.0/B59*100)</f>
        <v/>
      </c>
      <c r="D59" s="19" t="n">
        <v>419</v>
      </c>
      <c r="E59" s="18" t="n">
        <v>66.79553172999999</v>
      </c>
      <c r="F59" s="20" t="n">
        <v>2.63262465</v>
      </c>
      <c r="G59" s="18" t="n">
        <v>17.16953641</v>
      </c>
      <c r="H59" s="20" t="n">
        <v>2.23043876</v>
      </c>
      <c r="I59" s="18" t="s">
        <v>431</v>
      </c>
      <c r="J59" s="20" t="s">
        <v>431</v>
      </c>
      <c r="K59" s="18" t="n">
        <v>12.78831842</v>
      </c>
      <c r="L59" s="20" t="n">
        <v>1.77094171</v>
      </c>
      <c r="M59" s="18" t="n">
        <v>0</v>
      </c>
      <c r="N59" s="20" t="n">
        <v>0</v>
      </c>
      <c r="O59" s="18" t="n">
        <v>0</v>
      </c>
      <c r="P59" s="20" t="n">
        <v>0</v>
      </c>
      <c r="Q59" s="18" t="n">
        <v>3.24661344</v>
      </c>
      <c r="R59" s="20" t="n">
        <v>1.2045014</v>
      </c>
    </row>
    <row r="60" spans="1:18">
      <c r="A60" s="15" t="s">
        <v>484</v>
      </c>
      <c r="B60" s="17" t="n">
        <v>2095</v>
      </c>
      <c r="C60" s="18">
        <f>(1736.0/B60*100)</f>
        <v/>
      </c>
      <c r="D60" s="19" t="n">
        <v>359</v>
      </c>
      <c r="E60" s="18" t="n">
        <v>58.22544074</v>
      </c>
      <c r="F60" s="20" t="n">
        <v>3.25611214</v>
      </c>
      <c r="G60" s="18" t="n">
        <v>11.26701834</v>
      </c>
      <c r="H60" s="20" t="n">
        <v>1.94352491</v>
      </c>
      <c r="I60" s="18" t="s">
        <v>431</v>
      </c>
      <c r="J60" s="20" t="s">
        <v>431</v>
      </c>
      <c r="K60" s="18" t="n">
        <v>26.77272357</v>
      </c>
      <c r="L60" s="20" t="n">
        <v>3.20046248</v>
      </c>
      <c r="M60" s="18" t="n">
        <v>0</v>
      </c>
      <c r="N60" s="20" t="n">
        <v>0</v>
      </c>
      <c r="O60" s="18" t="n">
        <v>0</v>
      </c>
      <c r="P60" s="20" t="n">
        <v>0</v>
      </c>
      <c r="Q60" s="18" t="n">
        <v>3.73481734</v>
      </c>
      <c r="R60" s="20" t="n">
        <v>1.09617865</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(2344.0/B63*100)</f>
        <v/>
      </c>
      <c r="D63" s="19" t="n">
        <v>469</v>
      </c>
      <c r="E63" s="18" t="n">
        <v>47.37089299</v>
      </c>
      <c r="F63" s="20" t="n">
        <v>2.37102995</v>
      </c>
      <c r="G63" s="18" t="n">
        <v>15.96663473</v>
      </c>
      <c r="H63" s="20" t="n">
        <v>1.84234492</v>
      </c>
      <c r="I63" s="18" t="s">
        <v>431</v>
      </c>
      <c r="J63" s="20" t="s">
        <v>431</v>
      </c>
      <c r="K63" s="18" t="n">
        <v>32.53117349</v>
      </c>
      <c r="L63" s="20" t="n">
        <v>2.34143302</v>
      </c>
      <c r="M63" s="18" t="n">
        <v>0</v>
      </c>
      <c r="N63" s="20" t="n">
        <v>0</v>
      </c>
      <c r="O63" s="18" t="n">
        <v>0</v>
      </c>
      <c r="P63" s="20" t="n">
        <v>0</v>
      </c>
      <c r="Q63" s="18" t="n">
        <v>4.13129878</v>
      </c>
      <c r="R63" s="20" t="n">
        <v>0.955947</v>
      </c>
    </row>
    <row r="64" spans="1:18">
      <c r="A64" s="15" t="s">
        <v>488</v>
      </c>
      <c r="B64" s="17" t="n">
        <v>1844</v>
      </c>
      <c r="C64" s="18">
        <f>(1545.0/B64*100)</f>
        <v/>
      </c>
      <c r="D64" s="19" t="n">
        <v>299</v>
      </c>
      <c r="E64" s="18" t="n">
        <v>55.94005668</v>
      </c>
      <c r="F64" s="20" t="n">
        <v>2.59525765</v>
      </c>
      <c r="G64" s="18" t="n">
        <v>20.1536836</v>
      </c>
      <c r="H64" s="20" t="n">
        <v>2.5031412</v>
      </c>
      <c r="I64" s="18" t="s">
        <v>431</v>
      </c>
      <c r="J64" s="20" t="s">
        <v>431</v>
      </c>
      <c r="K64" s="18" t="n">
        <v>20.85098995</v>
      </c>
      <c r="L64" s="20" t="n">
        <v>2.47396191</v>
      </c>
      <c r="M64" s="18" t="n">
        <v>0</v>
      </c>
      <c r="N64" s="20" t="n">
        <v>0</v>
      </c>
      <c r="O64" s="18" t="n">
        <v>0</v>
      </c>
      <c r="P64" s="20" t="n">
        <v>0</v>
      </c>
      <c r="Q64" s="18" t="n">
        <v>3.05526977</v>
      </c>
      <c r="R64" s="20" t="n">
        <v>1.03960603</v>
      </c>
    </row>
    <row r="65" spans="1:18">
      <c r="A65" s="15" t="s">
        <v>489</v>
      </c>
      <c r="B65" s="17" t="n">
        <v>2691</v>
      </c>
      <c r="C65" s="18">
        <f>(2249.0/B65*100)</f>
        <v/>
      </c>
      <c r="D65" s="19" t="n">
        <v>442</v>
      </c>
      <c r="E65" s="18" t="n">
        <v>53.99430428</v>
      </c>
      <c r="F65" s="20" t="n">
        <v>2.38538979</v>
      </c>
      <c r="G65" s="18" t="n">
        <v>13.83692708</v>
      </c>
      <c r="H65" s="20" t="n">
        <v>1.76924292</v>
      </c>
      <c r="I65" s="18" t="s">
        <v>431</v>
      </c>
      <c r="J65" s="20" t="s">
        <v>431</v>
      </c>
      <c r="K65" s="18" t="n">
        <v>28.38427959</v>
      </c>
      <c r="L65" s="20" t="n">
        <v>1.98974738</v>
      </c>
      <c r="M65" s="18" t="n">
        <v>0</v>
      </c>
      <c r="N65" s="20" t="n">
        <v>0</v>
      </c>
      <c r="O65" s="18" t="n">
        <v>0</v>
      </c>
      <c r="P65" s="20" t="n">
        <v>0</v>
      </c>
      <c r="Q65" s="18" t="n">
        <v>3.78448905</v>
      </c>
      <c r="R65" s="20" t="n">
        <v>0.87841182</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(2017.0/B69*100)</f>
        <v/>
      </c>
      <c r="D69" s="19" t="n">
        <v>393</v>
      </c>
      <c r="E69" s="18" t="n">
        <v>72.60938793</v>
      </c>
      <c r="F69" s="20" t="n">
        <v>2.49089732</v>
      </c>
      <c r="G69" s="18" t="n">
        <v>24.53632087</v>
      </c>
      <c r="H69" s="20" t="n">
        <v>2.34373131</v>
      </c>
      <c r="I69" s="18" t="s">
        <v>431</v>
      </c>
      <c r="J69" s="20" t="s">
        <v>431</v>
      </c>
      <c r="K69" s="18" t="n">
        <v>2.38908978</v>
      </c>
      <c r="L69" s="20" t="n">
        <v>1.12978227</v>
      </c>
      <c r="M69" s="18" t="n">
        <v>0</v>
      </c>
      <c r="N69" s="20" t="n">
        <v>0</v>
      </c>
      <c r="O69" s="18" t="n">
        <v>0</v>
      </c>
      <c r="P69" s="20" t="n">
        <v>0</v>
      </c>
      <c r="Q69" s="18" t="n">
        <v>0.46520143</v>
      </c>
      <c r="R69" s="20" t="n">
        <v>0.33265906</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(1863.0/B74*100)</f>
        <v/>
      </c>
      <c r="D74" s="19" t="n">
        <v>376</v>
      </c>
      <c r="E74" s="18" t="n">
        <v>46.34237669</v>
      </c>
      <c r="F74" s="20" t="n">
        <v>3.22067366</v>
      </c>
      <c r="G74" s="18" t="n">
        <v>16.9569711</v>
      </c>
      <c r="H74" s="20" t="n">
        <v>1.77283734</v>
      </c>
      <c r="I74" s="18" t="s">
        <v>431</v>
      </c>
      <c r="J74" s="20" t="s">
        <v>431</v>
      </c>
      <c r="K74" s="18" t="n">
        <v>34.62463506</v>
      </c>
      <c r="L74" s="20" t="n">
        <v>3.08674289</v>
      </c>
      <c r="M74" s="18" t="n">
        <v>0</v>
      </c>
      <c r="N74" s="20" t="n">
        <v>0</v>
      </c>
      <c r="O74" s="18" t="n">
        <v>0</v>
      </c>
      <c r="P74" s="20" t="n">
        <v>0</v>
      </c>
      <c r="Q74" s="18" t="n">
        <v>2.07601715</v>
      </c>
      <c r="R74" s="20" t="n">
        <v>0.90359322</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(2314.0/B78*100)</f>
        <v/>
      </c>
      <c r="D78" s="19" t="n">
        <v>472</v>
      </c>
      <c r="E78" s="18" t="n">
        <v>87.10784417000001</v>
      </c>
      <c r="F78" s="20" t="n">
        <v>1.53632347</v>
      </c>
      <c r="G78" s="18" t="n">
        <v>9.434311920000001</v>
      </c>
      <c r="H78" s="20" t="n">
        <v>1.33438585</v>
      </c>
      <c r="I78" s="18" t="s">
        <v>431</v>
      </c>
      <c r="J78" s="20" t="s">
        <v>431</v>
      </c>
      <c r="K78" s="18" t="n">
        <v>3.45784391</v>
      </c>
      <c r="L78" s="20" t="n">
        <v>0.83103117</v>
      </c>
      <c r="M78" s="18" t="n">
        <v>0</v>
      </c>
      <c r="N78" s="20" t="n">
        <v>0</v>
      </c>
      <c r="O78" s="18" t="n">
        <v>0</v>
      </c>
      <c r="P78" s="20" t="n">
        <v>0</v>
      </c>
      <c r="Q78" s="18" t="n">
        <v>0</v>
      </c>
      <c r="R78" s="20" t="n">
        <v>0</v>
      </c>
    </row>
    <row customHeight="1" ht="25" r="79" spans="1:18">
      <c r="A79" s="15" t="s">
        <v>503</v>
      </c>
      <c r="B79" s="17" t="n">
        <v>787</v>
      </c>
      <c r="C79" s="18">
        <f>(664.0/B79*100)</f>
        <v/>
      </c>
      <c r="D79" s="19" t="n">
        <v>123</v>
      </c>
      <c r="E79" s="18" t="n">
        <v>63.8431442</v>
      </c>
      <c r="F79" s="20" t="n">
        <v>4.5793464</v>
      </c>
      <c r="G79" s="18" t="n">
        <v>18.91873208</v>
      </c>
      <c r="H79" s="20" t="n">
        <v>2.81610722</v>
      </c>
      <c r="I79" s="18" t="s">
        <v>431</v>
      </c>
      <c r="J79" s="20" t="s">
        <v>431</v>
      </c>
      <c r="K79" s="18" t="n">
        <v>16.32435395</v>
      </c>
      <c r="L79" s="20" t="n">
        <v>3.64186995</v>
      </c>
      <c r="M79" s="18" t="n">
        <v>0</v>
      </c>
      <c r="N79" s="20" t="n">
        <v>0</v>
      </c>
      <c r="O79" s="18" t="n">
        <v>0</v>
      </c>
      <c r="P79" s="20" t="n">
        <v>0</v>
      </c>
      <c r="Q79" s="18" t="n">
        <v>0.91376977</v>
      </c>
      <c r="R79" s="20" t="n">
        <v>0.90803331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655</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(2119.0/B44*100)</f>
        <v/>
      </c>
      <c r="D44" s="19" t="n">
        <v>405</v>
      </c>
      <c r="E44" s="18" t="n">
        <v>59.44799692</v>
      </c>
      <c r="F44" s="20" t="n">
        <v>2.90317282</v>
      </c>
      <c r="G44" s="18" t="n">
        <v>17.28848465</v>
      </c>
      <c r="H44" s="20" t="n">
        <v>2.32428776</v>
      </c>
      <c r="I44" s="18" t="n">
        <v>1.24314722</v>
      </c>
      <c r="J44" s="20" t="n">
        <v>0.58973432</v>
      </c>
      <c r="K44" s="18" t="s">
        <v>431</v>
      </c>
      <c r="L44" s="20" t="s">
        <v>431</v>
      </c>
      <c r="M44" s="18" t="n">
        <v>22.0203712</v>
      </c>
      <c r="N44" s="20" t="n">
        <v>2.71880723</v>
      </c>
      <c r="O44" s="18" t="n">
        <v>0</v>
      </c>
      <c r="P44" s="20" t="n">
        <v>0</v>
      </c>
      <c r="Q44" s="18" t="n">
        <v>0</v>
      </c>
      <c r="R44" s="20" t="n">
        <v>0</v>
      </c>
      <c r="S44" s="18" t="n">
        <v>0</v>
      </c>
      <c r="T44" s="20" t="n">
        <v>0</v>
      </c>
    </row>
    <row r="45" spans="1:20">
      <c r="A45" s="15" t="s">
        <v>469</v>
      </c>
      <c r="B45" s="17" t="n">
        <v>2849</v>
      </c>
      <c r="C45" s="18">
        <f>(2360.0/B45*100)</f>
        <v/>
      </c>
      <c r="D45" s="19" t="n">
        <v>489</v>
      </c>
      <c r="E45" s="18" t="n">
        <v>67.65091835</v>
      </c>
      <c r="F45" s="20" t="n">
        <v>1.59718988</v>
      </c>
      <c r="G45" s="18" t="n">
        <v>1.81694359</v>
      </c>
      <c r="H45" s="20" t="n">
        <v>0.59420038</v>
      </c>
      <c r="I45" s="18" t="n">
        <v>0.80820948</v>
      </c>
      <c r="J45" s="20" t="n">
        <v>0.40941534</v>
      </c>
      <c r="K45" s="18" t="s">
        <v>431</v>
      </c>
      <c r="L45" s="20" t="s">
        <v>431</v>
      </c>
      <c r="M45" s="18" t="n">
        <v>29.24971417</v>
      </c>
      <c r="N45" s="20" t="n">
        <v>1.70931637</v>
      </c>
      <c r="O45" s="18" t="n">
        <v>0.47421442</v>
      </c>
      <c r="P45" s="20" t="n">
        <v>0.28823398</v>
      </c>
      <c r="Q45" s="18" t="n">
        <v>0</v>
      </c>
      <c r="R45" s="20" t="n">
        <v>0</v>
      </c>
      <c r="S45" s="18" t="n">
        <v>0</v>
      </c>
      <c r="T45" s="20" t="n">
        <v>0</v>
      </c>
    </row>
    <row r="46" spans="1:20">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3018</v>
      </c>
      <c r="C49" s="18">
        <f>(2522.0/B49*100)</f>
        <v/>
      </c>
      <c r="D49" s="19" t="n">
        <v>496</v>
      </c>
      <c r="E49" s="18" t="n">
        <v>67.10737733000001</v>
      </c>
      <c r="F49" s="20" t="n">
        <v>2.32988101</v>
      </c>
      <c r="G49" s="18" t="n">
        <v>15.3659415</v>
      </c>
      <c r="H49" s="20" t="n">
        <v>1.80526426</v>
      </c>
      <c r="I49" s="18" t="n">
        <v>1.07383463</v>
      </c>
      <c r="J49" s="20" t="n">
        <v>0.470557</v>
      </c>
      <c r="K49" s="18" t="s">
        <v>431</v>
      </c>
      <c r="L49" s="20" t="s">
        <v>431</v>
      </c>
      <c r="M49" s="18" t="n">
        <v>16.45284654</v>
      </c>
      <c r="N49" s="20" t="n">
        <v>2.06591337</v>
      </c>
      <c r="O49" s="18" t="n">
        <v>0</v>
      </c>
      <c r="P49" s="20" t="n">
        <v>0</v>
      </c>
      <c r="Q49" s="18" t="n">
        <v>0</v>
      </c>
      <c r="R49" s="20" t="n">
        <v>0</v>
      </c>
      <c r="S49" s="18" t="n">
        <v>0</v>
      </c>
      <c r="T49" s="20" t="n">
        <v>0</v>
      </c>
    </row>
    <row r="50" spans="1:20">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2759</v>
      </c>
      <c r="C55" s="18">
        <f>(2284.0/B55*100)</f>
        <v/>
      </c>
      <c r="D55" s="19" t="n">
        <v>475</v>
      </c>
      <c r="E55" s="18" t="n">
        <v>53.49125478</v>
      </c>
      <c r="F55" s="20" t="n">
        <v>2.42029316</v>
      </c>
      <c r="G55" s="18" t="n">
        <v>10.76377854</v>
      </c>
      <c r="H55" s="20" t="n">
        <v>1.4105053</v>
      </c>
      <c r="I55" s="18" t="n">
        <v>1.41638578</v>
      </c>
      <c r="J55" s="20" t="n">
        <v>0.56037136</v>
      </c>
      <c r="K55" s="18" t="s">
        <v>431</v>
      </c>
      <c r="L55" s="20" t="s">
        <v>431</v>
      </c>
      <c r="M55" s="18" t="n">
        <v>34.32858089</v>
      </c>
      <c r="N55" s="20" t="n">
        <v>2.32786801</v>
      </c>
      <c r="O55" s="18" t="n">
        <v>0</v>
      </c>
      <c r="P55" s="20" t="n">
        <v>0</v>
      </c>
      <c r="Q55" s="18" t="n">
        <v>0</v>
      </c>
      <c r="R55" s="20" t="n">
        <v>0</v>
      </c>
      <c r="S55" s="18" t="n">
        <v>0</v>
      </c>
      <c r="T55" s="20" t="n">
        <v>0</v>
      </c>
    </row>
    <row r="56" spans="1:20">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3170</v>
      </c>
      <c r="C57" s="18">
        <f>(2635.0/B57*100)</f>
        <v/>
      </c>
      <c r="D57" s="19" t="n">
        <v>535</v>
      </c>
      <c r="E57" s="18" t="n">
        <v>74.10331557000001</v>
      </c>
      <c r="F57" s="20" t="n">
        <v>1.46472713</v>
      </c>
      <c r="G57" s="18" t="n">
        <v>8.441847640000001</v>
      </c>
      <c r="H57" s="20" t="n">
        <v>1.14467276</v>
      </c>
      <c r="I57" s="18" t="n">
        <v>5.76913264</v>
      </c>
      <c r="J57" s="20" t="n">
        <v>1.10170956</v>
      </c>
      <c r="K57" s="18" t="s">
        <v>431</v>
      </c>
      <c r="L57" s="20" t="s">
        <v>431</v>
      </c>
      <c r="M57" s="18" t="n">
        <v>11.68570415</v>
      </c>
      <c r="N57" s="20" t="n">
        <v>1.35918961</v>
      </c>
      <c r="O57" s="18" t="n">
        <v>0</v>
      </c>
      <c r="P57" s="20" t="n">
        <v>0</v>
      </c>
      <c r="Q57" s="18" t="n">
        <v>0</v>
      </c>
      <c r="R57" s="20" t="n">
        <v>0</v>
      </c>
      <c r="S57" s="18" t="n">
        <v>0</v>
      </c>
      <c r="T57" s="20" t="n">
        <v>0</v>
      </c>
    </row>
    <row r="58" spans="1:20">
      <c r="A58" s="15" t="s">
        <v>482</v>
      </c>
      <c r="B58" s="17" t="n">
        <v>3530</v>
      </c>
      <c r="C58" s="18">
        <f>(2937.0/B58*100)</f>
        <v/>
      </c>
      <c r="D58" s="19" t="n">
        <v>593</v>
      </c>
      <c r="E58" s="18" t="n">
        <v>53.43979499</v>
      </c>
      <c r="F58" s="20" t="n">
        <v>2.50016405</v>
      </c>
      <c r="G58" s="18" t="n">
        <v>13.01846502</v>
      </c>
      <c r="H58" s="20" t="n">
        <v>1.60166735</v>
      </c>
      <c r="I58" s="18" t="n">
        <v>7.82053515</v>
      </c>
      <c r="J58" s="20" t="n">
        <v>1.1055148</v>
      </c>
      <c r="K58" s="18" t="s">
        <v>431</v>
      </c>
      <c r="L58" s="20" t="s">
        <v>431</v>
      </c>
      <c r="M58" s="18" t="n">
        <v>25.72120484</v>
      </c>
      <c r="N58" s="20" t="n">
        <v>2.13298792</v>
      </c>
      <c r="O58" s="18" t="n">
        <v>0</v>
      </c>
      <c r="P58" s="20" t="n">
        <v>0</v>
      </c>
      <c r="Q58" s="18" t="n">
        <v>0</v>
      </c>
      <c r="R58" s="20" t="n">
        <v>0</v>
      </c>
      <c r="S58" s="18" t="n">
        <v>0</v>
      </c>
      <c r="T58" s="20" t="n">
        <v>0</v>
      </c>
    </row>
    <row r="59" spans="1:20">
      <c r="A59" s="15" t="s">
        <v>483</v>
      </c>
      <c r="B59" s="17" t="n">
        <v>2548</v>
      </c>
      <c r="C59" s="18">
        <f>(2129.0/B59*100)</f>
        <v/>
      </c>
      <c r="D59" s="19" t="n">
        <v>419</v>
      </c>
      <c r="E59" s="18" t="n">
        <v>76.11434609</v>
      </c>
      <c r="F59" s="20" t="n">
        <v>2.29526882</v>
      </c>
      <c r="G59" s="18" t="n">
        <v>7.89980683</v>
      </c>
      <c r="H59" s="20" t="n">
        <v>1.74216892</v>
      </c>
      <c r="I59" s="18" t="n">
        <v>1.40505737</v>
      </c>
      <c r="J59" s="20" t="n">
        <v>0.9620154400000001</v>
      </c>
      <c r="K59" s="18" t="s">
        <v>431</v>
      </c>
      <c r="L59" s="20" t="s">
        <v>431</v>
      </c>
      <c r="M59" s="18" t="n">
        <v>14.58078971</v>
      </c>
      <c r="N59" s="20" t="n">
        <v>1.85841518</v>
      </c>
      <c r="O59" s="18" t="n">
        <v>0</v>
      </c>
      <c r="P59" s="20" t="n">
        <v>0</v>
      </c>
      <c r="Q59" s="18" t="n">
        <v>0</v>
      </c>
      <c r="R59" s="20" t="n">
        <v>0</v>
      </c>
      <c r="S59" s="18" t="n">
        <v>0</v>
      </c>
      <c r="T59" s="20" t="n">
        <v>0</v>
      </c>
    </row>
    <row r="60" spans="1:20">
      <c r="A60" s="15" t="s">
        <v>484</v>
      </c>
      <c r="B60" s="17" t="n">
        <v>2095</v>
      </c>
      <c r="C60" s="18">
        <f>(1736.0/B60*100)</f>
        <v/>
      </c>
      <c r="D60" s="19" t="n">
        <v>359</v>
      </c>
      <c r="E60" s="18" t="n">
        <v>49.32273523</v>
      </c>
      <c r="F60" s="20" t="n">
        <v>3.477585</v>
      </c>
      <c r="G60" s="18" t="n">
        <v>17.92767971</v>
      </c>
      <c r="H60" s="20" t="n">
        <v>2.59575601</v>
      </c>
      <c r="I60" s="18" t="n">
        <v>3.80112545</v>
      </c>
      <c r="J60" s="20" t="n">
        <v>1.13192802</v>
      </c>
      <c r="K60" s="18" t="s">
        <v>431</v>
      </c>
      <c r="L60" s="20" t="s">
        <v>431</v>
      </c>
      <c r="M60" s="18" t="n">
        <v>28.9484596</v>
      </c>
      <c r="N60" s="20" t="n">
        <v>3.35471944</v>
      </c>
      <c r="O60" s="18" t="n">
        <v>0</v>
      </c>
      <c r="P60" s="20" t="n">
        <v>0</v>
      </c>
      <c r="Q60" s="18" t="n">
        <v>0</v>
      </c>
      <c r="R60" s="20" t="n">
        <v>0</v>
      </c>
      <c r="S60" s="18" t="n">
        <v>0</v>
      </c>
      <c r="T60" s="20" t="n">
        <v>0</v>
      </c>
    </row>
    <row r="61" spans="1:20">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2813</v>
      </c>
      <c r="C63" s="18">
        <f>(2344.0/B63*100)</f>
        <v/>
      </c>
      <c r="D63" s="19" t="n">
        <v>469</v>
      </c>
      <c r="E63" s="18" t="n">
        <v>53.05690704</v>
      </c>
      <c r="F63" s="20" t="n">
        <v>2.33896289</v>
      </c>
      <c r="G63" s="18" t="n">
        <v>9.344115840000001</v>
      </c>
      <c r="H63" s="20" t="n">
        <v>1.5697384</v>
      </c>
      <c r="I63" s="18" t="n">
        <v>0.82634672</v>
      </c>
      <c r="J63" s="20" t="n">
        <v>0.47068492</v>
      </c>
      <c r="K63" s="18" t="s">
        <v>431</v>
      </c>
      <c r="L63" s="20" t="s">
        <v>431</v>
      </c>
      <c r="M63" s="18" t="n">
        <v>36.77263041</v>
      </c>
      <c r="N63" s="20" t="n">
        <v>2.28623641</v>
      </c>
      <c r="O63" s="18" t="n">
        <v>0</v>
      </c>
      <c r="P63" s="20" t="n">
        <v>0</v>
      </c>
      <c r="Q63" s="18" t="n">
        <v>0</v>
      </c>
      <c r="R63" s="20" t="n">
        <v>0</v>
      </c>
      <c r="S63" s="18" t="n">
        <v>0</v>
      </c>
      <c r="T63" s="20" t="n">
        <v>0</v>
      </c>
    </row>
    <row r="64" spans="1:20">
      <c r="A64" s="15" t="s">
        <v>488</v>
      </c>
      <c r="B64" s="17" t="n">
        <v>1844</v>
      </c>
      <c r="C64" s="18">
        <f>(1545.0/B64*100)</f>
        <v/>
      </c>
      <c r="D64" s="19" t="n">
        <v>299</v>
      </c>
      <c r="E64" s="18" t="n">
        <v>55.5346321</v>
      </c>
      <c r="F64" s="20" t="n">
        <v>2.82113666</v>
      </c>
      <c r="G64" s="18" t="n">
        <v>17.32447331</v>
      </c>
      <c r="H64" s="20" t="n">
        <v>2.04758039</v>
      </c>
      <c r="I64" s="18" t="n">
        <v>2.63244074</v>
      </c>
      <c r="J64" s="20" t="n">
        <v>0.77788976</v>
      </c>
      <c r="K64" s="18" t="s">
        <v>431</v>
      </c>
      <c r="L64" s="20" t="s">
        <v>431</v>
      </c>
      <c r="M64" s="18" t="n">
        <v>24.50845385</v>
      </c>
      <c r="N64" s="20" t="n">
        <v>2.56232185</v>
      </c>
      <c r="O64" s="18" t="n">
        <v>0</v>
      </c>
      <c r="P64" s="20" t="n">
        <v>0</v>
      </c>
      <c r="Q64" s="18" t="n">
        <v>0</v>
      </c>
      <c r="R64" s="20" t="n">
        <v>0</v>
      </c>
      <c r="S64" s="18" t="n">
        <v>0</v>
      </c>
      <c r="T64" s="20" t="n">
        <v>0</v>
      </c>
    </row>
    <row r="65" spans="1:20">
      <c r="A65" s="15" t="s">
        <v>489</v>
      </c>
      <c r="B65" s="17" t="n">
        <v>2691</v>
      </c>
      <c r="C65" s="18">
        <f>(2249.0/B65*100)</f>
        <v/>
      </c>
      <c r="D65" s="19" t="n">
        <v>442</v>
      </c>
      <c r="E65" s="18" t="n">
        <v>51.28474452</v>
      </c>
      <c r="F65" s="20" t="n">
        <v>1.97722795</v>
      </c>
      <c r="G65" s="18" t="n">
        <v>15.18430805</v>
      </c>
      <c r="H65" s="20" t="n">
        <v>1.96523274</v>
      </c>
      <c r="I65" s="18" t="n">
        <v>0.65089508</v>
      </c>
      <c r="J65" s="20" t="n">
        <v>0.37409642</v>
      </c>
      <c r="K65" s="18" t="s">
        <v>431</v>
      </c>
      <c r="L65" s="20" t="s">
        <v>431</v>
      </c>
      <c r="M65" s="18" t="n">
        <v>32.88005235</v>
      </c>
      <c r="N65" s="20" t="n">
        <v>2.02836104</v>
      </c>
      <c r="O65" s="18" t="n">
        <v>0</v>
      </c>
      <c r="P65" s="20" t="n">
        <v>0</v>
      </c>
      <c r="Q65" s="18" t="n">
        <v>0</v>
      </c>
      <c r="R65" s="20" t="n">
        <v>0</v>
      </c>
      <c r="S65" s="18" t="n">
        <v>0</v>
      </c>
      <c r="T65" s="20" t="n">
        <v>0</v>
      </c>
    </row>
    <row r="66" spans="1:20">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2410</v>
      </c>
      <c r="C69" s="18">
        <f>(2017.0/B69*100)</f>
        <v/>
      </c>
      <c r="D69" s="19" t="n">
        <v>393</v>
      </c>
      <c r="E69" s="18" t="n">
        <v>74.36809099</v>
      </c>
      <c r="F69" s="20" t="n">
        <v>2.31612241</v>
      </c>
      <c r="G69" s="18" t="n">
        <v>20.37768383</v>
      </c>
      <c r="H69" s="20" t="n">
        <v>2.21382436</v>
      </c>
      <c r="I69" s="18" t="n">
        <v>2.17807932</v>
      </c>
      <c r="J69" s="20" t="n">
        <v>0.80064343</v>
      </c>
      <c r="K69" s="18" t="s">
        <v>431</v>
      </c>
      <c r="L69" s="20" t="s">
        <v>431</v>
      </c>
      <c r="M69" s="18" t="n">
        <v>3.07614586</v>
      </c>
      <c r="N69" s="20" t="n">
        <v>1.20193549</v>
      </c>
      <c r="O69" s="18" t="n">
        <v>0</v>
      </c>
      <c r="P69" s="20" t="n">
        <v>0</v>
      </c>
      <c r="Q69" s="18" t="n">
        <v>0</v>
      </c>
      <c r="R69" s="20" t="n">
        <v>0</v>
      </c>
      <c r="S69" s="18" t="n">
        <v>0</v>
      </c>
      <c r="T69" s="20" t="n">
        <v>0</v>
      </c>
    </row>
    <row r="70" spans="1:20">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2239</v>
      </c>
      <c r="C74" s="18">
        <f>(1863.0/B74*100)</f>
        <v/>
      </c>
      <c r="D74" s="19" t="n">
        <v>376</v>
      </c>
      <c r="E74" s="18" t="n">
        <v>53.09263715</v>
      </c>
      <c r="F74" s="20" t="n">
        <v>3.02688078</v>
      </c>
      <c r="G74" s="18" t="n">
        <v>9.206947120000001</v>
      </c>
      <c r="H74" s="20" t="n">
        <v>1.4542083</v>
      </c>
      <c r="I74" s="18" t="n">
        <v>0.71765439</v>
      </c>
      <c r="J74" s="20" t="n">
        <v>0.42440597</v>
      </c>
      <c r="K74" s="18" t="s">
        <v>431</v>
      </c>
      <c r="L74" s="20" t="s">
        <v>431</v>
      </c>
      <c r="M74" s="18" t="n">
        <v>36.98276134</v>
      </c>
      <c r="N74" s="20" t="n">
        <v>2.90640985</v>
      </c>
      <c r="O74" s="18" t="n">
        <v>0</v>
      </c>
      <c r="P74" s="20" t="n">
        <v>0</v>
      </c>
      <c r="Q74" s="18" t="n">
        <v>0</v>
      </c>
      <c r="R74" s="20" t="n">
        <v>0</v>
      </c>
      <c r="S74" s="18" t="n">
        <v>0</v>
      </c>
      <c r="T74" s="20" t="n">
        <v>0</v>
      </c>
    </row>
    <row r="75" spans="1:20">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2786</v>
      </c>
      <c r="C78" s="18">
        <f>(2314.0/B78*100)</f>
        <v/>
      </c>
      <c r="D78" s="19" t="n">
        <v>472</v>
      </c>
      <c r="E78" s="18" t="n">
        <v>76.2030857</v>
      </c>
      <c r="F78" s="20" t="n">
        <v>2.07922057</v>
      </c>
      <c r="G78" s="18" t="n">
        <v>18.06829737</v>
      </c>
      <c r="H78" s="20" t="n">
        <v>1.78320816</v>
      </c>
      <c r="I78" s="18" t="n">
        <v>2.00548435</v>
      </c>
      <c r="J78" s="20" t="n">
        <v>0.6620594400000001</v>
      </c>
      <c r="K78" s="18" t="s">
        <v>431</v>
      </c>
      <c r="L78" s="20" t="s">
        <v>431</v>
      </c>
      <c r="M78" s="18" t="n">
        <v>3.72313259</v>
      </c>
      <c r="N78" s="20" t="n">
        <v>0.85345838</v>
      </c>
      <c r="O78" s="18" t="n">
        <v>0</v>
      </c>
      <c r="P78" s="20" t="n">
        <v>0</v>
      </c>
      <c r="Q78" s="18" t="n">
        <v>0</v>
      </c>
      <c r="R78" s="20" t="n">
        <v>0</v>
      </c>
      <c r="S78" s="18" t="n">
        <v>0</v>
      </c>
      <c r="T78" s="20" t="n">
        <v>0</v>
      </c>
    </row>
    <row customHeight="1" ht="25" r="79" spans="1:20">
      <c r="A79" s="15" t="s">
        <v>503</v>
      </c>
      <c r="B79" s="17" t="n">
        <v>787</v>
      </c>
      <c r="C79" s="18">
        <f>(664.0/B79*100)</f>
        <v/>
      </c>
      <c r="D79" s="19" t="n">
        <v>123</v>
      </c>
      <c r="E79" s="18" t="n">
        <v>53.26309925</v>
      </c>
      <c r="F79" s="20" t="n">
        <v>6.10654262</v>
      </c>
      <c r="G79" s="18" t="n">
        <v>23.67639762</v>
      </c>
      <c r="H79" s="20" t="n">
        <v>5.0045917</v>
      </c>
      <c r="I79" s="18" t="n">
        <v>2.67905878</v>
      </c>
      <c r="J79" s="20" t="n">
        <v>1.48746019</v>
      </c>
      <c r="K79" s="18" t="s">
        <v>431</v>
      </c>
      <c r="L79" s="20" t="s">
        <v>431</v>
      </c>
      <c r="M79" s="18" t="n">
        <v>20.38144435</v>
      </c>
      <c r="N79" s="20" t="n">
        <v>3.9339164</v>
      </c>
      <c r="O79" s="18" t="n">
        <v>0</v>
      </c>
      <c r="P79" s="20" t="n">
        <v>0</v>
      </c>
      <c r="Q79" s="18" t="n">
        <v>0</v>
      </c>
      <c r="R79" s="20" t="n">
        <v>0</v>
      </c>
      <c r="S79" s="18" t="n">
        <v>0</v>
      </c>
      <c r="T79" s="20" t="n">
        <v>0</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27.17481155</v>
      </c>
      <c r="F44" s="20" t="n">
        <v>2.49902606</v>
      </c>
      <c r="G44" s="18" t="n">
        <v>54.60549601</v>
      </c>
      <c r="H44" s="20" t="n">
        <v>2.76862149</v>
      </c>
      <c r="I44" s="18" t="s">
        <v>431</v>
      </c>
      <c r="J44" s="20" t="s">
        <v>431</v>
      </c>
      <c r="K44" s="18" t="n">
        <v>3.82065171</v>
      </c>
      <c r="L44" s="20" t="n">
        <v>1.18457118</v>
      </c>
      <c r="M44" s="18" t="n">
        <v>0</v>
      </c>
      <c r="N44" s="20" t="n">
        <v>0</v>
      </c>
      <c r="O44" s="18" t="n">
        <v>0</v>
      </c>
      <c r="P44" s="20" t="n">
        <v>0</v>
      </c>
      <c r="Q44" s="18" t="n">
        <v>14.39904073</v>
      </c>
      <c r="R44" s="20" t="n">
        <v>2.3270803</v>
      </c>
    </row>
    <row r="45" spans="1:18">
      <c r="A45" s="15" t="s">
        <v>469</v>
      </c>
      <c r="B45" s="17" t="n">
        <v>2849</v>
      </c>
      <c r="C45" s="18">
        <f>(2373.0/B45*100)</f>
        <v/>
      </c>
      <c r="D45" s="19" t="n">
        <v>476</v>
      </c>
      <c r="E45" s="18" t="n">
        <v>42.71711739</v>
      </c>
      <c r="F45" s="20" t="n">
        <v>2.70433913</v>
      </c>
      <c r="G45" s="18" t="n">
        <v>37.62673932</v>
      </c>
      <c r="H45" s="20" t="n">
        <v>2.20015473</v>
      </c>
      <c r="I45" s="18" t="s">
        <v>431</v>
      </c>
      <c r="J45" s="20" t="s">
        <v>431</v>
      </c>
      <c r="K45" s="18" t="n">
        <v>5.50012803</v>
      </c>
      <c r="L45" s="20" t="n">
        <v>1.17579349</v>
      </c>
      <c r="M45" s="18" t="n">
        <v>1.16378875</v>
      </c>
      <c r="N45" s="20" t="n">
        <v>0.50485693</v>
      </c>
      <c r="O45" s="18" t="n">
        <v>0.25063438</v>
      </c>
      <c r="P45" s="20" t="n">
        <v>0.23723454</v>
      </c>
      <c r="Q45" s="18" t="n">
        <v>12.74159213</v>
      </c>
      <c r="R45" s="20" t="n">
        <v>1.83960929</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28.00497759</v>
      </c>
      <c r="F49" s="20" t="n">
        <v>2.57135288</v>
      </c>
      <c r="G49" s="18" t="n">
        <v>62.13940614</v>
      </c>
      <c r="H49" s="20" t="n">
        <v>2.61807508</v>
      </c>
      <c r="I49" s="18" t="s">
        <v>431</v>
      </c>
      <c r="J49" s="20" t="s">
        <v>431</v>
      </c>
      <c r="K49" s="18" t="n">
        <v>1.05187415</v>
      </c>
      <c r="L49" s="20" t="n">
        <v>0.4602418</v>
      </c>
      <c r="M49" s="18" t="n">
        <v>1.2750435</v>
      </c>
      <c r="N49" s="20" t="n">
        <v>0.40820226</v>
      </c>
      <c r="O49" s="18" t="n">
        <v>0</v>
      </c>
      <c r="P49" s="20" t="n">
        <v>0</v>
      </c>
      <c r="Q49" s="18" t="n">
        <v>7.52869862</v>
      </c>
      <c r="R49" s="20" t="n">
        <v>1.3416718</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23.66297101</v>
      </c>
      <c r="F55" s="20" t="n">
        <v>1.85847964</v>
      </c>
      <c r="G55" s="18" t="n">
        <v>55.67682669</v>
      </c>
      <c r="H55" s="20" t="n">
        <v>2.20662269</v>
      </c>
      <c r="I55" s="18" t="s">
        <v>431</v>
      </c>
      <c r="J55" s="20" t="s">
        <v>431</v>
      </c>
      <c r="K55" s="18" t="n">
        <v>1.43566085</v>
      </c>
      <c r="L55" s="20" t="n">
        <v>0.60753718</v>
      </c>
      <c r="M55" s="18" t="n">
        <v>0.39942022</v>
      </c>
      <c r="N55" s="20" t="n">
        <v>0.2796174</v>
      </c>
      <c r="O55" s="18" t="n">
        <v>0.59965359</v>
      </c>
      <c r="P55" s="20" t="n">
        <v>0.34210975</v>
      </c>
      <c r="Q55" s="18" t="n">
        <v>18.22546765</v>
      </c>
      <c r="R55" s="20" t="n">
        <v>1.95697246</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45.61729383</v>
      </c>
      <c r="F57" s="20" t="n">
        <v>2.50193414</v>
      </c>
      <c r="G57" s="18" t="n">
        <v>51.57369753</v>
      </c>
      <c r="H57" s="20" t="n">
        <v>2.6507071</v>
      </c>
      <c r="I57" s="18" t="s">
        <v>431</v>
      </c>
      <c r="J57" s="20" t="s">
        <v>431</v>
      </c>
      <c r="K57" s="18" t="n">
        <v>0.58313894</v>
      </c>
      <c r="L57" s="20" t="n">
        <v>0.41395334</v>
      </c>
      <c r="M57" s="18" t="n">
        <v>0.1882701</v>
      </c>
      <c r="N57" s="20" t="n">
        <v>0.17982012</v>
      </c>
      <c r="O57" s="18" t="n">
        <v>0</v>
      </c>
      <c r="P57" s="20" t="n">
        <v>0</v>
      </c>
      <c r="Q57" s="18" t="n">
        <v>2.03759959</v>
      </c>
      <c r="R57" s="20" t="n">
        <v>0.67303617</v>
      </c>
    </row>
    <row r="58" spans="1:18">
      <c r="A58" s="15" t="s">
        <v>482</v>
      </c>
      <c r="B58" s="17" t="n">
        <v>3530</v>
      </c>
      <c r="C58" s="18">
        <f>(2946.0/B58*100)</f>
        <v/>
      </c>
      <c r="D58" s="19" t="n">
        <v>584</v>
      </c>
      <c r="E58" s="18" t="n">
        <v>41.98454334</v>
      </c>
      <c r="F58" s="20" t="n">
        <v>2.23076285</v>
      </c>
      <c r="G58" s="18" t="n">
        <v>41.87988186</v>
      </c>
      <c r="H58" s="20" t="n">
        <v>2.47240067</v>
      </c>
      <c r="I58" s="18" t="s">
        <v>431</v>
      </c>
      <c r="J58" s="20" t="s">
        <v>431</v>
      </c>
      <c r="K58" s="18" t="n">
        <v>3.19676193</v>
      </c>
      <c r="L58" s="20" t="n">
        <v>1.05232931</v>
      </c>
      <c r="M58" s="18" t="n">
        <v>0</v>
      </c>
      <c r="N58" s="20" t="n">
        <v>0</v>
      </c>
      <c r="O58" s="18" t="n">
        <v>0</v>
      </c>
      <c r="P58" s="20" t="n">
        <v>0</v>
      </c>
      <c r="Q58" s="18" t="n">
        <v>12.93881288</v>
      </c>
      <c r="R58" s="20" t="n">
        <v>1.4781443</v>
      </c>
    </row>
    <row r="59" spans="1:18">
      <c r="A59" s="15" t="s">
        <v>483</v>
      </c>
      <c r="B59" s="17" t="n">
        <v>2548</v>
      </c>
      <c r="C59" s="18">
        <f>(2126.0/B59*100)</f>
        <v/>
      </c>
      <c r="D59" s="19" t="n">
        <v>422</v>
      </c>
      <c r="E59" s="18" t="n">
        <v>43.91889567</v>
      </c>
      <c r="F59" s="20" t="n">
        <v>2.71007988</v>
      </c>
      <c r="G59" s="18" t="n">
        <v>44.37739621</v>
      </c>
      <c r="H59" s="20" t="n">
        <v>3.07674858</v>
      </c>
      <c r="I59" s="18" t="s">
        <v>431</v>
      </c>
      <c r="J59" s="20" t="s">
        <v>431</v>
      </c>
      <c r="K59" s="18" t="n">
        <v>0.51608263</v>
      </c>
      <c r="L59" s="20" t="n">
        <v>0.35466137</v>
      </c>
      <c r="M59" s="18" t="n">
        <v>0</v>
      </c>
      <c r="N59" s="20" t="n">
        <v>0</v>
      </c>
      <c r="O59" s="18" t="n">
        <v>0</v>
      </c>
      <c r="P59" s="20" t="n">
        <v>0</v>
      </c>
      <c r="Q59" s="18" t="n">
        <v>11.18762549</v>
      </c>
      <c r="R59" s="20" t="n">
        <v>1.63921322</v>
      </c>
    </row>
    <row r="60" spans="1:18">
      <c r="A60" s="15" t="s">
        <v>484</v>
      </c>
      <c r="B60" s="17" t="n">
        <v>2095</v>
      </c>
      <c r="C60" s="18">
        <f>(1762.0/B60*100)</f>
        <v/>
      </c>
      <c r="D60" s="19" t="n">
        <v>333</v>
      </c>
      <c r="E60" s="18" t="n">
        <v>36.11473443</v>
      </c>
      <c r="F60" s="20" t="n">
        <v>3.27950167</v>
      </c>
      <c r="G60" s="18" t="n">
        <v>42.54956815</v>
      </c>
      <c r="H60" s="20" t="n">
        <v>3.22890688</v>
      </c>
      <c r="I60" s="18" t="s">
        <v>431</v>
      </c>
      <c r="J60" s="20" t="s">
        <v>431</v>
      </c>
      <c r="K60" s="18" t="n">
        <v>2.12405434</v>
      </c>
      <c r="L60" s="20" t="n">
        <v>0.78762401</v>
      </c>
      <c r="M60" s="18" t="n">
        <v>0</v>
      </c>
      <c r="N60" s="20" t="n">
        <v>0</v>
      </c>
      <c r="O60" s="18" t="n">
        <v>0</v>
      </c>
      <c r="P60" s="20" t="n">
        <v>0</v>
      </c>
      <c r="Q60" s="18" t="n">
        <v>19.21164308</v>
      </c>
      <c r="R60" s="20" t="n">
        <v>3.48662095</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27.41529057</v>
      </c>
      <c r="F63" s="20" t="n">
        <v>2.40456965</v>
      </c>
      <c r="G63" s="18" t="n">
        <v>43.91090167</v>
      </c>
      <c r="H63" s="20" t="n">
        <v>2.54740751</v>
      </c>
      <c r="I63" s="18" t="s">
        <v>431</v>
      </c>
      <c r="J63" s="20" t="s">
        <v>431</v>
      </c>
      <c r="K63" s="18" t="n">
        <v>1.95872739</v>
      </c>
      <c r="L63" s="20" t="n">
        <v>0.58726144</v>
      </c>
      <c r="M63" s="18" t="n">
        <v>0</v>
      </c>
      <c r="N63" s="20" t="n">
        <v>0</v>
      </c>
      <c r="O63" s="18" t="n">
        <v>0</v>
      </c>
      <c r="P63" s="20" t="n">
        <v>0</v>
      </c>
      <c r="Q63" s="18" t="n">
        <v>26.71508037</v>
      </c>
      <c r="R63" s="20" t="n">
        <v>2.36972829</v>
      </c>
    </row>
    <row r="64" spans="1:18">
      <c r="A64" s="15" t="s">
        <v>488</v>
      </c>
      <c r="B64" s="17" t="n">
        <v>1844</v>
      </c>
      <c r="C64" s="18">
        <f>(1541.0/B64*100)</f>
        <v/>
      </c>
      <c r="D64" s="19" t="n">
        <v>303</v>
      </c>
      <c r="E64" s="18" t="n">
        <v>29.63306304</v>
      </c>
      <c r="F64" s="20" t="n">
        <v>2.87395754</v>
      </c>
      <c r="G64" s="18" t="n">
        <v>57.13081839</v>
      </c>
      <c r="H64" s="20" t="n">
        <v>2.98755666</v>
      </c>
      <c r="I64" s="18" t="s">
        <v>431</v>
      </c>
      <c r="J64" s="20" t="s">
        <v>431</v>
      </c>
      <c r="K64" s="18" t="n">
        <v>3.49807541</v>
      </c>
      <c r="L64" s="20" t="n">
        <v>1.20210589</v>
      </c>
      <c r="M64" s="18" t="n">
        <v>0.32308954</v>
      </c>
      <c r="N64" s="20" t="n">
        <v>0.32543764</v>
      </c>
      <c r="O64" s="18" t="n">
        <v>0</v>
      </c>
      <c r="P64" s="20" t="n">
        <v>0</v>
      </c>
      <c r="Q64" s="18" t="n">
        <v>9.41495362</v>
      </c>
      <c r="R64" s="20" t="n">
        <v>1.86057127</v>
      </c>
    </row>
    <row r="65" spans="1:18">
      <c r="A65" s="15" t="s">
        <v>489</v>
      </c>
      <c r="B65" s="17" t="n">
        <v>2691</v>
      </c>
      <c r="C65" s="18">
        <f>(2260.0/B65*100)</f>
        <v/>
      </c>
      <c r="D65" s="19" t="n">
        <v>431</v>
      </c>
      <c r="E65" s="18" t="n">
        <v>28.87524746</v>
      </c>
      <c r="F65" s="20" t="n">
        <v>2.60585472</v>
      </c>
      <c r="G65" s="18" t="n">
        <v>54.30789782</v>
      </c>
      <c r="H65" s="20" t="n">
        <v>2.7585592</v>
      </c>
      <c r="I65" s="18" t="s">
        <v>431</v>
      </c>
      <c r="J65" s="20" t="s">
        <v>431</v>
      </c>
      <c r="K65" s="18" t="n">
        <v>3.41867441</v>
      </c>
      <c r="L65" s="20" t="n">
        <v>0.91598469</v>
      </c>
      <c r="M65" s="18" t="n">
        <v>0</v>
      </c>
      <c r="N65" s="20" t="n">
        <v>0</v>
      </c>
      <c r="O65" s="18" t="n">
        <v>0</v>
      </c>
      <c r="P65" s="20" t="n">
        <v>0</v>
      </c>
      <c r="Q65" s="18" t="n">
        <v>13.39818032</v>
      </c>
      <c r="R65" s="20" t="n">
        <v>1.58247118</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26.40903445</v>
      </c>
      <c r="F69" s="20" t="n">
        <v>2.56575179</v>
      </c>
      <c r="G69" s="18" t="n">
        <v>72.9300387</v>
      </c>
      <c r="H69" s="20" t="n">
        <v>2.61820326</v>
      </c>
      <c r="I69" s="18" t="s">
        <v>431</v>
      </c>
      <c r="J69" s="20" t="s">
        <v>431</v>
      </c>
      <c r="K69" s="18" t="n">
        <v>0.23074144</v>
      </c>
      <c r="L69" s="20" t="n">
        <v>0.23180517</v>
      </c>
      <c r="M69" s="18" t="n">
        <v>0</v>
      </c>
      <c r="N69" s="20" t="n">
        <v>0</v>
      </c>
      <c r="O69" s="18" t="n">
        <v>0</v>
      </c>
      <c r="P69" s="20" t="n">
        <v>0</v>
      </c>
      <c r="Q69" s="18" t="n">
        <v>0.43018541</v>
      </c>
      <c r="R69" s="20" t="n">
        <v>0.30519499</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26.70726378</v>
      </c>
      <c r="F74" s="20" t="n">
        <v>2.23113733</v>
      </c>
      <c r="G74" s="18" t="n">
        <v>55.76082855</v>
      </c>
      <c r="H74" s="20" t="n">
        <v>2.85726304</v>
      </c>
      <c r="I74" s="18" t="s">
        <v>431</v>
      </c>
      <c r="J74" s="20" t="s">
        <v>431</v>
      </c>
      <c r="K74" s="18" t="n">
        <v>5.55262186</v>
      </c>
      <c r="L74" s="20" t="n">
        <v>1.62255026</v>
      </c>
      <c r="M74" s="18" t="n">
        <v>0</v>
      </c>
      <c r="N74" s="20" t="n">
        <v>0</v>
      </c>
      <c r="O74" s="18" t="n">
        <v>0</v>
      </c>
      <c r="P74" s="20" t="n">
        <v>0</v>
      </c>
      <c r="Q74" s="18" t="n">
        <v>11.97928581</v>
      </c>
      <c r="R74" s="20" t="n">
        <v>1.69471569</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25.25068156</v>
      </c>
      <c r="F78" s="20" t="n">
        <v>2.48723549</v>
      </c>
      <c r="G78" s="18" t="n">
        <v>74.61015270999999</v>
      </c>
      <c r="H78" s="20" t="n">
        <v>2.46378861</v>
      </c>
      <c r="I78" s="18" t="s">
        <v>431</v>
      </c>
      <c r="J78" s="20" t="s">
        <v>431</v>
      </c>
      <c r="K78" s="18" t="n">
        <v>0</v>
      </c>
      <c r="L78" s="20" t="n">
        <v>0</v>
      </c>
      <c r="M78" s="18" t="n">
        <v>0</v>
      </c>
      <c r="N78" s="20" t="n">
        <v>0</v>
      </c>
      <c r="O78" s="18" t="n">
        <v>0</v>
      </c>
      <c r="P78" s="20" t="n">
        <v>0</v>
      </c>
      <c r="Q78" s="18" t="n">
        <v>0.13916574</v>
      </c>
      <c r="R78" s="20" t="n">
        <v>0.14000963</v>
      </c>
    </row>
    <row customHeight="1" ht="25" r="79" spans="1:18">
      <c r="A79" s="15" t="s">
        <v>503</v>
      </c>
      <c r="B79" s="17" t="n">
        <v>787</v>
      </c>
      <c r="C79" s="18">
        <f>(658.0/B79*100)</f>
        <v/>
      </c>
      <c r="D79" s="19" t="n">
        <v>129</v>
      </c>
      <c r="E79" s="18" t="n">
        <v>20.06661372</v>
      </c>
      <c r="F79" s="20" t="n">
        <v>3.14536205</v>
      </c>
      <c r="G79" s="18" t="n">
        <v>71.81413737</v>
      </c>
      <c r="H79" s="20" t="n">
        <v>3.58365163</v>
      </c>
      <c r="I79" s="18" t="s">
        <v>431</v>
      </c>
      <c r="J79" s="20" t="s">
        <v>431</v>
      </c>
      <c r="K79" s="18" t="n">
        <v>3.88361371</v>
      </c>
      <c r="L79" s="20" t="n">
        <v>1.92712099</v>
      </c>
      <c r="M79" s="18" t="n">
        <v>0</v>
      </c>
      <c r="N79" s="20" t="n">
        <v>0</v>
      </c>
      <c r="O79" s="18" t="n">
        <v>0</v>
      </c>
      <c r="P79" s="20" t="n">
        <v>0</v>
      </c>
      <c r="Q79" s="18" t="n">
        <v>4.23563521</v>
      </c>
      <c r="R79" s="20" t="n">
        <v>1.11696262</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657</v>
      </c>
    </row>
    <row customHeight="1" ht="30" r="4" spans="1:20">
      <c r="A4" s="6" t="n"/>
      <c r="B4" s="7" t="s">
        <v>415</v>
      </c>
      <c r="C4" s="7" t="s">
        <v>416</v>
      </c>
      <c r="D4" s="8" t="s">
        <v>415</v>
      </c>
      <c r="E4" s="9" t="s">
        <v>417</v>
      </c>
      <c r="F4" s="10" t="n"/>
      <c r="G4" s="9" t="s">
        <v>526</v>
      </c>
      <c r="H4" s="10" t="n"/>
      <c r="I4" s="9" t="s">
        <v>527</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c r="S5" s="12" t="s">
        <v>427</v>
      </c>
      <c r="T5" s="11" t="s">
        <v>428</v>
      </c>
    </row>
    <row r="6" spans="1:20">
      <c r="A6" s="13" t="s">
        <v>429</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c r="S7" s="18" t="s">
        <v>431</v>
      </c>
      <c r="T7" s="20" t="s">
        <v>431</v>
      </c>
    </row>
    <row r="8" spans="1:20">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c r="S8" s="18" t="s">
        <v>431</v>
      </c>
      <c r="T8" s="20" t="s">
        <v>431</v>
      </c>
    </row>
    <row r="9" spans="1:20">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c r="S9" s="18" t="s">
        <v>431</v>
      </c>
      <c r="T9" s="20" t="s">
        <v>431</v>
      </c>
    </row>
    <row r="10" spans="1:20">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c r="S10" s="18" t="s">
        <v>431</v>
      </c>
      <c r="T10" s="20" t="s">
        <v>431</v>
      </c>
    </row>
    <row r="11" spans="1:20">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c r="S11" s="18" t="s">
        <v>431</v>
      </c>
      <c r="T11" s="20" t="s">
        <v>431</v>
      </c>
    </row>
    <row r="12" spans="1:20">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c r="S12" s="18" t="s">
        <v>431</v>
      </c>
      <c r="T12" s="20" t="s">
        <v>431</v>
      </c>
    </row>
    <row r="13" spans="1:20">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c r="S13" s="18" t="s">
        <v>431</v>
      </c>
      <c r="T13" s="20" t="s">
        <v>431</v>
      </c>
    </row>
    <row r="14" spans="1:20">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c r="S14" s="18" t="s">
        <v>431</v>
      </c>
      <c r="T14" s="20" t="s">
        <v>431</v>
      </c>
    </row>
    <row r="15" spans="1:20">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c r="S15" s="18" t="s">
        <v>431</v>
      </c>
      <c r="T15" s="20" t="s">
        <v>431</v>
      </c>
    </row>
    <row r="16" spans="1:20">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c r="S16" s="18" t="s">
        <v>431</v>
      </c>
      <c r="T16" s="20" t="s">
        <v>431</v>
      </c>
    </row>
    <row r="17" spans="1:20">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c r="S17" s="18" t="s">
        <v>431</v>
      </c>
      <c r="T17" s="20" t="s">
        <v>431</v>
      </c>
    </row>
    <row r="18" spans="1:20">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c r="S18" s="18" t="s">
        <v>431</v>
      </c>
      <c r="T18" s="20" t="s">
        <v>431</v>
      </c>
    </row>
    <row r="19" spans="1:20">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c r="S19" s="18" t="s">
        <v>431</v>
      </c>
      <c r="T19" s="20" t="s">
        <v>431</v>
      </c>
    </row>
    <row r="20" spans="1:20">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c r="S20" s="18" t="s">
        <v>431</v>
      </c>
      <c r="T20" s="20" t="s">
        <v>431</v>
      </c>
    </row>
    <row r="21" spans="1:20">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c r="S21" s="18" t="s">
        <v>431</v>
      </c>
      <c r="T21" s="20" t="s">
        <v>431</v>
      </c>
    </row>
    <row r="22" spans="1:20">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c r="S22" s="18" t="s">
        <v>431</v>
      </c>
      <c r="T22" s="20" t="s">
        <v>431</v>
      </c>
    </row>
    <row r="23" spans="1:20">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c r="S23" s="18" t="s">
        <v>431</v>
      </c>
      <c r="T23" s="20" t="s">
        <v>431</v>
      </c>
    </row>
    <row r="24" spans="1:20">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c r="S24" s="18" t="s">
        <v>431</v>
      </c>
      <c r="T24" s="20" t="s">
        <v>431</v>
      </c>
    </row>
    <row r="25" spans="1:20">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c r="S25" s="18" t="s">
        <v>431</v>
      </c>
      <c r="T25" s="20" t="s">
        <v>431</v>
      </c>
    </row>
    <row r="26" spans="1:20">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c r="S26" s="18" t="s">
        <v>431</v>
      </c>
      <c r="T26" s="20" t="s">
        <v>431</v>
      </c>
    </row>
    <row r="27" spans="1:20">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c r="S27" s="18" t="s">
        <v>431</v>
      </c>
      <c r="T27" s="20" t="s">
        <v>431</v>
      </c>
    </row>
    <row r="28" spans="1:20">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c r="S28" s="18" t="s">
        <v>431</v>
      </c>
      <c r="T28" s="20" t="s">
        <v>431</v>
      </c>
    </row>
    <row r="29" spans="1:20">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c r="S29" s="18" t="s">
        <v>431</v>
      </c>
      <c r="T29" s="20" t="s">
        <v>431</v>
      </c>
    </row>
    <row r="30" spans="1:20">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c r="S30" s="18" t="s">
        <v>431</v>
      </c>
      <c r="T30" s="20" t="s">
        <v>431</v>
      </c>
    </row>
    <row r="31" spans="1:20">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c r="S31" s="18" t="s">
        <v>431</v>
      </c>
      <c r="T31" s="20" t="s">
        <v>431</v>
      </c>
    </row>
    <row r="32" spans="1:20">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c r="S32" s="18" t="s">
        <v>431</v>
      </c>
      <c r="T32" s="20" t="s">
        <v>431</v>
      </c>
    </row>
    <row r="33" spans="1:20">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c r="S33" s="18" t="s">
        <v>431</v>
      </c>
      <c r="T33" s="20" t="s">
        <v>431</v>
      </c>
    </row>
    <row r="34" spans="1:20">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c r="S34" s="18" t="s">
        <v>431</v>
      </c>
      <c r="T34" s="20" t="s">
        <v>431</v>
      </c>
    </row>
    <row r="35" spans="1:20">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c r="S35" s="18" t="s">
        <v>431</v>
      </c>
      <c r="T35" s="20" t="s">
        <v>431</v>
      </c>
    </row>
    <row r="36" spans="1:20">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c r="S36" s="18" t="s">
        <v>431</v>
      </c>
      <c r="T36" s="20" t="s">
        <v>431</v>
      </c>
    </row>
    <row r="37" spans="1:20">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c r="S37" s="18" t="s">
        <v>431</v>
      </c>
      <c r="T37" s="20" t="s">
        <v>431</v>
      </c>
    </row>
    <row r="38" spans="1:20">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c r="S38" s="18" t="s">
        <v>431</v>
      </c>
      <c r="T38" s="20" t="s">
        <v>431</v>
      </c>
    </row>
    <row r="39" spans="1:20">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c r="S39" s="18" t="s">
        <v>431</v>
      </c>
      <c r="T39" s="20" t="s">
        <v>431</v>
      </c>
    </row>
    <row r="40" spans="1:20">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c r="S40" s="18" t="s">
        <v>431</v>
      </c>
      <c r="T40" s="20" t="s">
        <v>431</v>
      </c>
    </row>
    <row r="41" spans="1:20">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c r="S41" s="18" t="s">
        <v>431</v>
      </c>
      <c r="T41" s="20" t="s">
        <v>431</v>
      </c>
    </row>
    <row r="42" spans="1:20">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467</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468</v>
      </c>
      <c r="B44" s="17" t="n">
        <v>2524</v>
      </c>
      <c r="C44" s="18">
        <f>(2113.0/B44*100)</f>
        <v/>
      </c>
      <c r="D44" s="19" t="n">
        <v>411</v>
      </c>
      <c r="E44" s="18" t="n">
        <v>26.54757063</v>
      </c>
      <c r="F44" s="20" t="n">
        <v>2.55285673</v>
      </c>
      <c r="G44" s="18" t="n">
        <v>7.09389624</v>
      </c>
      <c r="H44" s="20" t="n">
        <v>1.59332563</v>
      </c>
      <c r="I44" s="18" t="n">
        <v>27.25548675</v>
      </c>
      <c r="J44" s="20" t="n">
        <v>2.71626595</v>
      </c>
      <c r="K44" s="18" t="s">
        <v>431</v>
      </c>
      <c r="L44" s="20" t="s">
        <v>431</v>
      </c>
      <c r="M44" s="18" t="n">
        <v>3.97651824</v>
      </c>
      <c r="N44" s="20" t="n">
        <v>1.19621272</v>
      </c>
      <c r="O44" s="18" t="n">
        <v>0</v>
      </c>
      <c r="P44" s="20" t="n">
        <v>0</v>
      </c>
      <c r="Q44" s="18" t="n">
        <v>0</v>
      </c>
      <c r="R44" s="20" t="n">
        <v>0</v>
      </c>
      <c r="S44" s="18" t="n">
        <v>35.12652814</v>
      </c>
      <c r="T44" s="20" t="n">
        <v>2.58620054</v>
      </c>
    </row>
    <row r="45" spans="1:20">
      <c r="A45" s="15" t="s">
        <v>469</v>
      </c>
      <c r="B45" s="17" t="n">
        <v>2849</v>
      </c>
      <c r="C45" s="18">
        <f>(2373.0/B45*100)</f>
        <v/>
      </c>
      <c r="D45" s="19" t="n">
        <v>476</v>
      </c>
      <c r="E45" s="18" t="n">
        <v>26.15839009</v>
      </c>
      <c r="F45" s="20" t="n">
        <v>2.09722701</v>
      </c>
      <c r="G45" s="18" t="n">
        <v>13.41856872</v>
      </c>
      <c r="H45" s="20" t="n">
        <v>1.56656685</v>
      </c>
      <c r="I45" s="18" t="n">
        <v>19.30125888</v>
      </c>
      <c r="J45" s="20" t="n">
        <v>1.80049616</v>
      </c>
      <c r="K45" s="18" t="s">
        <v>431</v>
      </c>
      <c r="L45" s="20" t="s">
        <v>431</v>
      </c>
      <c r="M45" s="18" t="n">
        <v>6.53057151</v>
      </c>
      <c r="N45" s="20" t="n">
        <v>1.22930577</v>
      </c>
      <c r="O45" s="18" t="n">
        <v>0.79343111</v>
      </c>
      <c r="P45" s="20" t="n">
        <v>0.42190112</v>
      </c>
      <c r="Q45" s="18" t="n">
        <v>0</v>
      </c>
      <c r="R45" s="20" t="n">
        <v>0</v>
      </c>
      <c r="S45" s="18" t="n">
        <v>33.79777969</v>
      </c>
      <c r="T45" s="20" t="n">
        <v>2.44651939</v>
      </c>
    </row>
    <row r="46" spans="1:20">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c r="S46" s="18" t="s">
        <v>431</v>
      </c>
      <c r="T46" s="20" t="s">
        <v>431</v>
      </c>
    </row>
    <row r="47" spans="1:20">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c r="S47" s="18" t="s">
        <v>431</v>
      </c>
      <c r="T47" s="20" t="s">
        <v>431</v>
      </c>
    </row>
    <row r="48" spans="1:20">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c r="S48" s="18" t="s">
        <v>431</v>
      </c>
      <c r="T48" s="20" t="s">
        <v>431</v>
      </c>
    </row>
    <row r="49" spans="1:20">
      <c r="A49" s="15" t="s">
        <v>473</v>
      </c>
      <c r="B49" s="17" t="n">
        <v>3018</v>
      </c>
      <c r="C49" s="18">
        <f>(2526.0/B49*100)</f>
        <v/>
      </c>
      <c r="D49" s="19" t="n">
        <v>492</v>
      </c>
      <c r="E49" s="18" t="n">
        <v>30.05922412</v>
      </c>
      <c r="F49" s="20" t="n">
        <v>2.62096926</v>
      </c>
      <c r="G49" s="18" t="n">
        <v>5.38192771</v>
      </c>
      <c r="H49" s="20" t="n">
        <v>1.44778282</v>
      </c>
      <c r="I49" s="18" t="n">
        <v>31.02586577</v>
      </c>
      <c r="J49" s="20" t="n">
        <v>2.16931484</v>
      </c>
      <c r="K49" s="18" t="s">
        <v>431</v>
      </c>
      <c r="L49" s="20" t="s">
        <v>431</v>
      </c>
      <c r="M49" s="18" t="n">
        <v>1.17471462</v>
      </c>
      <c r="N49" s="20" t="n">
        <v>0.46963786</v>
      </c>
      <c r="O49" s="18" t="n">
        <v>1.2750435</v>
      </c>
      <c r="P49" s="20" t="n">
        <v>0.40820226</v>
      </c>
      <c r="Q49" s="18" t="n">
        <v>0</v>
      </c>
      <c r="R49" s="20" t="n">
        <v>0</v>
      </c>
      <c r="S49" s="18" t="n">
        <v>31.08322429</v>
      </c>
      <c r="T49" s="20" t="n">
        <v>2.37143826</v>
      </c>
    </row>
    <row r="50" spans="1:20">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c r="S50" s="18" t="s">
        <v>431</v>
      </c>
      <c r="T50" s="20" t="s">
        <v>431</v>
      </c>
    </row>
    <row r="51" spans="1:20">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c r="S51" s="18" t="s">
        <v>431</v>
      </c>
      <c r="T51" s="20" t="s">
        <v>431</v>
      </c>
    </row>
    <row r="52" spans="1:20">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c r="S52" s="18" t="s">
        <v>431</v>
      </c>
      <c r="T52" s="20" t="s">
        <v>431</v>
      </c>
    </row>
    <row r="53" spans="1:20">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c r="S53" s="18" t="s">
        <v>431</v>
      </c>
      <c r="T53" s="20" t="s">
        <v>431</v>
      </c>
    </row>
    <row r="54" spans="1:20">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c r="S54" s="18" t="s">
        <v>431</v>
      </c>
      <c r="T54" s="20" t="s">
        <v>431</v>
      </c>
    </row>
    <row r="55" spans="1:20">
      <c r="A55" s="15" t="s">
        <v>479</v>
      </c>
      <c r="B55" s="17" t="n">
        <v>2759</v>
      </c>
      <c r="C55" s="18">
        <f>(2293.0/B55*100)</f>
        <v/>
      </c>
      <c r="D55" s="19" t="n">
        <v>466</v>
      </c>
      <c r="E55" s="18" t="n">
        <v>21.07732281</v>
      </c>
      <c r="F55" s="20" t="n">
        <v>2.15382026</v>
      </c>
      <c r="G55" s="18" t="n">
        <v>3.40334509</v>
      </c>
      <c r="H55" s="20" t="n">
        <v>0.95200792</v>
      </c>
      <c r="I55" s="18" t="n">
        <v>36.40950118</v>
      </c>
      <c r="J55" s="20" t="n">
        <v>2.77748061</v>
      </c>
      <c r="K55" s="18" t="s">
        <v>431</v>
      </c>
      <c r="L55" s="20" t="s">
        <v>431</v>
      </c>
      <c r="M55" s="18" t="n">
        <v>1.58603158</v>
      </c>
      <c r="N55" s="20" t="n">
        <v>0.61807768</v>
      </c>
      <c r="O55" s="18" t="n">
        <v>0.39942022</v>
      </c>
      <c r="P55" s="20" t="n">
        <v>0.2796174</v>
      </c>
      <c r="Q55" s="18" t="n">
        <v>0.42257893</v>
      </c>
      <c r="R55" s="20" t="n">
        <v>0.27421393</v>
      </c>
      <c r="S55" s="18" t="n">
        <v>36.7018002</v>
      </c>
      <c r="T55" s="20" t="n">
        <v>2.52659443</v>
      </c>
    </row>
    <row r="56" spans="1:20">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c r="S56" s="18" t="s">
        <v>431</v>
      </c>
      <c r="T56" s="20" t="s">
        <v>431</v>
      </c>
    </row>
    <row r="57" spans="1:20">
      <c r="A57" s="15" t="s">
        <v>481</v>
      </c>
      <c r="B57" s="17" t="n">
        <v>3170</v>
      </c>
      <c r="C57" s="18">
        <f>(2645.0/B57*100)</f>
        <v/>
      </c>
      <c r="D57" s="19" t="n">
        <v>525</v>
      </c>
      <c r="E57" s="18" t="n">
        <v>47.84793326</v>
      </c>
      <c r="F57" s="20" t="n">
        <v>2.35683943</v>
      </c>
      <c r="G57" s="18" t="n">
        <v>16.97476896</v>
      </c>
      <c r="H57" s="20" t="n">
        <v>1.79589869</v>
      </c>
      <c r="I57" s="18" t="n">
        <v>25.25179826</v>
      </c>
      <c r="J57" s="20" t="n">
        <v>2.44556974</v>
      </c>
      <c r="K57" s="18" t="s">
        <v>431</v>
      </c>
      <c r="L57" s="20" t="s">
        <v>431</v>
      </c>
      <c r="M57" s="18" t="n">
        <v>0.58313894</v>
      </c>
      <c r="N57" s="20" t="n">
        <v>0.41395334</v>
      </c>
      <c r="O57" s="18" t="n">
        <v>0.1882701</v>
      </c>
      <c r="P57" s="20" t="n">
        <v>0.17982012</v>
      </c>
      <c r="Q57" s="18" t="n">
        <v>0</v>
      </c>
      <c r="R57" s="20" t="n">
        <v>0</v>
      </c>
      <c r="S57" s="18" t="n">
        <v>9.154090480000001</v>
      </c>
      <c r="T57" s="20" t="n">
        <v>1.53747994</v>
      </c>
    </row>
    <row r="58" spans="1:20">
      <c r="A58" s="15" t="s">
        <v>482</v>
      </c>
      <c r="B58" s="17" t="n">
        <v>3530</v>
      </c>
      <c r="C58" s="18">
        <f>(2946.0/B58*100)</f>
        <v/>
      </c>
      <c r="D58" s="19" t="n">
        <v>584</v>
      </c>
      <c r="E58" s="18" t="n">
        <v>37.18613101</v>
      </c>
      <c r="F58" s="20" t="n">
        <v>2.21439479</v>
      </c>
      <c r="G58" s="18" t="n">
        <v>10.33132041</v>
      </c>
      <c r="H58" s="20" t="n">
        <v>1.50867217</v>
      </c>
      <c r="I58" s="18" t="n">
        <v>22.18318812</v>
      </c>
      <c r="J58" s="20" t="n">
        <v>2.34217215</v>
      </c>
      <c r="K58" s="18" t="s">
        <v>431</v>
      </c>
      <c r="L58" s="20" t="s">
        <v>431</v>
      </c>
      <c r="M58" s="18" t="n">
        <v>3.19676193</v>
      </c>
      <c r="N58" s="20" t="n">
        <v>1.05232931</v>
      </c>
      <c r="O58" s="18" t="n">
        <v>0</v>
      </c>
      <c r="P58" s="20" t="n">
        <v>0</v>
      </c>
      <c r="Q58" s="18" t="n">
        <v>0</v>
      </c>
      <c r="R58" s="20" t="n">
        <v>0</v>
      </c>
      <c r="S58" s="18" t="n">
        <v>27.10259853</v>
      </c>
      <c r="T58" s="20" t="n">
        <v>2.16040618</v>
      </c>
    </row>
    <row r="59" spans="1:20">
      <c r="A59" s="15" t="s">
        <v>483</v>
      </c>
      <c r="B59" s="17" t="n">
        <v>2548</v>
      </c>
      <c r="C59" s="18">
        <f>(2126.0/B59*100)</f>
        <v/>
      </c>
      <c r="D59" s="19" t="n">
        <v>422</v>
      </c>
      <c r="E59" s="18" t="n">
        <v>48.76179415</v>
      </c>
      <c r="F59" s="20" t="n">
        <v>3.08454289</v>
      </c>
      <c r="G59" s="18" t="n">
        <v>5.01661677</v>
      </c>
      <c r="H59" s="20" t="n">
        <v>1.38820262</v>
      </c>
      <c r="I59" s="18" t="n">
        <v>21.52790397</v>
      </c>
      <c r="J59" s="20" t="n">
        <v>2.5790836</v>
      </c>
      <c r="K59" s="18" t="s">
        <v>431</v>
      </c>
      <c r="L59" s="20" t="s">
        <v>431</v>
      </c>
      <c r="M59" s="18" t="n">
        <v>0.51608263</v>
      </c>
      <c r="N59" s="20" t="n">
        <v>0.35466137</v>
      </c>
      <c r="O59" s="18" t="n">
        <v>0</v>
      </c>
      <c r="P59" s="20" t="n">
        <v>0</v>
      </c>
      <c r="Q59" s="18" t="n">
        <v>0</v>
      </c>
      <c r="R59" s="20" t="n">
        <v>0</v>
      </c>
      <c r="S59" s="18" t="n">
        <v>24.17760249</v>
      </c>
      <c r="T59" s="20" t="n">
        <v>2.60059266</v>
      </c>
    </row>
    <row r="60" spans="1:20">
      <c r="A60" s="15" t="s">
        <v>484</v>
      </c>
      <c r="B60" s="17" t="n">
        <v>2095</v>
      </c>
      <c r="C60" s="18">
        <f>(1762.0/B60*100)</f>
        <v/>
      </c>
      <c r="D60" s="19" t="n">
        <v>333</v>
      </c>
      <c r="E60" s="18" t="n">
        <v>25.53366158</v>
      </c>
      <c r="F60" s="20" t="n">
        <v>2.7910291</v>
      </c>
      <c r="G60" s="18" t="n">
        <v>5.92217858</v>
      </c>
      <c r="H60" s="20" t="n">
        <v>1.25629631</v>
      </c>
      <c r="I60" s="18" t="n">
        <v>33.14101145</v>
      </c>
      <c r="J60" s="20" t="n">
        <v>2.73349977</v>
      </c>
      <c r="K60" s="18" t="s">
        <v>431</v>
      </c>
      <c r="L60" s="20" t="s">
        <v>431</v>
      </c>
      <c r="M60" s="18" t="n">
        <v>2.26867718</v>
      </c>
      <c r="N60" s="20" t="n">
        <v>0.80818282</v>
      </c>
      <c r="O60" s="18" t="n">
        <v>0</v>
      </c>
      <c r="P60" s="20" t="n">
        <v>0</v>
      </c>
      <c r="Q60" s="18" t="n">
        <v>0</v>
      </c>
      <c r="R60" s="20" t="n">
        <v>0</v>
      </c>
      <c r="S60" s="18" t="n">
        <v>33.13447121</v>
      </c>
      <c r="T60" s="20" t="n">
        <v>3.09816505</v>
      </c>
    </row>
    <row r="61" spans="1:20">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c r="S61" s="18" t="s">
        <v>431</v>
      </c>
      <c r="T61" s="20" t="s">
        <v>431</v>
      </c>
    </row>
    <row r="62" spans="1:20">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c r="S62" s="18" t="s">
        <v>431</v>
      </c>
      <c r="T62" s="20" t="s">
        <v>431</v>
      </c>
    </row>
    <row r="63" spans="1:20">
      <c r="A63" s="15" t="s">
        <v>487</v>
      </c>
      <c r="B63" s="17" t="n">
        <v>2813</v>
      </c>
      <c r="C63" s="18">
        <f>(2332.0/B63*100)</f>
        <v/>
      </c>
      <c r="D63" s="19" t="n">
        <v>481</v>
      </c>
      <c r="E63" s="18" t="n">
        <v>22.23281114</v>
      </c>
      <c r="F63" s="20" t="n">
        <v>2.17523819</v>
      </c>
      <c r="G63" s="18" t="n">
        <v>8.80399517</v>
      </c>
      <c r="H63" s="20" t="n">
        <v>1.50707113</v>
      </c>
      <c r="I63" s="18" t="n">
        <v>17.67555751</v>
      </c>
      <c r="J63" s="20" t="n">
        <v>2.08133159</v>
      </c>
      <c r="K63" s="18" t="s">
        <v>431</v>
      </c>
      <c r="L63" s="20" t="s">
        <v>431</v>
      </c>
      <c r="M63" s="18" t="n">
        <v>1.95872739</v>
      </c>
      <c r="N63" s="20" t="n">
        <v>0.58726144</v>
      </c>
      <c r="O63" s="18" t="n">
        <v>0</v>
      </c>
      <c r="P63" s="20" t="n">
        <v>0</v>
      </c>
      <c r="Q63" s="18" t="n">
        <v>0</v>
      </c>
      <c r="R63" s="20" t="n">
        <v>0</v>
      </c>
      <c r="S63" s="18" t="n">
        <v>49.32890878</v>
      </c>
      <c r="T63" s="20" t="n">
        <v>2.462768</v>
      </c>
    </row>
    <row r="64" spans="1:20">
      <c r="A64" s="15" t="s">
        <v>488</v>
      </c>
      <c r="B64" s="17" t="n">
        <v>1844</v>
      </c>
      <c r="C64" s="18">
        <f>(1541.0/B64*100)</f>
        <v/>
      </c>
      <c r="D64" s="19" t="n">
        <v>303</v>
      </c>
      <c r="E64" s="18" t="n">
        <v>17.29787493</v>
      </c>
      <c r="F64" s="20" t="n">
        <v>2.27383629</v>
      </c>
      <c r="G64" s="18" t="n">
        <v>2.82707247</v>
      </c>
      <c r="H64" s="20" t="n">
        <v>0.99931738</v>
      </c>
      <c r="I64" s="18" t="n">
        <v>55.16432644</v>
      </c>
      <c r="J64" s="20" t="n">
        <v>2.63124646</v>
      </c>
      <c r="K64" s="18" t="s">
        <v>431</v>
      </c>
      <c r="L64" s="20" t="s">
        <v>431</v>
      </c>
      <c r="M64" s="18" t="n">
        <v>3.49807541</v>
      </c>
      <c r="N64" s="20" t="n">
        <v>1.20210589</v>
      </c>
      <c r="O64" s="18" t="n">
        <v>0.32308954</v>
      </c>
      <c r="P64" s="20" t="n">
        <v>0.32543764</v>
      </c>
      <c r="Q64" s="18" t="n">
        <v>0</v>
      </c>
      <c r="R64" s="20" t="n">
        <v>0</v>
      </c>
      <c r="S64" s="18" t="n">
        <v>20.88956122</v>
      </c>
      <c r="T64" s="20" t="n">
        <v>2.63179301</v>
      </c>
    </row>
    <row r="65" spans="1:20">
      <c r="A65" s="15" t="s">
        <v>489</v>
      </c>
      <c r="B65" s="17" t="n">
        <v>2691</v>
      </c>
      <c r="C65" s="18">
        <f>(2260.0/B65*100)</f>
        <v/>
      </c>
      <c r="D65" s="19" t="n">
        <v>431</v>
      </c>
      <c r="E65" s="18" t="n">
        <v>21.43543901</v>
      </c>
      <c r="F65" s="20" t="n">
        <v>2.00897673</v>
      </c>
      <c r="G65" s="18" t="n">
        <v>7.43190946</v>
      </c>
      <c r="H65" s="20" t="n">
        <v>1.546906</v>
      </c>
      <c r="I65" s="18" t="n">
        <v>31.90169726</v>
      </c>
      <c r="J65" s="20" t="n">
        <v>2.33762801</v>
      </c>
      <c r="K65" s="18" t="s">
        <v>431</v>
      </c>
      <c r="L65" s="20" t="s">
        <v>431</v>
      </c>
      <c r="M65" s="18" t="n">
        <v>3.6637198</v>
      </c>
      <c r="N65" s="20" t="n">
        <v>0.92556733</v>
      </c>
      <c r="O65" s="18" t="n">
        <v>0</v>
      </c>
      <c r="P65" s="20" t="n">
        <v>0</v>
      </c>
      <c r="Q65" s="18" t="n">
        <v>0</v>
      </c>
      <c r="R65" s="20" t="n">
        <v>0</v>
      </c>
      <c r="S65" s="18" t="n">
        <v>35.56723447</v>
      </c>
      <c r="T65" s="20" t="n">
        <v>2.70516031</v>
      </c>
    </row>
    <row r="66" spans="1:20">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c r="S66" s="18" t="s">
        <v>431</v>
      </c>
      <c r="T66" s="20" t="s">
        <v>431</v>
      </c>
    </row>
    <row r="67" spans="1:20">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c r="S67" s="18" t="s">
        <v>431</v>
      </c>
      <c r="T67" s="20" t="s">
        <v>431</v>
      </c>
    </row>
    <row r="68" spans="1:20">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c r="S68" s="18" t="s">
        <v>431</v>
      </c>
      <c r="T68" s="20" t="s">
        <v>431</v>
      </c>
    </row>
    <row r="69" spans="1:20">
      <c r="A69" s="15" t="s">
        <v>493</v>
      </c>
      <c r="B69" s="17" t="n">
        <v>2410</v>
      </c>
      <c r="C69" s="18">
        <f>(2003.0/B69*100)</f>
        <v/>
      </c>
      <c r="D69" s="19" t="n">
        <v>407</v>
      </c>
      <c r="E69" s="18" t="n">
        <v>42.48623401</v>
      </c>
      <c r="F69" s="20" t="n">
        <v>2.69246655</v>
      </c>
      <c r="G69" s="18" t="n">
        <v>6.54792701</v>
      </c>
      <c r="H69" s="20" t="n">
        <v>1.00311455</v>
      </c>
      <c r="I69" s="18" t="n">
        <v>49.3168053</v>
      </c>
      <c r="J69" s="20" t="n">
        <v>2.72051823</v>
      </c>
      <c r="K69" s="18" t="s">
        <v>431</v>
      </c>
      <c r="L69" s="20" t="s">
        <v>431</v>
      </c>
      <c r="M69" s="18" t="n">
        <v>0.23074144</v>
      </c>
      <c r="N69" s="20" t="n">
        <v>0.23180517</v>
      </c>
      <c r="O69" s="18" t="n">
        <v>0</v>
      </c>
      <c r="P69" s="20" t="n">
        <v>0</v>
      </c>
      <c r="Q69" s="18" t="n">
        <v>0</v>
      </c>
      <c r="R69" s="20" t="n">
        <v>0</v>
      </c>
      <c r="S69" s="18" t="n">
        <v>1.41829224</v>
      </c>
      <c r="T69" s="20" t="n">
        <v>0.58426928</v>
      </c>
    </row>
    <row r="70" spans="1:20">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c r="S70" s="18" t="s">
        <v>431</v>
      </c>
      <c r="T70" s="20" t="s">
        <v>431</v>
      </c>
    </row>
    <row r="71" spans="1:20">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c r="S71" s="18" t="s">
        <v>431</v>
      </c>
      <c r="T71" s="20" t="s">
        <v>431</v>
      </c>
    </row>
    <row r="72" spans="1:20">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c r="S72" s="18" t="s">
        <v>431</v>
      </c>
      <c r="T72" s="20" t="s">
        <v>431</v>
      </c>
    </row>
    <row r="73" spans="1:20">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c r="S73" s="18" t="s">
        <v>431</v>
      </c>
      <c r="T73" s="20" t="s">
        <v>431</v>
      </c>
    </row>
    <row r="74" spans="1:20">
      <c r="A74" s="15" t="s">
        <v>498</v>
      </c>
      <c r="B74" s="17" t="n">
        <v>2239</v>
      </c>
      <c r="C74" s="18">
        <f>(1885.0/B74*100)</f>
        <v/>
      </c>
      <c r="D74" s="19" t="n">
        <v>354</v>
      </c>
      <c r="E74" s="18" t="n">
        <v>20.02690654</v>
      </c>
      <c r="F74" s="20" t="n">
        <v>2.2686267</v>
      </c>
      <c r="G74" s="18" t="n">
        <v>3.78717508</v>
      </c>
      <c r="H74" s="20" t="n">
        <v>1.13861209</v>
      </c>
      <c r="I74" s="18" t="n">
        <v>35.94475746</v>
      </c>
      <c r="J74" s="20" t="n">
        <v>2.41695953</v>
      </c>
      <c r="K74" s="18" t="s">
        <v>431</v>
      </c>
      <c r="L74" s="20" t="s">
        <v>431</v>
      </c>
      <c r="M74" s="18" t="n">
        <v>5.98627677</v>
      </c>
      <c r="N74" s="20" t="n">
        <v>1.3718748</v>
      </c>
      <c r="O74" s="18" t="n">
        <v>0</v>
      </c>
      <c r="P74" s="20" t="n">
        <v>0</v>
      </c>
      <c r="Q74" s="18" t="n">
        <v>0</v>
      </c>
      <c r="R74" s="20" t="n">
        <v>0</v>
      </c>
      <c r="S74" s="18" t="n">
        <v>34.25488415</v>
      </c>
      <c r="T74" s="20" t="n">
        <v>3.04833401</v>
      </c>
    </row>
    <row r="75" spans="1:20">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c r="S75" s="18" t="s">
        <v>431</v>
      </c>
      <c r="T75" s="20" t="s">
        <v>431</v>
      </c>
    </row>
    <row r="76" spans="1:20">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c r="S76" s="18" t="s">
        <v>431</v>
      </c>
      <c r="T76" s="20" t="s">
        <v>431</v>
      </c>
    </row>
    <row r="77" spans="1:20">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c r="S77" s="18" t="s">
        <v>431</v>
      </c>
      <c r="T77" s="20" t="s">
        <v>431</v>
      </c>
    </row>
    <row r="78" spans="1:20">
      <c r="A78" s="15" t="s">
        <v>502</v>
      </c>
      <c r="B78" s="17" t="n">
        <v>2786</v>
      </c>
      <c r="C78" s="18">
        <f>(2321.0/B78*100)</f>
        <v/>
      </c>
      <c r="D78" s="19" t="n">
        <v>465</v>
      </c>
      <c r="E78" s="18" t="n">
        <v>38.43491117</v>
      </c>
      <c r="F78" s="20" t="n">
        <v>2.71509732</v>
      </c>
      <c r="G78" s="18" t="n">
        <v>8.06481644</v>
      </c>
      <c r="H78" s="20" t="n">
        <v>1.17777748</v>
      </c>
      <c r="I78" s="18" t="n">
        <v>52.32618287</v>
      </c>
      <c r="J78" s="20" t="n">
        <v>2.84249982</v>
      </c>
      <c r="K78" s="18" t="s">
        <v>431</v>
      </c>
      <c r="L78" s="20" t="s">
        <v>431</v>
      </c>
      <c r="M78" s="18" t="n">
        <v>0</v>
      </c>
      <c r="N78" s="20" t="n">
        <v>0</v>
      </c>
      <c r="O78" s="18" t="n">
        <v>0</v>
      </c>
      <c r="P78" s="20" t="n">
        <v>0</v>
      </c>
      <c r="Q78" s="18" t="n">
        <v>0</v>
      </c>
      <c r="R78" s="20" t="n">
        <v>0</v>
      </c>
      <c r="S78" s="18" t="n">
        <v>1.17408952</v>
      </c>
      <c r="T78" s="20" t="n">
        <v>0.49058161</v>
      </c>
    </row>
    <row customHeight="1" ht="25" r="79" spans="1:20">
      <c r="A79" s="15" t="s">
        <v>503</v>
      </c>
      <c r="B79" s="17" t="n">
        <v>787</v>
      </c>
      <c r="C79" s="18">
        <f>(658.0/B79*100)</f>
        <v/>
      </c>
      <c r="D79" s="19" t="n">
        <v>129</v>
      </c>
      <c r="E79" s="18" t="n">
        <v>12.83267143</v>
      </c>
      <c r="F79" s="20" t="n">
        <v>3.12159983</v>
      </c>
      <c r="G79" s="18" t="n">
        <v>4.8070211</v>
      </c>
      <c r="H79" s="20" t="n">
        <v>1.89443014</v>
      </c>
      <c r="I79" s="18" t="n">
        <v>56.54276394</v>
      </c>
      <c r="J79" s="20" t="n">
        <v>4.35656733</v>
      </c>
      <c r="K79" s="18" t="s">
        <v>431</v>
      </c>
      <c r="L79" s="20" t="s">
        <v>431</v>
      </c>
      <c r="M79" s="18" t="n">
        <v>5.33453977</v>
      </c>
      <c r="N79" s="20" t="n">
        <v>2.23439022</v>
      </c>
      <c r="O79" s="18" t="n">
        <v>0</v>
      </c>
      <c r="P79" s="20" t="n">
        <v>0</v>
      </c>
      <c r="Q79" s="18" t="n">
        <v>0</v>
      </c>
      <c r="R79" s="20" t="n">
        <v>0</v>
      </c>
      <c r="S79" s="18" t="n">
        <v>20.48300376</v>
      </c>
      <c r="T79" s="20" t="n">
        <v>3.41003131</v>
      </c>
    </row>
    <row r="80" spans="1:20">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c r="S80" s="18" t="s">
        <v>431</v>
      </c>
      <c r="T80" s="20" t="s">
        <v>431</v>
      </c>
    </row>
    <row r="81" spans="1:20">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c r="S81" s="18" t="s">
        <v>431</v>
      </c>
      <c r="T81" s="20" t="s">
        <v>431</v>
      </c>
    </row>
    <row r="82" spans="1:20">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c r="S82" s="22" t="s">
        <v>506</v>
      </c>
      <c r="T82" s="22" t="s">
        <v>506</v>
      </c>
    </row>
    <row r="83" spans="1:20">
      <c r="A83" s="3" t="s">
        <v>507</v>
      </c>
    </row>
    <row r="84" spans="1:20">
      <c r="A84" s="23" t="s">
        <v>508</v>
      </c>
    </row>
    <row r="85" spans="1:20">
      <c r="A85" s="23" t="s">
        <v>509</v>
      </c>
    </row>
    <row customHeight="1" ht="30" r="86" spans="1:20">
      <c r="A86" s="23" t="s">
        <v>510</v>
      </c>
    </row>
    <row customHeight="1" ht="30" r="87" spans="1:20">
      <c r="A87" s="23" t="s">
        <v>506</v>
      </c>
    </row>
    <row customHeight="1" ht="30" r="88" spans="1:20">
      <c r="A88" s="23" t="s">
        <v>511</v>
      </c>
    </row>
    <row customHeight="1" ht="30" r="89" spans="1:20">
      <c r="A89" s="23" t="s">
        <v>512</v>
      </c>
    </row>
    <row customHeight="1" ht="30" r="90" spans="1:20">
      <c r="A90" s="23" t="s">
        <v>513</v>
      </c>
    </row>
    <row customHeight="1" ht="30" r="91" spans="1:20">
      <c r="A91" s="23" t="s">
        <v>514</v>
      </c>
    </row>
    <row customHeight="1" ht="30" r="92" spans="1:20">
      <c r="A92" s="23" t="s">
        <v>515</v>
      </c>
    </row>
    <row customHeight="1" ht="30" r="93" spans="1:20">
      <c r="A93" s="23" t="s">
        <v>516</v>
      </c>
    </row>
    <row customHeight="1" ht="30" r="94" spans="1:20">
      <c r="A94" s="23" t="s">
        <v>517</v>
      </c>
    </row>
    <row customHeight="1" ht="30" r="95" spans="1:20">
      <c r="A95" s="23" t="s">
        <v>518</v>
      </c>
    </row>
    <row customHeight="1" ht="30" r="96" spans="1:20">
      <c r="A96" s="23" t="s">
        <v>519</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63.77931203</v>
      </c>
      <c r="F44" s="20" t="n">
        <v>3.12979782</v>
      </c>
      <c r="G44" s="18" t="n">
        <v>14.57229107</v>
      </c>
      <c r="H44" s="20" t="n">
        <v>2.22888447</v>
      </c>
      <c r="I44" s="18" t="s">
        <v>431</v>
      </c>
      <c r="J44" s="20" t="s">
        <v>431</v>
      </c>
      <c r="K44" s="18" t="n">
        <v>3.97651824</v>
      </c>
      <c r="L44" s="20" t="n">
        <v>1.19621272</v>
      </c>
      <c r="M44" s="18" t="n">
        <v>0</v>
      </c>
      <c r="N44" s="20" t="n">
        <v>0</v>
      </c>
      <c r="O44" s="18" t="n">
        <v>0</v>
      </c>
      <c r="P44" s="20" t="n">
        <v>0</v>
      </c>
      <c r="Q44" s="18" t="n">
        <v>17.67187866</v>
      </c>
      <c r="R44" s="20" t="n">
        <v>2.21397389</v>
      </c>
    </row>
    <row r="45" spans="1:18">
      <c r="A45" s="15" t="s">
        <v>469</v>
      </c>
      <c r="B45" s="17" t="n">
        <v>2849</v>
      </c>
      <c r="C45" s="18">
        <f>(2373.0/B45*100)</f>
        <v/>
      </c>
      <c r="D45" s="19" t="n">
        <v>476</v>
      </c>
      <c r="E45" s="18" t="n">
        <v>70.65392141</v>
      </c>
      <c r="F45" s="20" t="n">
        <v>2.10934168</v>
      </c>
      <c r="G45" s="18" t="n">
        <v>11.63319044</v>
      </c>
      <c r="H45" s="20" t="n">
        <v>1.48311541</v>
      </c>
      <c r="I45" s="18" t="s">
        <v>431</v>
      </c>
      <c r="J45" s="20" t="s">
        <v>431</v>
      </c>
      <c r="K45" s="18" t="n">
        <v>6.82534776</v>
      </c>
      <c r="L45" s="20" t="n">
        <v>1.2654323</v>
      </c>
      <c r="M45" s="18" t="n">
        <v>0.35568868</v>
      </c>
      <c r="N45" s="20" t="n">
        <v>0.25519303</v>
      </c>
      <c r="O45" s="18" t="n">
        <v>0.261184</v>
      </c>
      <c r="P45" s="20" t="n">
        <v>0.22428699</v>
      </c>
      <c r="Q45" s="18" t="n">
        <v>10.27066771</v>
      </c>
      <c r="R45" s="20" t="n">
        <v>1.39573725</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61.41961804</v>
      </c>
      <c r="F49" s="20" t="n">
        <v>2.93968615</v>
      </c>
      <c r="G49" s="18" t="n">
        <v>26.7309731</v>
      </c>
      <c r="H49" s="20" t="n">
        <v>2.53801659</v>
      </c>
      <c r="I49" s="18" t="s">
        <v>431</v>
      </c>
      <c r="J49" s="20" t="s">
        <v>431</v>
      </c>
      <c r="K49" s="18" t="n">
        <v>1.61317878</v>
      </c>
      <c r="L49" s="20" t="n">
        <v>0.58108383</v>
      </c>
      <c r="M49" s="18" t="n">
        <v>1.2750435</v>
      </c>
      <c r="N49" s="20" t="n">
        <v>0.40820226</v>
      </c>
      <c r="O49" s="18" t="n">
        <v>0</v>
      </c>
      <c r="P49" s="20" t="n">
        <v>0</v>
      </c>
      <c r="Q49" s="18" t="n">
        <v>8.96118658</v>
      </c>
      <c r="R49" s="20" t="n">
        <v>1.45520534</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58.24100242</v>
      </c>
      <c r="F55" s="20" t="n">
        <v>2.63659976</v>
      </c>
      <c r="G55" s="18" t="n">
        <v>21.96410027</v>
      </c>
      <c r="H55" s="20" t="n">
        <v>2.02509457</v>
      </c>
      <c r="I55" s="18" t="s">
        <v>431</v>
      </c>
      <c r="J55" s="20" t="s">
        <v>431</v>
      </c>
      <c r="K55" s="18" t="n">
        <v>1.58603158</v>
      </c>
      <c r="L55" s="20" t="n">
        <v>0.61807768</v>
      </c>
      <c r="M55" s="18" t="n">
        <v>0.39942022</v>
      </c>
      <c r="N55" s="20" t="n">
        <v>0.2796174</v>
      </c>
      <c r="O55" s="18" t="n">
        <v>0.60535438</v>
      </c>
      <c r="P55" s="20" t="n">
        <v>0.33823149</v>
      </c>
      <c r="Q55" s="18" t="n">
        <v>17.20409114</v>
      </c>
      <c r="R55" s="20" t="n">
        <v>1.80946446</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73.26072528</v>
      </c>
      <c r="F57" s="20" t="n">
        <v>1.86662985</v>
      </c>
      <c r="G57" s="18" t="n">
        <v>23.17686656</v>
      </c>
      <c r="H57" s="20" t="n">
        <v>1.89615518</v>
      </c>
      <c r="I57" s="18" t="s">
        <v>431</v>
      </c>
      <c r="J57" s="20" t="s">
        <v>431</v>
      </c>
      <c r="K57" s="18" t="n">
        <v>0.58313894</v>
      </c>
      <c r="L57" s="20" t="n">
        <v>0.41395334</v>
      </c>
      <c r="M57" s="18" t="n">
        <v>0.1882701</v>
      </c>
      <c r="N57" s="20" t="n">
        <v>0.17982012</v>
      </c>
      <c r="O57" s="18" t="n">
        <v>0.46690313</v>
      </c>
      <c r="P57" s="20" t="n">
        <v>0.46033813</v>
      </c>
      <c r="Q57" s="18" t="n">
        <v>2.32409599</v>
      </c>
      <c r="R57" s="20" t="n">
        <v>0.72201439</v>
      </c>
    </row>
    <row r="58" spans="1:18">
      <c r="A58" s="15" t="s">
        <v>482</v>
      </c>
      <c r="B58" s="17" t="n">
        <v>3530</v>
      </c>
      <c r="C58" s="18">
        <f>(2946.0/B58*100)</f>
        <v/>
      </c>
      <c r="D58" s="19" t="n">
        <v>584</v>
      </c>
      <c r="E58" s="18" t="n">
        <v>63.86204464</v>
      </c>
      <c r="F58" s="20" t="n">
        <v>2.16872861</v>
      </c>
      <c r="G58" s="18" t="n">
        <v>24.26635989</v>
      </c>
      <c r="H58" s="20" t="n">
        <v>2.11529479</v>
      </c>
      <c r="I58" s="18" t="s">
        <v>431</v>
      </c>
      <c r="J58" s="20" t="s">
        <v>431</v>
      </c>
      <c r="K58" s="18" t="n">
        <v>3.58279606</v>
      </c>
      <c r="L58" s="20" t="n">
        <v>1.06738096</v>
      </c>
      <c r="M58" s="18" t="n">
        <v>0</v>
      </c>
      <c r="N58" s="20" t="n">
        <v>0</v>
      </c>
      <c r="O58" s="18" t="n">
        <v>0</v>
      </c>
      <c r="P58" s="20" t="n">
        <v>0</v>
      </c>
      <c r="Q58" s="18" t="n">
        <v>8.288799409999999</v>
      </c>
      <c r="R58" s="20" t="n">
        <v>1.19442759</v>
      </c>
    </row>
    <row r="59" spans="1:18">
      <c r="A59" s="15" t="s">
        <v>483</v>
      </c>
      <c r="B59" s="17" t="n">
        <v>2548</v>
      </c>
      <c r="C59" s="18">
        <f>(2125.0/B59*100)</f>
        <v/>
      </c>
      <c r="D59" s="19" t="n">
        <v>423</v>
      </c>
      <c r="E59" s="18" t="n">
        <v>67.64508601999999</v>
      </c>
      <c r="F59" s="20" t="n">
        <v>2.73544637</v>
      </c>
      <c r="G59" s="18" t="n">
        <v>22.46857532</v>
      </c>
      <c r="H59" s="20" t="n">
        <v>2.66459857</v>
      </c>
      <c r="I59" s="18" t="s">
        <v>431</v>
      </c>
      <c r="J59" s="20" t="s">
        <v>431</v>
      </c>
      <c r="K59" s="18" t="n">
        <v>1.00578025</v>
      </c>
      <c r="L59" s="20" t="n">
        <v>0.48073017</v>
      </c>
      <c r="M59" s="18" t="n">
        <v>0</v>
      </c>
      <c r="N59" s="20" t="n">
        <v>0</v>
      </c>
      <c r="O59" s="18" t="n">
        <v>0</v>
      </c>
      <c r="P59" s="20" t="n">
        <v>0</v>
      </c>
      <c r="Q59" s="18" t="n">
        <v>8.880558410000001</v>
      </c>
      <c r="R59" s="20" t="n">
        <v>1.6903488</v>
      </c>
    </row>
    <row r="60" spans="1:18">
      <c r="A60" s="15" t="s">
        <v>484</v>
      </c>
      <c r="B60" s="17" t="n">
        <v>2095</v>
      </c>
      <c r="C60" s="18">
        <f>(1762.0/B60*100)</f>
        <v/>
      </c>
      <c r="D60" s="19" t="n">
        <v>333</v>
      </c>
      <c r="E60" s="18" t="n">
        <v>50.81652721</v>
      </c>
      <c r="F60" s="20" t="n">
        <v>3.33801858</v>
      </c>
      <c r="G60" s="18" t="n">
        <v>25.68656152</v>
      </c>
      <c r="H60" s="20" t="n">
        <v>2.59904562</v>
      </c>
      <c r="I60" s="18" t="s">
        <v>431</v>
      </c>
      <c r="J60" s="20" t="s">
        <v>431</v>
      </c>
      <c r="K60" s="18" t="n">
        <v>2.30118999</v>
      </c>
      <c r="L60" s="20" t="n">
        <v>0.80889062</v>
      </c>
      <c r="M60" s="18" t="n">
        <v>0.22986672</v>
      </c>
      <c r="N60" s="20" t="n">
        <v>0.22892942</v>
      </c>
      <c r="O60" s="18" t="n">
        <v>0</v>
      </c>
      <c r="P60" s="20" t="n">
        <v>0</v>
      </c>
      <c r="Q60" s="18" t="n">
        <v>20.96585456</v>
      </c>
      <c r="R60" s="20" t="n">
        <v>2.87143633</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63.61025758</v>
      </c>
      <c r="F63" s="20" t="n">
        <v>2.40904765</v>
      </c>
      <c r="G63" s="18" t="n">
        <v>13.87492047</v>
      </c>
      <c r="H63" s="20" t="n">
        <v>1.7750037</v>
      </c>
      <c r="I63" s="18" t="s">
        <v>431</v>
      </c>
      <c r="J63" s="20" t="s">
        <v>431</v>
      </c>
      <c r="K63" s="18" t="n">
        <v>1.95872739</v>
      </c>
      <c r="L63" s="20" t="n">
        <v>0.58726144</v>
      </c>
      <c r="M63" s="18" t="n">
        <v>0</v>
      </c>
      <c r="N63" s="20" t="n">
        <v>0</v>
      </c>
      <c r="O63" s="18" t="n">
        <v>0</v>
      </c>
      <c r="P63" s="20" t="n">
        <v>0</v>
      </c>
      <c r="Q63" s="18" t="n">
        <v>20.55609456</v>
      </c>
      <c r="R63" s="20" t="n">
        <v>1.69744651</v>
      </c>
    </row>
    <row r="64" spans="1:18">
      <c r="A64" s="15" t="s">
        <v>488</v>
      </c>
      <c r="B64" s="17" t="n">
        <v>1844</v>
      </c>
      <c r="C64" s="18">
        <f>(1541.0/B64*100)</f>
        <v/>
      </c>
      <c r="D64" s="19" t="n">
        <v>303</v>
      </c>
      <c r="E64" s="18" t="n">
        <v>51.98319314</v>
      </c>
      <c r="F64" s="20" t="n">
        <v>2.74446402</v>
      </c>
      <c r="G64" s="18" t="n">
        <v>34.63555616</v>
      </c>
      <c r="H64" s="20" t="n">
        <v>2.39093031</v>
      </c>
      <c r="I64" s="18" t="s">
        <v>431</v>
      </c>
      <c r="J64" s="20" t="s">
        <v>431</v>
      </c>
      <c r="K64" s="18" t="n">
        <v>3.49807541</v>
      </c>
      <c r="L64" s="20" t="n">
        <v>1.20210589</v>
      </c>
      <c r="M64" s="18" t="n">
        <v>0.32308954</v>
      </c>
      <c r="N64" s="20" t="n">
        <v>0.32543764</v>
      </c>
      <c r="O64" s="18" t="n">
        <v>0</v>
      </c>
      <c r="P64" s="20" t="n">
        <v>0</v>
      </c>
      <c r="Q64" s="18" t="n">
        <v>9.560085750000001</v>
      </c>
      <c r="R64" s="20" t="n">
        <v>1.80316215</v>
      </c>
    </row>
    <row r="65" spans="1:18">
      <c r="A65" s="15" t="s">
        <v>489</v>
      </c>
      <c r="B65" s="17" t="n">
        <v>2691</v>
      </c>
      <c r="C65" s="18">
        <f>(2260.0/B65*100)</f>
        <v/>
      </c>
      <c r="D65" s="19" t="n">
        <v>431</v>
      </c>
      <c r="E65" s="18" t="n">
        <v>56.99935614</v>
      </c>
      <c r="F65" s="20" t="n">
        <v>2.36816341</v>
      </c>
      <c r="G65" s="18" t="n">
        <v>25.31381783</v>
      </c>
      <c r="H65" s="20" t="n">
        <v>2.04295349</v>
      </c>
      <c r="I65" s="18" t="s">
        <v>431</v>
      </c>
      <c r="J65" s="20" t="s">
        <v>431</v>
      </c>
      <c r="K65" s="18" t="n">
        <v>3.6637198</v>
      </c>
      <c r="L65" s="20" t="n">
        <v>0.92556733</v>
      </c>
      <c r="M65" s="18" t="n">
        <v>0</v>
      </c>
      <c r="N65" s="20" t="n">
        <v>0</v>
      </c>
      <c r="O65" s="18" t="n">
        <v>0</v>
      </c>
      <c r="P65" s="20" t="n">
        <v>0</v>
      </c>
      <c r="Q65" s="18" t="n">
        <v>14.02310623</v>
      </c>
      <c r="R65" s="20" t="n">
        <v>1.65724382</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58.02127941</v>
      </c>
      <c r="F69" s="20" t="n">
        <v>2.59572597</v>
      </c>
      <c r="G69" s="18" t="n">
        <v>41.49531213</v>
      </c>
      <c r="H69" s="20" t="n">
        <v>2.60104093</v>
      </c>
      <c r="I69" s="18" t="s">
        <v>431</v>
      </c>
      <c r="J69" s="20" t="s">
        <v>431</v>
      </c>
      <c r="K69" s="18" t="n">
        <v>0.23074144</v>
      </c>
      <c r="L69" s="20" t="n">
        <v>0.23180517</v>
      </c>
      <c r="M69" s="18" t="n">
        <v>0</v>
      </c>
      <c r="N69" s="20" t="n">
        <v>0</v>
      </c>
      <c r="O69" s="18" t="n">
        <v>0</v>
      </c>
      <c r="P69" s="20" t="n">
        <v>0</v>
      </c>
      <c r="Q69" s="18" t="n">
        <v>0.25266703</v>
      </c>
      <c r="R69" s="20" t="n">
        <v>0.25373362</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67.03431105999999</v>
      </c>
      <c r="F74" s="20" t="n">
        <v>2.71352241</v>
      </c>
      <c r="G74" s="18" t="n">
        <v>10.62116549</v>
      </c>
      <c r="H74" s="20" t="n">
        <v>1.62120099</v>
      </c>
      <c r="I74" s="18" t="s">
        <v>431</v>
      </c>
      <c r="J74" s="20" t="s">
        <v>431</v>
      </c>
      <c r="K74" s="18" t="n">
        <v>7.00841713</v>
      </c>
      <c r="L74" s="20" t="n">
        <v>1.31272747</v>
      </c>
      <c r="M74" s="18" t="n">
        <v>0</v>
      </c>
      <c r="N74" s="20" t="n">
        <v>0</v>
      </c>
      <c r="O74" s="18" t="n">
        <v>0</v>
      </c>
      <c r="P74" s="20" t="n">
        <v>0</v>
      </c>
      <c r="Q74" s="18" t="n">
        <v>15.33610632</v>
      </c>
      <c r="R74" s="20" t="n">
        <v>2.0652981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56.13729304</v>
      </c>
      <c r="F78" s="20" t="n">
        <v>2.8196909</v>
      </c>
      <c r="G78" s="18" t="n">
        <v>42.59034932</v>
      </c>
      <c r="H78" s="20" t="n">
        <v>2.72014304</v>
      </c>
      <c r="I78" s="18" t="s">
        <v>431</v>
      </c>
      <c r="J78" s="20" t="s">
        <v>431</v>
      </c>
      <c r="K78" s="18" t="n">
        <v>0</v>
      </c>
      <c r="L78" s="20" t="n">
        <v>0</v>
      </c>
      <c r="M78" s="18" t="n">
        <v>0</v>
      </c>
      <c r="N78" s="20" t="n">
        <v>0</v>
      </c>
      <c r="O78" s="18" t="n">
        <v>0</v>
      </c>
      <c r="P78" s="20" t="n">
        <v>0</v>
      </c>
      <c r="Q78" s="18" t="n">
        <v>1.27235764</v>
      </c>
      <c r="R78" s="20" t="n">
        <v>0.47439901</v>
      </c>
    </row>
    <row customHeight="1" ht="25" r="79" spans="1:18">
      <c r="A79" s="15" t="s">
        <v>503</v>
      </c>
      <c r="B79" s="17" t="n">
        <v>787</v>
      </c>
      <c r="C79" s="18">
        <f>(658.0/B79*100)</f>
        <v/>
      </c>
      <c r="D79" s="19" t="n">
        <v>129</v>
      </c>
      <c r="E79" s="18" t="n">
        <v>54.42224704</v>
      </c>
      <c r="F79" s="20" t="n">
        <v>5.43660844</v>
      </c>
      <c r="G79" s="18" t="n">
        <v>32.74143763</v>
      </c>
      <c r="H79" s="20" t="n">
        <v>5.33461209</v>
      </c>
      <c r="I79" s="18" t="s">
        <v>431</v>
      </c>
      <c r="J79" s="20" t="s">
        <v>431</v>
      </c>
      <c r="K79" s="18" t="n">
        <v>6.48347101</v>
      </c>
      <c r="L79" s="20" t="n">
        <v>2.43772477</v>
      </c>
      <c r="M79" s="18" t="n">
        <v>0</v>
      </c>
      <c r="N79" s="20" t="n">
        <v>0</v>
      </c>
      <c r="O79" s="18" t="n">
        <v>0</v>
      </c>
      <c r="P79" s="20" t="n">
        <v>0</v>
      </c>
      <c r="Q79" s="18" t="n">
        <v>6.35284432</v>
      </c>
      <c r="R79" s="20" t="n">
        <v>1.75574759</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23.39932483</v>
      </c>
      <c r="F44" s="20" t="n">
        <v>2.26568602</v>
      </c>
      <c r="G44" s="18" t="n">
        <v>54.70050115</v>
      </c>
      <c r="H44" s="20" t="n">
        <v>2.60311893</v>
      </c>
      <c r="I44" s="18" t="s">
        <v>431</v>
      </c>
      <c r="J44" s="20" t="s">
        <v>431</v>
      </c>
      <c r="K44" s="18" t="n">
        <v>3.97651824</v>
      </c>
      <c r="L44" s="20" t="n">
        <v>1.19621272</v>
      </c>
      <c r="M44" s="18" t="n">
        <v>0</v>
      </c>
      <c r="N44" s="20" t="n">
        <v>0</v>
      </c>
      <c r="O44" s="18" t="n">
        <v>0</v>
      </c>
      <c r="P44" s="20" t="n">
        <v>0</v>
      </c>
      <c r="Q44" s="18" t="n">
        <v>17.92365579</v>
      </c>
      <c r="R44" s="20" t="n">
        <v>2.63362636</v>
      </c>
    </row>
    <row r="45" spans="1:18">
      <c r="A45" s="15" t="s">
        <v>469</v>
      </c>
      <c r="B45" s="17" t="n">
        <v>2849</v>
      </c>
      <c r="C45" s="18">
        <f>(2373.0/B45*100)</f>
        <v/>
      </c>
      <c r="D45" s="19" t="n">
        <v>476</v>
      </c>
      <c r="E45" s="18" t="n">
        <v>33.80948039</v>
      </c>
      <c r="F45" s="20" t="n">
        <v>2.20489311</v>
      </c>
      <c r="G45" s="18" t="n">
        <v>46.70341026</v>
      </c>
      <c r="H45" s="20" t="n">
        <v>2.09175107</v>
      </c>
      <c r="I45" s="18" t="s">
        <v>431</v>
      </c>
      <c r="J45" s="20" t="s">
        <v>431</v>
      </c>
      <c r="K45" s="18" t="n">
        <v>6.82534776</v>
      </c>
      <c r="L45" s="20" t="n">
        <v>1.2654323</v>
      </c>
      <c r="M45" s="18" t="n">
        <v>0.35568868</v>
      </c>
      <c r="N45" s="20" t="n">
        <v>0.25519303</v>
      </c>
      <c r="O45" s="18" t="n">
        <v>0.22367681</v>
      </c>
      <c r="P45" s="20" t="n">
        <v>0.22458845</v>
      </c>
      <c r="Q45" s="18" t="n">
        <v>12.0823961</v>
      </c>
      <c r="R45" s="20" t="n">
        <v>1.70740359</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23.16915975</v>
      </c>
      <c r="F49" s="20" t="n">
        <v>2.56405378</v>
      </c>
      <c r="G49" s="18" t="n">
        <v>63.56170539</v>
      </c>
      <c r="H49" s="20" t="n">
        <v>2.43369835</v>
      </c>
      <c r="I49" s="18" t="s">
        <v>431</v>
      </c>
      <c r="J49" s="20" t="s">
        <v>431</v>
      </c>
      <c r="K49" s="18" t="n">
        <v>1.61317878</v>
      </c>
      <c r="L49" s="20" t="n">
        <v>0.58108383</v>
      </c>
      <c r="M49" s="18" t="n">
        <v>1.2750435</v>
      </c>
      <c r="N49" s="20" t="n">
        <v>0.40820226</v>
      </c>
      <c r="O49" s="18" t="n">
        <v>0</v>
      </c>
      <c r="P49" s="20" t="n">
        <v>0</v>
      </c>
      <c r="Q49" s="18" t="n">
        <v>10.38091259</v>
      </c>
      <c r="R49" s="20" t="n">
        <v>1.54281887</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30.14321876</v>
      </c>
      <c r="F55" s="20" t="n">
        <v>2.11133011</v>
      </c>
      <c r="G55" s="18" t="n">
        <v>49.079775</v>
      </c>
      <c r="H55" s="20" t="n">
        <v>2.01953316</v>
      </c>
      <c r="I55" s="18" t="s">
        <v>431</v>
      </c>
      <c r="J55" s="20" t="s">
        <v>431</v>
      </c>
      <c r="K55" s="18" t="n">
        <v>1.78424953</v>
      </c>
      <c r="L55" s="20" t="n">
        <v>0.64853482</v>
      </c>
      <c r="M55" s="18" t="n">
        <v>0.39942022</v>
      </c>
      <c r="N55" s="20" t="n">
        <v>0.2796174</v>
      </c>
      <c r="O55" s="18" t="n">
        <v>0.22501224</v>
      </c>
      <c r="P55" s="20" t="n">
        <v>0.21131995</v>
      </c>
      <c r="Q55" s="18" t="n">
        <v>18.36832425</v>
      </c>
      <c r="R55" s="20" t="n">
        <v>1.89062473</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36.91449246</v>
      </c>
      <c r="F57" s="20" t="n">
        <v>2.1528384</v>
      </c>
      <c r="G57" s="18" t="n">
        <v>58.42785902</v>
      </c>
      <c r="H57" s="20" t="n">
        <v>2.48137039</v>
      </c>
      <c r="I57" s="18" t="s">
        <v>431</v>
      </c>
      <c r="J57" s="20" t="s">
        <v>431</v>
      </c>
      <c r="K57" s="18" t="n">
        <v>0.7955471200000001</v>
      </c>
      <c r="L57" s="20" t="n">
        <v>0.47114194</v>
      </c>
      <c r="M57" s="18" t="n">
        <v>0.1882701</v>
      </c>
      <c r="N57" s="20" t="n">
        <v>0.17982012</v>
      </c>
      <c r="O57" s="18" t="n">
        <v>0.46690313</v>
      </c>
      <c r="P57" s="20" t="n">
        <v>0.46033813</v>
      </c>
      <c r="Q57" s="18" t="n">
        <v>3.20692817</v>
      </c>
      <c r="R57" s="20" t="n">
        <v>0.94877207</v>
      </c>
    </row>
    <row r="58" spans="1:18">
      <c r="A58" s="15" t="s">
        <v>482</v>
      </c>
      <c r="B58" s="17" t="n">
        <v>3530</v>
      </c>
      <c r="C58" s="18">
        <f>(2946.0/B58*100)</f>
        <v/>
      </c>
      <c r="D58" s="19" t="n">
        <v>584</v>
      </c>
      <c r="E58" s="18" t="n">
        <v>35.60858431</v>
      </c>
      <c r="F58" s="20" t="n">
        <v>2.22326355</v>
      </c>
      <c r="G58" s="18" t="n">
        <v>45.85589369</v>
      </c>
      <c r="H58" s="20" t="n">
        <v>2.34551583</v>
      </c>
      <c r="I58" s="18" t="s">
        <v>431</v>
      </c>
      <c r="J58" s="20" t="s">
        <v>431</v>
      </c>
      <c r="K58" s="18" t="n">
        <v>3.80994793</v>
      </c>
      <c r="L58" s="20" t="n">
        <v>1.08900022</v>
      </c>
      <c r="M58" s="18" t="n">
        <v>0</v>
      </c>
      <c r="N58" s="20" t="n">
        <v>0</v>
      </c>
      <c r="O58" s="18" t="n">
        <v>0</v>
      </c>
      <c r="P58" s="20" t="n">
        <v>0</v>
      </c>
      <c r="Q58" s="18" t="n">
        <v>14.72557407</v>
      </c>
      <c r="R58" s="20" t="n">
        <v>1.62284069</v>
      </c>
    </row>
    <row r="59" spans="1:18">
      <c r="A59" s="15" t="s">
        <v>483</v>
      </c>
      <c r="B59" s="17" t="n">
        <v>2548</v>
      </c>
      <c r="C59" s="18">
        <f>(2125.0/B59*100)</f>
        <v/>
      </c>
      <c r="D59" s="19" t="n">
        <v>423</v>
      </c>
      <c r="E59" s="18" t="n">
        <v>31.92416815</v>
      </c>
      <c r="F59" s="20" t="n">
        <v>2.61501093</v>
      </c>
      <c r="G59" s="18" t="n">
        <v>55.31012264</v>
      </c>
      <c r="H59" s="20" t="n">
        <v>2.92160098</v>
      </c>
      <c r="I59" s="18" t="s">
        <v>431</v>
      </c>
      <c r="J59" s="20" t="s">
        <v>431</v>
      </c>
      <c r="K59" s="18" t="n">
        <v>1.00578025</v>
      </c>
      <c r="L59" s="20" t="n">
        <v>0.48073017</v>
      </c>
      <c r="M59" s="18" t="n">
        <v>0</v>
      </c>
      <c r="N59" s="20" t="n">
        <v>0</v>
      </c>
      <c r="O59" s="18" t="n">
        <v>0</v>
      </c>
      <c r="P59" s="20" t="n">
        <v>0</v>
      </c>
      <c r="Q59" s="18" t="n">
        <v>11.75992896</v>
      </c>
      <c r="R59" s="20" t="n">
        <v>1.80080922</v>
      </c>
    </row>
    <row r="60" spans="1:18">
      <c r="A60" s="15" t="s">
        <v>484</v>
      </c>
      <c r="B60" s="17" t="n">
        <v>2095</v>
      </c>
      <c r="C60" s="18">
        <f>(1762.0/B60*100)</f>
        <v/>
      </c>
      <c r="D60" s="19" t="n">
        <v>333</v>
      </c>
      <c r="E60" s="18" t="n">
        <v>30.9461852</v>
      </c>
      <c r="F60" s="20" t="n">
        <v>2.78083779</v>
      </c>
      <c r="G60" s="18" t="n">
        <v>42.56105114</v>
      </c>
      <c r="H60" s="20" t="n">
        <v>2.84291121</v>
      </c>
      <c r="I60" s="18" t="s">
        <v>431</v>
      </c>
      <c r="J60" s="20" t="s">
        <v>431</v>
      </c>
      <c r="K60" s="18" t="n">
        <v>2.30118999</v>
      </c>
      <c r="L60" s="20" t="n">
        <v>0.80889062</v>
      </c>
      <c r="M60" s="18" t="n">
        <v>0</v>
      </c>
      <c r="N60" s="20" t="n">
        <v>0</v>
      </c>
      <c r="O60" s="18" t="n">
        <v>0</v>
      </c>
      <c r="P60" s="20" t="n">
        <v>0</v>
      </c>
      <c r="Q60" s="18" t="n">
        <v>24.19157367</v>
      </c>
      <c r="R60" s="20" t="n">
        <v>2.89880571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25.06383827</v>
      </c>
      <c r="F63" s="20" t="n">
        <v>2.22886278</v>
      </c>
      <c r="G63" s="18" t="n">
        <v>44.04212757</v>
      </c>
      <c r="H63" s="20" t="n">
        <v>2.45700618</v>
      </c>
      <c r="I63" s="18" t="s">
        <v>431</v>
      </c>
      <c r="J63" s="20" t="s">
        <v>431</v>
      </c>
      <c r="K63" s="18" t="n">
        <v>2.26770037</v>
      </c>
      <c r="L63" s="20" t="n">
        <v>0.65314762</v>
      </c>
      <c r="M63" s="18" t="n">
        <v>0</v>
      </c>
      <c r="N63" s="20" t="n">
        <v>0</v>
      </c>
      <c r="O63" s="18" t="n">
        <v>0</v>
      </c>
      <c r="P63" s="20" t="n">
        <v>0</v>
      </c>
      <c r="Q63" s="18" t="n">
        <v>28.62633379</v>
      </c>
      <c r="R63" s="20" t="n">
        <v>2.27955147</v>
      </c>
    </row>
    <row r="64" spans="1:18">
      <c r="A64" s="15" t="s">
        <v>488</v>
      </c>
      <c r="B64" s="17" t="n">
        <v>1844</v>
      </c>
      <c r="C64" s="18">
        <f>(1541.0/B64*100)</f>
        <v/>
      </c>
      <c r="D64" s="19" t="n">
        <v>303</v>
      </c>
      <c r="E64" s="18" t="n">
        <v>21.98039544</v>
      </c>
      <c r="F64" s="20" t="n">
        <v>2.76682869</v>
      </c>
      <c r="G64" s="18" t="n">
        <v>61.74731197</v>
      </c>
      <c r="H64" s="20" t="n">
        <v>2.89601539</v>
      </c>
      <c r="I64" s="18" t="s">
        <v>431</v>
      </c>
      <c r="J64" s="20" t="s">
        <v>431</v>
      </c>
      <c r="K64" s="18" t="n">
        <v>3.49807541</v>
      </c>
      <c r="L64" s="20" t="n">
        <v>1.20210589</v>
      </c>
      <c r="M64" s="18" t="n">
        <v>0.32308954</v>
      </c>
      <c r="N64" s="20" t="n">
        <v>0.32543764</v>
      </c>
      <c r="O64" s="18" t="n">
        <v>0</v>
      </c>
      <c r="P64" s="20" t="n">
        <v>0</v>
      </c>
      <c r="Q64" s="18" t="n">
        <v>12.45112765</v>
      </c>
      <c r="R64" s="20" t="n">
        <v>2.11666063</v>
      </c>
    </row>
    <row r="65" spans="1:18">
      <c r="A65" s="15" t="s">
        <v>489</v>
      </c>
      <c r="B65" s="17" t="n">
        <v>2691</v>
      </c>
      <c r="C65" s="18">
        <f>(2260.0/B65*100)</f>
        <v/>
      </c>
      <c r="D65" s="19" t="n">
        <v>431</v>
      </c>
      <c r="E65" s="18" t="n">
        <v>26.5917622</v>
      </c>
      <c r="F65" s="20" t="n">
        <v>2.34257519</v>
      </c>
      <c r="G65" s="18" t="n">
        <v>52.97812086</v>
      </c>
      <c r="H65" s="20" t="n">
        <v>2.58081528</v>
      </c>
      <c r="I65" s="18" t="s">
        <v>431</v>
      </c>
      <c r="J65" s="20" t="s">
        <v>431</v>
      </c>
      <c r="K65" s="18" t="n">
        <v>3.90228128</v>
      </c>
      <c r="L65" s="20" t="n">
        <v>0.94799942</v>
      </c>
      <c r="M65" s="18" t="n">
        <v>0</v>
      </c>
      <c r="N65" s="20" t="n">
        <v>0</v>
      </c>
      <c r="O65" s="18" t="n">
        <v>0</v>
      </c>
      <c r="P65" s="20" t="n">
        <v>0</v>
      </c>
      <c r="Q65" s="18" t="n">
        <v>16.52783567</v>
      </c>
      <c r="R65" s="20" t="n">
        <v>1.74041663</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28.83125028</v>
      </c>
      <c r="F69" s="20" t="n">
        <v>2.76985328</v>
      </c>
      <c r="G69" s="18" t="n">
        <v>69.77130605000001</v>
      </c>
      <c r="H69" s="20" t="n">
        <v>2.6524182</v>
      </c>
      <c r="I69" s="18" t="s">
        <v>431</v>
      </c>
      <c r="J69" s="20" t="s">
        <v>431</v>
      </c>
      <c r="K69" s="18" t="n">
        <v>0.23074144</v>
      </c>
      <c r="L69" s="20" t="n">
        <v>0.23180517</v>
      </c>
      <c r="M69" s="18" t="n">
        <v>0</v>
      </c>
      <c r="N69" s="20" t="n">
        <v>0</v>
      </c>
      <c r="O69" s="18" t="n">
        <v>0</v>
      </c>
      <c r="P69" s="20" t="n">
        <v>0</v>
      </c>
      <c r="Q69" s="18" t="n">
        <v>1.16670223</v>
      </c>
      <c r="R69" s="20" t="n">
        <v>0.52339861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24.93644417</v>
      </c>
      <c r="F74" s="20" t="n">
        <v>2.61931224</v>
      </c>
      <c r="G74" s="18" t="n">
        <v>52.33066245</v>
      </c>
      <c r="H74" s="20" t="n">
        <v>2.97279242</v>
      </c>
      <c r="I74" s="18" t="s">
        <v>431</v>
      </c>
      <c r="J74" s="20" t="s">
        <v>431</v>
      </c>
      <c r="K74" s="18" t="n">
        <v>7.00841713</v>
      </c>
      <c r="L74" s="20" t="n">
        <v>1.31272747</v>
      </c>
      <c r="M74" s="18" t="n">
        <v>0</v>
      </c>
      <c r="N74" s="20" t="n">
        <v>0</v>
      </c>
      <c r="O74" s="18" t="n">
        <v>0</v>
      </c>
      <c r="P74" s="20" t="n">
        <v>0</v>
      </c>
      <c r="Q74" s="18" t="n">
        <v>15.72447626</v>
      </c>
      <c r="R74" s="20" t="n">
        <v>2.04879309</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24.04200286</v>
      </c>
      <c r="F78" s="20" t="n">
        <v>2.76379587</v>
      </c>
      <c r="G78" s="18" t="n">
        <v>74.40136061</v>
      </c>
      <c r="H78" s="20" t="n">
        <v>2.73945846</v>
      </c>
      <c r="I78" s="18" t="s">
        <v>431</v>
      </c>
      <c r="J78" s="20" t="s">
        <v>431</v>
      </c>
      <c r="K78" s="18" t="n">
        <v>0</v>
      </c>
      <c r="L78" s="20" t="n">
        <v>0</v>
      </c>
      <c r="M78" s="18" t="n">
        <v>0</v>
      </c>
      <c r="N78" s="20" t="n">
        <v>0</v>
      </c>
      <c r="O78" s="18" t="n">
        <v>0</v>
      </c>
      <c r="P78" s="20" t="n">
        <v>0</v>
      </c>
      <c r="Q78" s="18" t="n">
        <v>1.55663653</v>
      </c>
      <c r="R78" s="20" t="n">
        <v>0.5347351</v>
      </c>
    </row>
    <row customHeight="1" ht="25" r="79" spans="1:18">
      <c r="A79" s="15" t="s">
        <v>503</v>
      </c>
      <c r="B79" s="17" t="n">
        <v>787</v>
      </c>
      <c r="C79" s="18">
        <f>(658.0/B79*100)</f>
        <v/>
      </c>
      <c r="D79" s="19" t="n">
        <v>129</v>
      </c>
      <c r="E79" s="18" t="n">
        <v>20.7790964</v>
      </c>
      <c r="F79" s="20" t="n">
        <v>3.78120933</v>
      </c>
      <c r="G79" s="18" t="n">
        <v>66.02262967999999</v>
      </c>
      <c r="H79" s="20" t="n">
        <v>4.49424258</v>
      </c>
      <c r="I79" s="18" t="s">
        <v>431</v>
      </c>
      <c r="J79" s="20" t="s">
        <v>431</v>
      </c>
      <c r="K79" s="18" t="n">
        <v>6.48347101</v>
      </c>
      <c r="L79" s="20" t="n">
        <v>2.43772477</v>
      </c>
      <c r="M79" s="18" t="n">
        <v>0</v>
      </c>
      <c r="N79" s="20" t="n">
        <v>0</v>
      </c>
      <c r="O79" s="18" t="n">
        <v>0</v>
      </c>
      <c r="P79" s="20" t="n">
        <v>0</v>
      </c>
      <c r="Q79" s="18" t="n">
        <v>6.71480291</v>
      </c>
      <c r="R79" s="20" t="n">
        <v>1.83140153</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32.91342049</v>
      </c>
      <c r="F44" s="20" t="n">
        <v>2.76504091</v>
      </c>
      <c r="G44" s="18" t="n">
        <v>53.5718096</v>
      </c>
      <c r="H44" s="20" t="n">
        <v>2.93982938</v>
      </c>
      <c r="I44" s="18" t="s">
        <v>431</v>
      </c>
      <c r="J44" s="20" t="s">
        <v>431</v>
      </c>
      <c r="K44" s="18" t="n">
        <v>3.97651824</v>
      </c>
      <c r="L44" s="20" t="n">
        <v>1.19621272</v>
      </c>
      <c r="M44" s="18" t="n">
        <v>0</v>
      </c>
      <c r="N44" s="20" t="n">
        <v>0</v>
      </c>
      <c r="O44" s="18" t="n">
        <v>2.32924318</v>
      </c>
      <c r="P44" s="20" t="n">
        <v>0.82728104</v>
      </c>
      <c r="Q44" s="18" t="n">
        <v>7.2090085</v>
      </c>
      <c r="R44" s="20" t="n">
        <v>1.04594038</v>
      </c>
    </row>
    <row r="45" spans="1:18">
      <c r="A45" s="15" t="s">
        <v>469</v>
      </c>
      <c r="B45" s="17" t="n">
        <v>2849</v>
      </c>
      <c r="C45" s="18">
        <f>(2373.0/B45*100)</f>
        <v/>
      </c>
      <c r="D45" s="19" t="n">
        <v>476</v>
      </c>
      <c r="E45" s="18" t="n">
        <v>42.75395658</v>
      </c>
      <c r="F45" s="20" t="n">
        <v>2.88583759</v>
      </c>
      <c r="G45" s="18" t="n">
        <v>39.67135651</v>
      </c>
      <c r="H45" s="20" t="n">
        <v>2.4888867</v>
      </c>
      <c r="I45" s="18" t="s">
        <v>431</v>
      </c>
      <c r="J45" s="20" t="s">
        <v>431</v>
      </c>
      <c r="K45" s="18" t="n">
        <v>7.03062629</v>
      </c>
      <c r="L45" s="20" t="n">
        <v>1.27153131</v>
      </c>
      <c r="M45" s="18" t="n">
        <v>0.18471598</v>
      </c>
      <c r="N45" s="20" t="n">
        <v>0.18501033</v>
      </c>
      <c r="O45" s="18" t="n">
        <v>3.62825561</v>
      </c>
      <c r="P45" s="20" t="n">
        <v>0.68659848</v>
      </c>
      <c r="Q45" s="18" t="n">
        <v>6.73108903</v>
      </c>
      <c r="R45" s="20" t="n">
        <v>1.0679306</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35.57633963</v>
      </c>
      <c r="F49" s="20" t="n">
        <v>2.34082359</v>
      </c>
      <c r="G49" s="18" t="n">
        <v>56.54988611</v>
      </c>
      <c r="H49" s="20" t="n">
        <v>2.43099502</v>
      </c>
      <c r="I49" s="18" t="s">
        <v>431</v>
      </c>
      <c r="J49" s="20" t="s">
        <v>431</v>
      </c>
      <c r="K49" s="18" t="n">
        <v>1.61317878</v>
      </c>
      <c r="L49" s="20" t="n">
        <v>0.58108383</v>
      </c>
      <c r="M49" s="18" t="n">
        <v>1.59354231</v>
      </c>
      <c r="N49" s="20" t="n">
        <v>0.5169978</v>
      </c>
      <c r="O49" s="18" t="n">
        <v>0.27236291</v>
      </c>
      <c r="P49" s="20" t="n">
        <v>0.20012254</v>
      </c>
      <c r="Q49" s="18" t="n">
        <v>4.39469026</v>
      </c>
      <c r="R49" s="20" t="n">
        <v>1.18135701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48.76205028</v>
      </c>
      <c r="F55" s="20" t="n">
        <v>2.51023536</v>
      </c>
      <c r="G55" s="18" t="n">
        <v>42.82238955</v>
      </c>
      <c r="H55" s="20" t="n">
        <v>2.56806854</v>
      </c>
      <c r="I55" s="18" t="s">
        <v>431</v>
      </c>
      <c r="J55" s="20" t="s">
        <v>431</v>
      </c>
      <c r="K55" s="18" t="n">
        <v>1.78424953</v>
      </c>
      <c r="L55" s="20" t="n">
        <v>0.64853482</v>
      </c>
      <c r="M55" s="18" t="n">
        <v>0</v>
      </c>
      <c r="N55" s="20" t="n">
        <v>0</v>
      </c>
      <c r="O55" s="18" t="n">
        <v>0.86118851</v>
      </c>
      <c r="P55" s="20" t="n">
        <v>0.56349808</v>
      </c>
      <c r="Q55" s="18" t="n">
        <v>5.77012213</v>
      </c>
      <c r="R55" s="20" t="n">
        <v>1.14212801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43.0677501</v>
      </c>
      <c r="F57" s="20" t="n">
        <v>2.42454657</v>
      </c>
      <c r="G57" s="18" t="n">
        <v>54.92676588</v>
      </c>
      <c r="H57" s="20" t="n">
        <v>2.37584977</v>
      </c>
      <c r="I57" s="18" t="s">
        <v>431</v>
      </c>
      <c r="J57" s="20" t="s">
        <v>431</v>
      </c>
      <c r="K57" s="18" t="n">
        <v>0.7955471200000001</v>
      </c>
      <c r="L57" s="20" t="n">
        <v>0.47114194</v>
      </c>
      <c r="M57" s="18" t="n">
        <v>0</v>
      </c>
      <c r="N57" s="20" t="n">
        <v>0</v>
      </c>
      <c r="O57" s="18" t="n">
        <v>0</v>
      </c>
      <c r="P57" s="20" t="n">
        <v>0</v>
      </c>
      <c r="Q57" s="18" t="n">
        <v>1.2099369</v>
      </c>
      <c r="R57" s="20" t="n">
        <v>0.60858626</v>
      </c>
    </row>
    <row r="58" spans="1:18">
      <c r="A58" s="15" t="s">
        <v>482</v>
      </c>
      <c r="B58" s="17" t="n">
        <v>3530</v>
      </c>
      <c r="C58" s="18">
        <f>(2946.0/B58*100)</f>
        <v/>
      </c>
      <c r="D58" s="19" t="n">
        <v>584</v>
      </c>
      <c r="E58" s="18" t="n">
        <v>41.33470416</v>
      </c>
      <c r="F58" s="20" t="n">
        <v>2.76433631</v>
      </c>
      <c r="G58" s="18" t="n">
        <v>43.83500958</v>
      </c>
      <c r="H58" s="20" t="n">
        <v>3.06142952</v>
      </c>
      <c r="I58" s="18" t="s">
        <v>431</v>
      </c>
      <c r="J58" s="20" t="s">
        <v>431</v>
      </c>
      <c r="K58" s="18" t="n">
        <v>3.99275309</v>
      </c>
      <c r="L58" s="20" t="n">
        <v>1.10588411</v>
      </c>
      <c r="M58" s="18" t="n">
        <v>0</v>
      </c>
      <c r="N58" s="20" t="n">
        <v>0</v>
      </c>
      <c r="O58" s="18" t="n">
        <v>0.28424591</v>
      </c>
      <c r="P58" s="20" t="n">
        <v>0.28292049</v>
      </c>
      <c r="Q58" s="18" t="n">
        <v>10.55328726</v>
      </c>
      <c r="R58" s="20" t="n">
        <v>1.56980479</v>
      </c>
    </row>
    <row r="59" spans="1:18">
      <c r="A59" s="15" t="s">
        <v>483</v>
      </c>
      <c r="B59" s="17" t="n">
        <v>2548</v>
      </c>
      <c r="C59" s="18">
        <f>(2125.0/B59*100)</f>
        <v/>
      </c>
      <c r="D59" s="19" t="n">
        <v>423</v>
      </c>
      <c r="E59" s="18" t="n">
        <v>44.75080162</v>
      </c>
      <c r="F59" s="20" t="n">
        <v>3.12165401</v>
      </c>
      <c r="G59" s="18" t="n">
        <v>45.41954412</v>
      </c>
      <c r="H59" s="20" t="n">
        <v>3.02753594</v>
      </c>
      <c r="I59" s="18" t="s">
        <v>431</v>
      </c>
      <c r="J59" s="20" t="s">
        <v>431</v>
      </c>
      <c r="K59" s="18" t="n">
        <v>1.00578025</v>
      </c>
      <c r="L59" s="20" t="n">
        <v>0.48073017</v>
      </c>
      <c r="M59" s="18" t="n">
        <v>0</v>
      </c>
      <c r="N59" s="20" t="n">
        <v>0</v>
      </c>
      <c r="O59" s="18" t="n">
        <v>6.84469595</v>
      </c>
      <c r="P59" s="20" t="n">
        <v>1.63125147</v>
      </c>
      <c r="Q59" s="18" t="n">
        <v>1.97917806</v>
      </c>
      <c r="R59" s="20" t="n">
        <v>0.80644973</v>
      </c>
    </row>
    <row r="60" spans="1:18">
      <c r="A60" s="15" t="s">
        <v>484</v>
      </c>
      <c r="B60" s="17" t="n">
        <v>2095</v>
      </c>
      <c r="C60" s="18">
        <f>(1762.0/B60*100)</f>
        <v/>
      </c>
      <c r="D60" s="19" t="n">
        <v>333</v>
      </c>
      <c r="E60" s="18" t="n">
        <v>40.64660874</v>
      </c>
      <c r="F60" s="20" t="n">
        <v>3.59603743</v>
      </c>
      <c r="G60" s="18" t="n">
        <v>43.0663846</v>
      </c>
      <c r="H60" s="20" t="n">
        <v>3.29445571</v>
      </c>
      <c r="I60" s="18" t="s">
        <v>431</v>
      </c>
      <c r="J60" s="20" t="s">
        <v>431</v>
      </c>
      <c r="K60" s="18" t="n">
        <v>3.86153186</v>
      </c>
      <c r="L60" s="20" t="n">
        <v>1.11401278</v>
      </c>
      <c r="M60" s="18" t="n">
        <v>0</v>
      </c>
      <c r="N60" s="20" t="n">
        <v>0</v>
      </c>
      <c r="O60" s="18" t="n">
        <v>2.56627109</v>
      </c>
      <c r="P60" s="20" t="n">
        <v>1.39766374</v>
      </c>
      <c r="Q60" s="18" t="n">
        <v>9.859203709999999</v>
      </c>
      <c r="R60" s="20" t="n">
        <v>2.10988371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48.05697993</v>
      </c>
      <c r="F63" s="20" t="n">
        <v>2.47558804</v>
      </c>
      <c r="G63" s="18" t="n">
        <v>38.90570349</v>
      </c>
      <c r="H63" s="20" t="n">
        <v>2.20911031</v>
      </c>
      <c r="I63" s="18" t="s">
        <v>431</v>
      </c>
      <c r="J63" s="20" t="s">
        <v>431</v>
      </c>
      <c r="K63" s="18" t="n">
        <v>2.80016993</v>
      </c>
      <c r="L63" s="20" t="n">
        <v>0.77527526</v>
      </c>
      <c r="M63" s="18" t="n">
        <v>0</v>
      </c>
      <c r="N63" s="20" t="n">
        <v>0</v>
      </c>
      <c r="O63" s="18" t="n">
        <v>1.09152214</v>
      </c>
      <c r="P63" s="20" t="n">
        <v>0.51852526</v>
      </c>
      <c r="Q63" s="18" t="n">
        <v>9.14562452</v>
      </c>
      <c r="R63" s="20" t="n">
        <v>1.09151766</v>
      </c>
    </row>
    <row r="64" spans="1:18">
      <c r="A64" s="15" t="s">
        <v>488</v>
      </c>
      <c r="B64" s="17" t="n">
        <v>1844</v>
      </c>
      <c r="C64" s="18">
        <f>(1541.0/B64*100)</f>
        <v/>
      </c>
      <c r="D64" s="19" t="n">
        <v>303</v>
      </c>
      <c r="E64" s="18" t="n">
        <v>22.67806509</v>
      </c>
      <c r="F64" s="20" t="n">
        <v>2.60464404</v>
      </c>
      <c r="G64" s="18" t="n">
        <v>68.93638310999999</v>
      </c>
      <c r="H64" s="20" t="n">
        <v>2.86674336</v>
      </c>
      <c r="I64" s="18" t="s">
        <v>431</v>
      </c>
      <c r="J64" s="20" t="s">
        <v>431</v>
      </c>
      <c r="K64" s="18" t="n">
        <v>3.85214461</v>
      </c>
      <c r="L64" s="20" t="n">
        <v>1.26197095</v>
      </c>
      <c r="M64" s="18" t="n">
        <v>0</v>
      </c>
      <c r="N64" s="20" t="n">
        <v>0</v>
      </c>
      <c r="O64" s="18" t="n">
        <v>0</v>
      </c>
      <c r="P64" s="20" t="n">
        <v>0</v>
      </c>
      <c r="Q64" s="18" t="n">
        <v>4.5334072</v>
      </c>
      <c r="R64" s="20" t="n">
        <v>1.12622855</v>
      </c>
    </row>
    <row r="65" spans="1:18">
      <c r="A65" s="15" t="s">
        <v>489</v>
      </c>
      <c r="B65" s="17" t="n">
        <v>2691</v>
      </c>
      <c r="C65" s="18">
        <f>(2260.0/B65*100)</f>
        <v/>
      </c>
      <c r="D65" s="19" t="n">
        <v>431</v>
      </c>
      <c r="E65" s="18" t="n">
        <v>35.07180302</v>
      </c>
      <c r="F65" s="20" t="n">
        <v>2.59578363</v>
      </c>
      <c r="G65" s="18" t="n">
        <v>51.10018213</v>
      </c>
      <c r="H65" s="20" t="n">
        <v>2.37756392</v>
      </c>
      <c r="I65" s="18" t="s">
        <v>431</v>
      </c>
      <c r="J65" s="20" t="s">
        <v>431</v>
      </c>
      <c r="K65" s="18" t="n">
        <v>4.72017791</v>
      </c>
      <c r="L65" s="20" t="n">
        <v>0.98660819</v>
      </c>
      <c r="M65" s="18" t="n">
        <v>1.39659425</v>
      </c>
      <c r="N65" s="20" t="n">
        <v>0.4801327</v>
      </c>
      <c r="O65" s="18" t="n">
        <v>0</v>
      </c>
      <c r="P65" s="20" t="n">
        <v>0</v>
      </c>
      <c r="Q65" s="18" t="n">
        <v>7.7112427</v>
      </c>
      <c r="R65" s="20" t="n">
        <v>1.49304707</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40.80017094</v>
      </c>
      <c r="F69" s="20" t="n">
        <v>2.57864631</v>
      </c>
      <c r="G69" s="18" t="n">
        <v>58.77235748</v>
      </c>
      <c r="H69" s="20" t="n">
        <v>2.54112554</v>
      </c>
      <c r="I69" s="18" t="s">
        <v>431</v>
      </c>
      <c r="J69" s="20" t="s">
        <v>431</v>
      </c>
      <c r="K69" s="18" t="n">
        <v>0.23074144</v>
      </c>
      <c r="L69" s="20" t="n">
        <v>0.23180517</v>
      </c>
      <c r="M69" s="18" t="n">
        <v>0</v>
      </c>
      <c r="N69" s="20" t="n">
        <v>0</v>
      </c>
      <c r="O69" s="18" t="n">
        <v>0</v>
      </c>
      <c r="P69" s="20" t="n">
        <v>0</v>
      </c>
      <c r="Q69" s="18" t="n">
        <v>0.19673014</v>
      </c>
      <c r="R69" s="20" t="n">
        <v>0.19653449</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28.79446526</v>
      </c>
      <c r="F74" s="20" t="n">
        <v>2.1127862</v>
      </c>
      <c r="G74" s="18" t="n">
        <v>56.32379204</v>
      </c>
      <c r="H74" s="20" t="n">
        <v>2.41381797</v>
      </c>
      <c r="I74" s="18" t="s">
        <v>431</v>
      </c>
      <c r="J74" s="20" t="s">
        <v>431</v>
      </c>
      <c r="K74" s="18" t="n">
        <v>7.91953526</v>
      </c>
      <c r="L74" s="20" t="n">
        <v>1.40784102</v>
      </c>
      <c r="M74" s="18" t="n">
        <v>0</v>
      </c>
      <c r="N74" s="20" t="n">
        <v>0</v>
      </c>
      <c r="O74" s="18" t="n">
        <v>0</v>
      </c>
      <c r="P74" s="20" t="n">
        <v>0</v>
      </c>
      <c r="Q74" s="18" t="n">
        <v>6.96220744</v>
      </c>
      <c r="R74" s="20" t="n">
        <v>1.4558668</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39.18686107</v>
      </c>
      <c r="F78" s="20" t="n">
        <v>2.9545599</v>
      </c>
      <c r="G78" s="18" t="n">
        <v>60.81313893</v>
      </c>
      <c r="H78" s="20" t="n">
        <v>2.9545599</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(658.0/B79*100)</f>
        <v/>
      </c>
      <c r="D79" s="19" t="n">
        <v>129</v>
      </c>
      <c r="E79" s="18" t="n">
        <v>19.03384769</v>
      </c>
      <c r="F79" s="20" t="n">
        <v>3.51517315</v>
      </c>
      <c r="G79" s="18" t="n">
        <v>67.77395038</v>
      </c>
      <c r="H79" s="20" t="n">
        <v>3.63808925</v>
      </c>
      <c r="I79" s="18" t="s">
        <v>431</v>
      </c>
      <c r="J79" s="20" t="s">
        <v>431</v>
      </c>
      <c r="K79" s="18" t="n">
        <v>6.48347101</v>
      </c>
      <c r="L79" s="20" t="n">
        <v>2.43772477</v>
      </c>
      <c r="M79" s="18" t="n">
        <v>0</v>
      </c>
      <c r="N79" s="20" t="n">
        <v>0</v>
      </c>
      <c r="O79" s="18" t="n">
        <v>0.945985</v>
      </c>
      <c r="P79" s="20" t="n">
        <v>1.0076403</v>
      </c>
      <c r="Q79" s="18" t="n">
        <v>5.76274592</v>
      </c>
      <c r="R79" s="20" t="n">
        <v>1.71665063</v>
      </c>
    </row>
    <row r="80" spans="1:18">
      <c r="A80" s="15" t="s">
        <v>504</v>
      </c>
      <c r="B80" s="17" t="n">
        <v>3798</v>
      </c>
      <c r="C80" s="18">
        <f>(3159.0/B80*100)</f>
        <v/>
      </c>
      <c r="D80" s="19" t="n">
        <v>639</v>
      </c>
      <c r="E80" s="18" t="n">
        <v>39.61553281</v>
      </c>
      <c r="F80" s="20" t="n">
        <v>2.48866258</v>
      </c>
      <c r="G80" s="18" t="n">
        <v>59.31283889</v>
      </c>
      <c r="H80" s="20" t="n">
        <v>2.48076331</v>
      </c>
      <c r="I80" s="18" t="s">
        <v>431</v>
      </c>
      <c r="J80" s="20" t="s">
        <v>431</v>
      </c>
      <c r="K80" s="18" t="n">
        <v>0</v>
      </c>
      <c r="L80" s="20" t="n">
        <v>0</v>
      </c>
      <c r="M80" s="18" t="n">
        <v>0</v>
      </c>
      <c r="N80" s="20" t="n">
        <v>0</v>
      </c>
      <c r="O80" s="18" t="n">
        <v>0</v>
      </c>
      <c r="P80" s="20" t="n">
        <v>0</v>
      </c>
      <c r="Q80" s="18" t="n">
        <v>1.0716283</v>
      </c>
      <c r="R80" s="20" t="n">
        <v>0.29566446</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31.74906246</v>
      </c>
      <c r="F44" s="20" t="n">
        <v>2.82729505</v>
      </c>
      <c r="G44" s="18" t="n">
        <v>33.09863509</v>
      </c>
      <c r="H44" s="20" t="n">
        <v>2.60249402</v>
      </c>
      <c r="I44" s="18" t="s">
        <v>431</v>
      </c>
      <c r="J44" s="20" t="s">
        <v>431</v>
      </c>
      <c r="K44" s="18" t="n">
        <v>3.97651824</v>
      </c>
      <c r="L44" s="20" t="n">
        <v>1.19621272</v>
      </c>
      <c r="M44" s="18" t="n">
        <v>0</v>
      </c>
      <c r="N44" s="20" t="n">
        <v>0</v>
      </c>
      <c r="O44" s="18" t="n">
        <v>0</v>
      </c>
      <c r="P44" s="20" t="n">
        <v>0</v>
      </c>
      <c r="Q44" s="18" t="n">
        <v>31.17578421</v>
      </c>
      <c r="R44" s="20" t="n">
        <v>2.69520225</v>
      </c>
    </row>
    <row r="45" spans="1:18">
      <c r="A45" s="15" t="s">
        <v>469</v>
      </c>
      <c r="B45" s="17" t="n">
        <v>2849</v>
      </c>
      <c r="C45" s="18">
        <f>(2373.0/B45*100)</f>
        <v/>
      </c>
      <c r="D45" s="19" t="n">
        <v>476</v>
      </c>
      <c r="E45" s="18" t="n">
        <v>39.02477718</v>
      </c>
      <c r="F45" s="20" t="n">
        <v>2.37839699</v>
      </c>
      <c r="G45" s="18" t="n">
        <v>31.21046164</v>
      </c>
      <c r="H45" s="20" t="n">
        <v>2.28818892</v>
      </c>
      <c r="I45" s="18" t="s">
        <v>431</v>
      </c>
      <c r="J45" s="20" t="s">
        <v>431</v>
      </c>
      <c r="K45" s="18" t="n">
        <v>7.47618185</v>
      </c>
      <c r="L45" s="20" t="n">
        <v>1.23780017</v>
      </c>
      <c r="M45" s="18" t="n">
        <v>1.88656791</v>
      </c>
      <c r="N45" s="20" t="n">
        <v>0.62858241</v>
      </c>
      <c r="O45" s="18" t="n">
        <v>0</v>
      </c>
      <c r="P45" s="20" t="n">
        <v>0</v>
      </c>
      <c r="Q45" s="18" t="n">
        <v>20.40201142</v>
      </c>
      <c r="R45" s="20" t="n">
        <v>2.40017696</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28.34279886</v>
      </c>
      <c r="F49" s="20" t="n">
        <v>2.29760112</v>
      </c>
      <c r="G49" s="18" t="n">
        <v>44.14217456</v>
      </c>
      <c r="H49" s="20" t="n">
        <v>2.37002472</v>
      </c>
      <c r="I49" s="18" t="s">
        <v>431</v>
      </c>
      <c r="J49" s="20" t="s">
        <v>431</v>
      </c>
      <c r="K49" s="18" t="n">
        <v>2.11900827</v>
      </c>
      <c r="L49" s="20" t="n">
        <v>0.64921576</v>
      </c>
      <c r="M49" s="18" t="n">
        <v>1.2750435</v>
      </c>
      <c r="N49" s="20" t="n">
        <v>0.40820226</v>
      </c>
      <c r="O49" s="18" t="n">
        <v>0</v>
      </c>
      <c r="P49" s="20" t="n">
        <v>0</v>
      </c>
      <c r="Q49" s="18" t="n">
        <v>24.12097481</v>
      </c>
      <c r="R49" s="20" t="n">
        <v>2.82355022</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23.99645409</v>
      </c>
      <c r="F55" s="20" t="n">
        <v>2.10800176</v>
      </c>
      <c r="G55" s="18" t="n">
        <v>30.29588463</v>
      </c>
      <c r="H55" s="20" t="n">
        <v>2.19179821</v>
      </c>
      <c r="I55" s="18" t="s">
        <v>431</v>
      </c>
      <c r="J55" s="20" t="s">
        <v>431</v>
      </c>
      <c r="K55" s="18" t="n">
        <v>1.78424953</v>
      </c>
      <c r="L55" s="20" t="n">
        <v>0.64853482</v>
      </c>
      <c r="M55" s="18" t="n">
        <v>0</v>
      </c>
      <c r="N55" s="20" t="n">
        <v>0</v>
      </c>
      <c r="O55" s="18" t="n">
        <v>0.22501224</v>
      </c>
      <c r="P55" s="20" t="n">
        <v>0.21131995</v>
      </c>
      <c r="Q55" s="18" t="n">
        <v>43.69839951</v>
      </c>
      <c r="R55" s="20" t="n">
        <v>2.41784505</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48.94304332</v>
      </c>
      <c r="F57" s="20" t="n">
        <v>2.64249355</v>
      </c>
      <c r="G57" s="18" t="n">
        <v>41.67661342</v>
      </c>
      <c r="H57" s="20" t="n">
        <v>2.68941002</v>
      </c>
      <c r="I57" s="18" t="s">
        <v>431</v>
      </c>
      <c r="J57" s="20" t="s">
        <v>431</v>
      </c>
      <c r="K57" s="18" t="n">
        <v>0.7955471200000001</v>
      </c>
      <c r="L57" s="20" t="n">
        <v>0.47114194</v>
      </c>
      <c r="M57" s="18" t="n">
        <v>0</v>
      </c>
      <c r="N57" s="20" t="n">
        <v>0</v>
      </c>
      <c r="O57" s="18" t="n">
        <v>0</v>
      </c>
      <c r="P57" s="20" t="n">
        <v>0</v>
      </c>
      <c r="Q57" s="18" t="n">
        <v>8.584796150000001</v>
      </c>
      <c r="R57" s="20" t="n">
        <v>1.4761574</v>
      </c>
    </row>
    <row r="58" spans="1:18">
      <c r="A58" s="15" t="s">
        <v>482</v>
      </c>
      <c r="B58" s="17" t="n">
        <v>3530</v>
      </c>
      <c r="C58" s="18">
        <f>(2946.0/B58*100)</f>
        <v/>
      </c>
      <c r="D58" s="19" t="n">
        <v>584</v>
      </c>
      <c r="E58" s="18" t="n">
        <v>35.1397424</v>
      </c>
      <c r="F58" s="20" t="n">
        <v>2.52269394</v>
      </c>
      <c r="G58" s="18" t="n">
        <v>34.39030414</v>
      </c>
      <c r="H58" s="20" t="n">
        <v>2.71712726</v>
      </c>
      <c r="I58" s="18" t="s">
        <v>431</v>
      </c>
      <c r="J58" s="20" t="s">
        <v>431</v>
      </c>
      <c r="K58" s="18" t="n">
        <v>3.99275309</v>
      </c>
      <c r="L58" s="20" t="n">
        <v>1.10588411</v>
      </c>
      <c r="M58" s="18" t="n">
        <v>0</v>
      </c>
      <c r="N58" s="20" t="n">
        <v>0</v>
      </c>
      <c r="O58" s="18" t="n">
        <v>0</v>
      </c>
      <c r="P58" s="20" t="n">
        <v>0</v>
      </c>
      <c r="Q58" s="18" t="n">
        <v>26.47720037</v>
      </c>
      <c r="R58" s="20" t="n">
        <v>2.13479818</v>
      </c>
    </row>
    <row r="59" spans="1:18">
      <c r="A59" s="15" t="s">
        <v>483</v>
      </c>
      <c r="B59" s="17" t="n">
        <v>2548</v>
      </c>
      <c r="C59" s="18">
        <f>(2125.0/B59*100)</f>
        <v/>
      </c>
      <c r="D59" s="19" t="n">
        <v>423</v>
      </c>
      <c r="E59" s="18" t="n">
        <v>51.8928762</v>
      </c>
      <c r="F59" s="20" t="n">
        <v>3.22404881</v>
      </c>
      <c r="G59" s="18" t="n">
        <v>24.60418605</v>
      </c>
      <c r="H59" s="20" t="n">
        <v>2.80851832</v>
      </c>
      <c r="I59" s="18" t="s">
        <v>431</v>
      </c>
      <c r="J59" s="20" t="s">
        <v>431</v>
      </c>
      <c r="K59" s="18" t="n">
        <v>1.00578025</v>
      </c>
      <c r="L59" s="20" t="n">
        <v>0.48073017</v>
      </c>
      <c r="M59" s="18" t="n">
        <v>0</v>
      </c>
      <c r="N59" s="20" t="n">
        <v>0</v>
      </c>
      <c r="O59" s="18" t="n">
        <v>0</v>
      </c>
      <c r="P59" s="20" t="n">
        <v>0</v>
      </c>
      <c r="Q59" s="18" t="n">
        <v>22.4971575</v>
      </c>
      <c r="R59" s="20" t="n">
        <v>2.10950964</v>
      </c>
    </row>
    <row r="60" spans="1:18">
      <c r="A60" s="15" t="s">
        <v>484</v>
      </c>
      <c r="B60" s="17" t="n">
        <v>2095</v>
      </c>
      <c r="C60" s="18">
        <f>(1762.0/B60*100)</f>
        <v/>
      </c>
      <c r="D60" s="19" t="n">
        <v>333</v>
      </c>
      <c r="E60" s="18" t="n">
        <v>36.03057605</v>
      </c>
      <c r="F60" s="20" t="n">
        <v>2.657022</v>
      </c>
      <c r="G60" s="18" t="n">
        <v>24.15194263</v>
      </c>
      <c r="H60" s="20" t="n">
        <v>2.3536882</v>
      </c>
      <c r="I60" s="18" t="s">
        <v>431</v>
      </c>
      <c r="J60" s="20" t="s">
        <v>431</v>
      </c>
      <c r="K60" s="18" t="n">
        <v>4.07464348</v>
      </c>
      <c r="L60" s="20" t="n">
        <v>1.12959636</v>
      </c>
      <c r="M60" s="18" t="n">
        <v>0</v>
      </c>
      <c r="N60" s="20" t="n">
        <v>0</v>
      </c>
      <c r="O60" s="18" t="n">
        <v>0.22893148</v>
      </c>
      <c r="P60" s="20" t="n">
        <v>0.2163563</v>
      </c>
      <c r="Q60" s="18" t="n">
        <v>35.51390635</v>
      </c>
      <c r="R60" s="20" t="n">
        <v>2.94386012</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22.59645829</v>
      </c>
      <c r="F63" s="20" t="n">
        <v>2.04787839</v>
      </c>
      <c r="G63" s="18" t="n">
        <v>18.65108502</v>
      </c>
      <c r="H63" s="20" t="n">
        <v>1.9811476</v>
      </c>
      <c r="I63" s="18" t="s">
        <v>431</v>
      </c>
      <c r="J63" s="20" t="s">
        <v>431</v>
      </c>
      <c r="K63" s="18" t="n">
        <v>2.80016993</v>
      </c>
      <c r="L63" s="20" t="n">
        <v>0.77527526</v>
      </c>
      <c r="M63" s="18" t="n">
        <v>0</v>
      </c>
      <c r="N63" s="20" t="n">
        <v>0</v>
      </c>
      <c r="O63" s="18" t="n">
        <v>0</v>
      </c>
      <c r="P63" s="20" t="n">
        <v>0</v>
      </c>
      <c r="Q63" s="18" t="n">
        <v>55.95228676</v>
      </c>
      <c r="R63" s="20" t="n">
        <v>2.53252339</v>
      </c>
    </row>
    <row r="64" spans="1:18">
      <c r="A64" s="15" t="s">
        <v>488</v>
      </c>
      <c r="B64" s="17" t="n">
        <v>1844</v>
      </c>
      <c r="C64" s="18">
        <f>(1541.0/B64*100)</f>
        <v/>
      </c>
      <c r="D64" s="19" t="n">
        <v>303</v>
      </c>
      <c r="E64" s="18" t="n">
        <v>19.43948337</v>
      </c>
      <c r="F64" s="20" t="n">
        <v>1.99889865</v>
      </c>
      <c r="G64" s="18" t="n">
        <v>57.00263419</v>
      </c>
      <c r="H64" s="20" t="n">
        <v>2.99971528</v>
      </c>
      <c r="I64" s="18" t="s">
        <v>431</v>
      </c>
      <c r="J64" s="20" t="s">
        <v>431</v>
      </c>
      <c r="K64" s="18" t="n">
        <v>4.17079573</v>
      </c>
      <c r="L64" s="20" t="n">
        <v>1.31590846</v>
      </c>
      <c r="M64" s="18" t="n">
        <v>0</v>
      </c>
      <c r="N64" s="20" t="n">
        <v>0</v>
      </c>
      <c r="O64" s="18" t="n">
        <v>0</v>
      </c>
      <c r="P64" s="20" t="n">
        <v>0</v>
      </c>
      <c r="Q64" s="18" t="n">
        <v>19.38708671</v>
      </c>
      <c r="R64" s="20" t="n">
        <v>2.39278589</v>
      </c>
    </row>
    <row r="65" spans="1:18">
      <c r="A65" s="15" t="s">
        <v>489</v>
      </c>
      <c r="B65" s="17" t="n">
        <v>2691</v>
      </c>
      <c r="C65" s="18">
        <f>(2260.0/B65*100)</f>
        <v/>
      </c>
      <c r="D65" s="19" t="n">
        <v>431</v>
      </c>
      <c r="E65" s="18" t="n">
        <v>20.7368789</v>
      </c>
      <c r="F65" s="20" t="n">
        <v>2.039997</v>
      </c>
      <c r="G65" s="18" t="n">
        <v>41.92835633</v>
      </c>
      <c r="H65" s="20" t="n">
        <v>2.68344296</v>
      </c>
      <c r="I65" s="18" t="s">
        <v>431</v>
      </c>
      <c r="J65" s="20" t="s">
        <v>431</v>
      </c>
      <c r="K65" s="18" t="n">
        <v>4.72017791</v>
      </c>
      <c r="L65" s="20" t="n">
        <v>0.98660819</v>
      </c>
      <c r="M65" s="18" t="n">
        <v>0</v>
      </c>
      <c r="N65" s="20" t="n">
        <v>0</v>
      </c>
      <c r="O65" s="18" t="n">
        <v>0</v>
      </c>
      <c r="P65" s="20" t="n">
        <v>0</v>
      </c>
      <c r="Q65" s="18" t="n">
        <v>32.61458686</v>
      </c>
      <c r="R65" s="20" t="n">
        <v>2.59845792</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46.39823379</v>
      </c>
      <c r="F69" s="20" t="n">
        <v>2.62389826</v>
      </c>
      <c r="G69" s="18" t="n">
        <v>51.66894653</v>
      </c>
      <c r="H69" s="20" t="n">
        <v>2.73220407</v>
      </c>
      <c r="I69" s="18" t="s">
        <v>431</v>
      </c>
      <c r="J69" s="20" t="s">
        <v>431</v>
      </c>
      <c r="K69" s="18" t="n">
        <v>0.23074144</v>
      </c>
      <c r="L69" s="20" t="n">
        <v>0.23180517</v>
      </c>
      <c r="M69" s="18" t="n">
        <v>0</v>
      </c>
      <c r="N69" s="20" t="n">
        <v>0</v>
      </c>
      <c r="O69" s="18" t="n">
        <v>0</v>
      </c>
      <c r="P69" s="20" t="n">
        <v>0</v>
      </c>
      <c r="Q69" s="18" t="n">
        <v>1.70207824</v>
      </c>
      <c r="R69" s="20" t="n">
        <v>0.65467102</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29.27224021</v>
      </c>
      <c r="F74" s="20" t="n">
        <v>2.4895177</v>
      </c>
      <c r="G74" s="18" t="n">
        <v>33.37738346</v>
      </c>
      <c r="H74" s="20" t="n">
        <v>2.90799014</v>
      </c>
      <c r="I74" s="18" t="s">
        <v>431</v>
      </c>
      <c r="J74" s="20" t="s">
        <v>431</v>
      </c>
      <c r="K74" s="18" t="n">
        <v>8.22524007</v>
      </c>
      <c r="L74" s="20" t="n">
        <v>1.4100935</v>
      </c>
      <c r="M74" s="18" t="n">
        <v>0</v>
      </c>
      <c r="N74" s="20" t="n">
        <v>0</v>
      </c>
      <c r="O74" s="18" t="n">
        <v>0</v>
      </c>
      <c r="P74" s="20" t="n">
        <v>0</v>
      </c>
      <c r="Q74" s="18" t="n">
        <v>29.12513625</v>
      </c>
      <c r="R74" s="20" t="n">
        <v>2.64625464</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43.72886173</v>
      </c>
      <c r="F78" s="20" t="n">
        <v>2.77787068</v>
      </c>
      <c r="G78" s="18" t="n">
        <v>54.7042992</v>
      </c>
      <c r="H78" s="20" t="n">
        <v>2.74313126</v>
      </c>
      <c r="I78" s="18" t="s">
        <v>431</v>
      </c>
      <c r="J78" s="20" t="s">
        <v>431</v>
      </c>
      <c r="K78" s="18" t="n">
        <v>0</v>
      </c>
      <c r="L78" s="20" t="n">
        <v>0</v>
      </c>
      <c r="M78" s="18" t="n">
        <v>0</v>
      </c>
      <c r="N78" s="20" t="n">
        <v>0</v>
      </c>
      <c r="O78" s="18" t="n">
        <v>0</v>
      </c>
      <c r="P78" s="20" t="n">
        <v>0</v>
      </c>
      <c r="Q78" s="18" t="n">
        <v>1.56683907</v>
      </c>
      <c r="R78" s="20" t="n">
        <v>0.59020289</v>
      </c>
    </row>
    <row customHeight="1" ht="25" r="79" spans="1:18">
      <c r="A79" s="15" t="s">
        <v>503</v>
      </c>
      <c r="B79" s="17" t="n">
        <v>787</v>
      </c>
      <c r="C79" s="18">
        <f>(658.0/B79*100)</f>
        <v/>
      </c>
      <c r="D79" s="19" t="n">
        <v>129</v>
      </c>
      <c r="E79" s="18" t="n">
        <v>23.70994324</v>
      </c>
      <c r="F79" s="20" t="n">
        <v>4.86172768</v>
      </c>
      <c r="G79" s="18" t="n">
        <v>52.4759911</v>
      </c>
      <c r="H79" s="20" t="n">
        <v>4.58870095</v>
      </c>
      <c r="I79" s="18" t="s">
        <v>431</v>
      </c>
      <c r="J79" s="20" t="s">
        <v>431</v>
      </c>
      <c r="K79" s="18" t="n">
        <v>6.48347101</v>
      </c>
      <c r="L79" s="20" t="n">
        <v>2.43772477</v>
      </c>
      <c r="M79" s="18" t="n">
        <v>0</v>
      </c>
      <c r="N79" s="20" t="n">
        <v>0</v>
      </c>
      <c r="O79" s="18" t="n">
        <v>0</v>
      </c>
      <c r="P79" s="20" t="n">
        <v>0</v>
      </c>
      <c r="Q79" s="18" t="n">
        <v>17.33059464</v>
      </c>
      <c r="R79" s="20" t="n">
        <v>3.29650407</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66.3431673</v>
      </c>
      <c r="F44" s="20" t="n">
        <v>2.69888003</v>
      </c>
      <c r="G44" s="18" t="n">
        <v>22.25940018</v>
      </c>
      <c r="H44" s="20" t="n">
        <v>2.16486983</v>
      </c>
      <c r="I44" s="18" t="s">
        <v>431</v>
      </c>
      <c r="J44" s="20" t="s">
        <v>431</v>
      </c>
      <c r="K44" s="18" t="n">
        <v>3.97651824</v>
      </c>
      <c r="L44" s="20" t="n">
        <v>1.19621272</v>
      </c>
      <c r="M44" s="18" t="n">
        <v>0</v>
      </c>
      <c r="N44" s="20" t="n">
        <v>0</v>
      </c>
      <c r="O44" s="18" t="n">
        <v>0</v>
      </c>
      <c r="P44" s="20" t="n">
        <v>0</v>
      </c>
      <c r="Q44" s="18" t="n">
        <v>7.42091428</v>
      </c>
      <c r="R44" s="20" t="n">
        <v>1.23022695</v>
      </c>
    </row>
    <row r="45" spans="1:18">
      <c r="A45" s="15" t="s">
        <v>469</v>
      </c>
      <c r="B45" s="17" t="n">
        <v>2849</v>
      </c>
      <c r="C45" s="18">
        <f>(2373.0/B45*100)</f>
        <v/>
      </c>
      <c r="D45" s="19" t="n">
        <v>476</v>
      </c>
      <c r="E45" s="18" t="n">
        <v>78.5600761</v>
      </c>
      <c r="F45" s="20" t="n">
        <v>1.82251551</v>
      </c>
      <c r="G45" s="18" t="n">
        <v>10.164037</v>
      </c>
      <c r="H45" s="20" t="n">
        <v>1.41972143</v>
      </c>
      <c r="I45" s="18" t="s">
        <v>431</v>
      </c>
      <c r="J45" s="20" t="s">
        <v>431</v>
      </c>
      <c r="K45" s="18" t="n">
        <v>7.47618185</v>
      </c>
      <c r="L45" s="20" t="n">
        <v>1.23780017</v>
      </c>
      <c r="M45" s="18" t="n">
        <v>0.34745155</v>
      </c>
      <c r="N45" s="20" t="n">
        <v>0.24602356</v>
      </c>
      <c r="O45" s="18" t="n">
        <v>0.1363127</v>
      </c>
      <c r="P45" s="20" t="n">
        <v>0.08961978</v>
      </c>
      <c r="Q45" s="18" t="n">
        <v>3.31594081</v>
      </c>
      <c r="R45" s="20" t="n">
        <v>0.80112952</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52.21060116</v>
      </c>
      <c r="F49" s="20" t="n">
        <v>2.79681222</v>
      </c>
      <c r="G49" s="18" t="n">
        <v>41.19937788</v>
      </c>
      <c r="H49" s="20" t="n">
        <v>2.63846888</v>
      </c>
      <c r="I49" s="18" t="s">
        <v>431</v>
      </c>
      <c r="J49" s="20" t="s">
        <v>431</v>
      </c>
      <c r="K49" s="18" t="n">
        <v>2.11900827</v>
      </c>
      <c r="L49" s="20" t="n">
        <v>0.64921576</v>
      </c>
      <c r="M49" s="18" t="n">
        <v>1.2750435</v>
      </c>
      <c r="N49" s="20" t="n">
        <v>0.40820226</v>
      </c>
      <c r="O49" s="18" t="n">
        <v>0</v>
      </c>
      <c r="P49" s="20" t="n">
        <v>0</v>
      </c>
      <c r="Q49" s="18" t="n">
        <v>3.19596919</v>
      </c>
      <c r="R49" s="20" t="n">
        <v>0.93476669</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69.62589635</v>
      </c>
      <c r="F55" s="20" t="n">
        <v>2.15868409</v>
      </c>
      <c r="G55" s="18" t="n">
        <v>23.32543131</v>
      </c>
      <c r="H55" s="20" t="n">
        <v>1.86711279</v>
      </c>
      <c r="I55" s="18" t="s">
        <v>431</v>
      </c>
      <c r="J55" s="20" t="s">
        <v>431</v>
      </c>
      <c r="K55" s="18" t="n">
        <v>1.78424953</v>
      </c>
      <c r="L55" s="20" t="n">
        <v>0.64853482</v>
      </c>
      <c r="M55" s="18" t="n">
        <v>0</v>
      </c>
      <c r="N55" s="20" t="n">
        <v>0</v>
      </c>
      <c r="O55" s="18" t="n">
        <v>0</v>
      </c>
      <c r="P55" s="20" t="n">
        <v>0</v>
      </c>
      <c r="Q55" s="18" t="n">
        <v>5.26442281</v>
      </c>
      <c r="R55" s="20" t="n">
        <v>0.98109108</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84.35225429</v>
      </c>
      <c r="F57" s="20" t="n">
        <v>1.8639213</v>
      </c>
      <c r="G57" s="18" t="n">
        <v>13.77660695</v>
      </c>
      <c r="H57" s="20" t="n">
        <v>1.77476637</v>
      </c>
      <c r="I57" s="18" t="s">
        <v>431</v>
      </c>
      <c r="J57" s="20" t="s">
        <v>431</v>
      </c>
      <c r="K57" s="18" t="n">
        <v>0.7955471200000001</v>
      </c>
      <c r="L57" s="20" t="n">
        <v>0.47114194</v>
      </c>
      <c r="M57" s="18" t="n">
        <v>0</v>
      </c>
      <c r="N57" s="20" t="n">
        <v>0</v>
      </c>
      <c r="O57" s="18" t="n">
        <v>0.17081826</v>
      </c>
      <c r="P57" s="20" t="n">
        <v>0.17326577</v>
      </c>
      <c r="Q57" s="18" t="n">
        <v>0.90477338</v>
      </c>
      <c r="R57" s="20" t="n">
        <v>0.42203121</v>
      </c>
    </row>
    <row r="58" spans="1:18">
      <c r="A58" s="15" t="s">
        <v>482</v>
      </c>
      <c r="B58" s="17" t="n">
        <v>3530</v>
      </c>
      <c r="C58" s="18">
        <f>(2946.0/B58*100)</f>
        <v/>
      </c>
      <c r="D58" s="19" t="n">
        <v>584</v>
      </c>
      <c r="E58" s="18" t="n">
        <v>74.69219385</v>
      </c>
      <c r="F58" s="20" t="n">
        <v>2.01926396</v>
      </c>
      <c r="G58" s="18" t="n">
        <v>17.01453493</v>
      </c>
      <c r="H58" s="20" t="n">
        <v>1.97905793</v>
      </c>
      <c r="I58" s="18" t="s">
        <v>431</v>
      </c>
      <c r="J58" s="20" t="s">
        <v>431</v>
      </c>
      <c r="K58" s="18" t="n">
        <v>3.99275309</v>
      </c>
      <c r="L58" s="20" t="n">
        <v>1.10588411</v>
      </c>
      <c r="M58" s="18" t="n">
        <v>0</v>
      </c>
      <c r="N58" s="20" t="n">
        <v>0</v>
      </c>
      <c r="O58" s="18" t="n">
        <v>0</v>
      </c>
      <c r="P58" s="20" t="n">
        <v>0</v>
      </c>
      <c r="Q58" s="18" t="n">
        <v>4.30051813</v>
      </c>
      <c r="R58" s="20" t="n">
        <v>0.8827081</v>
      </c>
    </row>
    <row r="59" spans="1:18">
      <c r="A59" s="15" t="s">
        <v>483</v>
      </c>
      <c r="B59" s="17" t="n">
        <v>2548</v>
      </c>
      <c r="C59" s="18">
        <f>(2125.0/B59*100)</f>
        <v/>
      </c>
      <c r="D59" s="19" t="n">
        <v>423</v>
      </c>
      <c r="E59" s="18" t="n">
        <v>78.05491976</v>
      </c>
      <c r="F59" s="20" t="n">
        <v>2.41352662</v>
      </c>
      <c r="G59" s="18" t="n">
        <v>17.95656567</v>
      </c>
      <c r="H59" s="20" t="n">
        <v>2.46691334</v>
      </c>
      <c r="I59" s="18" t="s">
        <v>431</v>
      </c>
      <c r="J59" s="20" t="s">
        <v>431</v>
      </c>
      <c r="K59" s="18" t="n">
        <v>1.00578025</v>
      </c>
      <c r="L59" s="20" t="n">
        <v>0.48073017</v>
      </c>
      <c r="M59" s="18" t="n">
        <v>0</v>
      </c>
      <c r="N59" s="20" t="n">
        <v>0</v>
      </c>
      <c r="O59" s="18" t="n">
        <v>0</v>
      </c>
      <c r="P59" s="20" t="n">
        <v>0</v>
      </c>
      <c r="Q59" s="18" t="n">
        <v>2.98273432</v>
      </c>
      <c r="R59" s="20" t="n">
        <v>1.14482182</v>
      </c>
    </row>
    <row r="60" spans="1:18">
      <c r="A60" s="15" t="s">
        <v>484</v>
      </c>
      <c r="B60" s="17" t="n">
        <v>2095</v>
      </c>
      <c r="C60" s="18">
        <f>(1762.0/B60*100)</f>
        <v/>
      </c>
      <c r="D60" s="19" t="n">
        <v>333</v>
      </c>
      <c r="E60" s="18" t="n">
        <v>61.74524815</v>
      </c>
      <c r="F60" s="20" t="n">
        <v>3.25573956</v>
      </c>
      <c r="G60" s="18" t="n">
        <v>28.01968376</v>
      </c>
      <c r="H60" s="20" t="n">
        <v>2.82629286</v>
      </c>
      <c r="I60" s="18" t="s">
        <v>431</v>
      </c>
      <c r="J60" s="20" t="s">
        <v>431</v>
      </c>
      <c r="K60" s="18" t="n">
        <v>4.22506324</v>
      </c>
      <c r="L60" s="20" t="n">
        <v>1.1548119</v>
      </c>
      <c r="M60" s="18" t="n">
        <v>0</v>
      </c>
      <c r="N60" s="20" t="n">
        <v>0</v>
      </c>
      <c r="O60" s="18" t="n">
        <v>0</v>
      </c>
      <c r="P60" s="20" t="n">
        <v>0</v>
      </c>
      <c r="Q60" s="18" t="n">
        <v>6.01000485</v>
      </c>
      <c r="R60" s="20" t="n">
        <v>1.42130983</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73.30275981</v>
      </c>
      <c r="F63" s="20" t="n">
        <v>2.17543355</v>
      </c>
      <c r="G63" s="18" t="n">
        <v>15.37362852</v>
      </c>
      <c r="H63" s="20" t="n">
        <v>1.87485037</v>
      </c>
      <c r="I63" s="18" t="s">
        <v>431</v>
      </c>
      <c r="J63" s="20" t="s">
        <v>431</v>
      </c>
      <c r="K63" s="18" t="n">
        <v>2.80016993</v>
      </c>
      <c r="L63" s="20" t="n">
        <v>0.77527526</v>
      </c>
      <c r="M63" s="18" t="n">
        <v>0</v>
      </c>
      <c r="N63" s="20" t="n">
        <v>0</v>
      </c>
      <c r="O63" s="18" t="n">
        <v>0</v>
      </c>
      <c r="P63" s="20" t="n">
        <v>0</v>
      </c>
      <c r="Q63" s="18" t="n">
        <v>8.523441740000001</v>
      </c>
      <c r="R63" s="20" t="n">
        <v>1.24132313</v>
      </c>
    </row>
    <row r="64" spans="1:18">
      <c r="A64" s="15" t="s">
        <v>488</v>
      </c>
      <c r="B64" s="17" t="n">
        <v>1844</v>
      </c>
      <c r="C64" s="18">
        <f>(1541.0/B64*100)</f>
        <v/>
      </c>
      <c r="D64" s="19" t="n">
        <v>303</v>
      </c>
      <c r="E64" s="18" t="n">
        <v>46.84483782</v>
      </c>
      <c r="F64" s="20" t="n">
        <v>2.99095287</v>
      </c>
      <c r="G64" s="18" t="n">
        <v>47.65822955</v>
      </c>
      <c r="H64" s="20" t="n">
        <v>3.07525767</v>
      </c>
      <c r="I64" s="18" t="s">
        <v>431</v>
      </c>
      <c r="J64" s="20" t="s">
        <v>431</v>
      </c>
      <c r="K64" s="18" t="n">
        <v>4.17079573</v>
      </c>
      <c r="L64" s="20" t="n">
        <v>1.31590846</v>
      </c>
      <c r="M64" s="18" t="n">
        <v>0</v>
      </c>
      <c r="N64" s="20" t="n">
        <v>0</v>
      </c>
      <c r="O64" s="18" t="n">
        <v>0.35084354</v>
      </c>
      <c r="P64" s="20" t="n">
        <v>0.35188482</v>
      </c>
      <c r="Q64" s="18" t="n">
        <v>0.97529336</v>
      </c>
      <c r="R64" s="20" t="n">
        <v>0.56733743</v>
      </c>
    </row>
    <row r="65" spans="1:18">
      <c r="A65" s="15" t="s">
        <v>489</v>
      </c>
      <c r="B65" s="17" t="n">
        <v>2691</v>
      </c>
      <c r="C65" s="18">
        <f>(2260.0/B65*100)</f>
        <v/>
      </c>
      <c r="D65" s="19" t="n">
        <v>431</v>
      </c>
      <c r="E65" s="18" t="n">
        <v>57.10233984</v>
      </c>
      <c r="F65" s="20" t="n">
        <v>2.44757099</v>
      </c>
      <c r="G65" s="18" t="n">
        <v>33.33340642</v>
      </c>
      <c r="H65" s="20" t="n">
        <v>2.42757391</v>
      </c>
      <c r="I65" s="18" t="s">
        <v>431</v>
      </c>
      <c r="J65" s="20" t="s">
        <v>431</v>
      </c>
      <c r="K65" s="18" t="n">
        <v>4.92910771</v>
      </c>
      <c r="L65" s="20" t="n">
        <v>1.00547263</v>
      </c>
      <c r="M65" s="18" t="n">
        <v>0</v>
      </c>
      <c r="N65" s="20" t="n">
        <v>0</v>
      </c>
      <c r="O65" s="18" t="n">
        <v>0</v>
      </c>
      <c r="P65" s="20" t="n">
        <v>0</v>
      </c>
      <c r="Q65" s="18" t="n">
        <v>4.63514602</v>
      </c>
      <c r="R65" s="20" t="n">
        <v>0.99547502</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57.66823719</v>
      </c>
      <c r="F69" s="20" t="n">
        <v>2.49439886</v>
      </c>
      <c r="G69" s="18" t="n">
        <v>42.10102137</v>
      </c>
      <c r="H69" s="20" t="n">
        <v>2.53126007</v>
      </c>
      <c r="I69" s="18" t="s">
        <v>431</v>
      </c>
      <c r="J69" s="20" t="s">
        <v>431</v>
      </c>
      <c r="K69" s="18" t="n">
        <v>0.23074144</v>
      </c>
      <c r="L69" s="20" t="n">
        <v>0.23180517</v>
      </c>
      <c r="M69" s="18" t="n">
        <v>0</v>
      </c>
      <c r="N69" s="20" t="n">
        <v>0</v>
      </c>
      <c r="O69" s="18" t="n">
        <v>0</v>
      </c>
      <c r="P69" s="20" t="n">
        <v>0</v>
      </c>
      <c r="Q69" s="18" t="n">
        <v>0</v>
      </c>
      <c r="R69" s="20" t="n">
        <v>0</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54.70469992</v>
      </c>
      <c r="F74" s="20" t="n">
        <v>2.70704543</v>
      </c>
      <c r="G74" s="18" t="n">
        <v>32.64578747</v>
      </c>
      <c r="H74" s="20" t="n">
        <v>2.58978626</v>
      </c>
      <c r="I74" s="18" t="s">
        <v>431</v>
      </c>
      <c r="J74" s="20" t="s">
        <v>431</v>
      </c>
      <c r="K74" s="18" t="n">
        <v>8.22524007</v>
      </c>
      <c r="L74" s="20" t="n">
        <v>1.4100935</v>
      </c>
      <c r="M74" s="18" t="n">
        <v>0</v>
      </c>
      <c r="N74" s="20" t="n">
        <v>0</v>
      </c>
      <c r="O74" s="18" t="n">
        <v>0</v>
      </c>
      <c r="P74" s="20" t="n">
        <v>0</v>
      </c>
      <c r="Q74" s="18" t="n">
        <v>4.42427254</v>
      </c>
      <c r="R74" s="20" t="n">
        <v>1.24048001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38.68101524</v>
      </c>
      <c r="F78" s="20" t="n">
        <v>3.14901205</v>
      </c>
      <c r="G78" s="18" t="n">
        <v>61.31898476</v>
      </c>
      <c r="H78" s="20" t="n">
        <v>3.14901205</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(658.0/B79*100)</f>
        <v/>
      </c>
      <c r="D79" s="19" t="n">
        <v>129</v>
      </c>
      <c r="E79" s="18" t="n">
        <v>39.92620665</v>
      </c>
      <c r="F79" s="20" t="n">
        <v>4.58020666</v>
      </c>
      <c r="G79" s="18" t="n">
        <v>50.85327963</v>
      </c>
      <c r="H79" s="20" t="n">
        <v>4.53650835</v>
      </c>
      <c r="I79" s="18" t="s">
        <v>431</v>
      </c>
      <c r="J79" s="20" t="s">
        <v>431</v>
      </c>
      <c r="K79" s="18" t="n">
        <v>6.48347101</v>
      </c>
      <c r="L79" s="20" t="n">
        <v>2.43772477</v>
      </c>
      <c r="M79" s="18" t="n">
        <v>0</v>
      </c>
      <c r="N79" s="20" t="n">
        <v>0</v>
      </c>
      <c r="O79" s="18" t="n">
        <v>0</v>
      </c>
      <c r="P79" s="20" t="n">
        <v>0</v>
      </c>
      <c r="Q79" s="18" t="n">
        <v>2.73704271</v>
      </c>
      <c r="R79" s="20" t="n">
        <v>0.89659036</v>
      </c>
    </row>
    <row r="80" spans="1:18">
      <c r="A80" s="15" t="s">
        <v>504</v>
      </c>
      <c r="B80" s="17" t="n">
        <v>3798</v>
      </c>
      <c r="C80" s="18">
        <f>(3159.0/B80*100)</f>
        <v/>
      </c>
      <c r="D80" s="19" t="n">
        <v>639</v>
      </c>
      <c r="E80" s="18" t="n">
        <v>71.72734002999999</v>
      </c>
      <c r="F80" s="20" t="n">
        <v>2.35523691</v>
      </c>
      <c r="G80" s="18" t="n">
        <v>27.69975826</v>
      </c>
      <c r="H80" s="20" t="n">
        <v>2.36850546</v>
      </c>
      <c r="I80" s="18" t="s">
        <v>431</v>
      </c>
      <c r="J80" s="20" t="s">
        <v>431</v>
      </c>
      <c r="K80" s="18" t="n">
        <v>0</v>
      </c>
      <c r="L80" s="20" t="n">
        <v>0</v>
      </c>
      <c r="M80" s="18" t="n">
        <v>0</v>
      </c>
      <c r="N80" s="20" t="n">
        <v>0</v>
      </c>
      <c r="O80" s="18" t="n">
        <v>0</v>
      </c>
      <c r="P80" s="20" t="n">
        <v>0</v>
      </c>
      <c r="Q80" s="18" t="n">
        <v>0.57290171</v>
      </c>
      <c r="R80" s="20" t="n">
        <v>0.27211556</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39.67689411</v>
      </c>
      <c r="F44" s="20" t="n">
        <v>2.638025</v>
      </c>
      <c r="G44" s="18" t="n">
        <v>20.49724877</v>
      </c>
      <c r="H44" s="20" t="n">
        <v>2.61568833</v>
      </c>
      <c r="I44" s="18" t="s">
        <v>431</v>
      </c>
      <c r="J44" s="20" t="s">
        <v>431</v>
      </c>
      <c r="K44" s="18" t="n">
        <v>4.96990055</v>
      </c>
      <c r="L44" s="20" t="n">
        <v>1.2935939</v>
      </c>
      <c r="M44" s="18" t="n">
        <v>0</v>
      </c>
      <c r="N44" s="20" t="n">
        <v>0</v>
      </c>
      <c r="O44" s="18" t="n">
        <v>0</v>
      </c>
      <c r="P44" s="20" t="n">
        <v>0</v>
      </c>
      <c r="Q44" s="18" t="n">
        <v>34.85595656</v>
      </c>
      <c r="R44" s="20" t="n">
        <v>2.44587149</v>
      </c>
    </row>
    <row r="45" spans="1:18">
      <c r="A45" s="15" t="s">
        <v>469</v>
      </c>
      <c r="B45" s="17" t="n">
        <v>2849</v>
      </c>
      <c r="C45" s="18">
        <f>(2373.0/B45*100)</f>
        <v/>
      </c>
      <c r="D45" s="19" t="n">
        <v>476</v>
      </c>
      <c r="E45" s="18" t="n">
        <v>37.91701702</v>
      </c>
      <c r="F45" s="20" t="n">
        <v>2.56008998</v>
      </c>
      <c r="G45" s="18" t="n">
        <v>17.50856294</v>
      </c>
      <c r="H45" s="20" t="n">
        <v>1.68369112</v>
      </c>
      <c r="I45" s="18" t="s">
        <v>431</v>
      </c>
      <c r="J45" s="20" t="s">
        <v>431</v>
      </c>
      <c r="K45" s="18" t="n">
        <v>7.47618185</v>
      </c>
      <c r="L45" s="20" t="n">
        <v>1.23780017</v>
      </c>
      <c r="M45" s="18" t="n">
        <v>0.4452766</v>
      </c>
      <c r="N45" s="20" t="n">
        <v>0.32439572</v>
      </c>
      <c r="O45" s="18" t="n">
        <v>0</v>
      </c>
      <c r="P45" s="20" t="n">
        <v>0</v>
      </c>
      <c r="Q45" s="18" t="n">
        <v>36.65296159</v>
      </c>
      <c r="R45" s="20" t="n">
        <v>2.76171351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29.43672303</v>
      </c>
      <c r="F49" s="20" t="n">
        <v>2.81642965</v>
      </c>
      <c r="G49" s="18" t="n">
        <v>41.28694185</v>
      </c>
      <c r="H49" s="20" t="n">
        <v>2.70990459</v>
      </c>
      <c r="I49" s="18" t="s">
        <v>431</v>
      </c>
      <c r="J49" s="20" t="s">
        <v>431</v>
      </c>
      <c r="K49" s="18" t="n">
        <v>3.13933852</v>
      </c>
      <c r="L49" s="20" t="n">
        <v>0.79592205</v>
      </c>
      <c r="M49" s="18" t="n">
        <v>1.2750435</v>
      </c>
      <c r="N49" s="20" t="n">
        <v>0.40820226</v>
      </c>
      <c r="O49" s="18" t="n">
        <v>0</v>
      </c>
      <c r="P49" s="20" t="n">
        <v>0</v>
      </c>
      <c r="Q49" s="18" t="n">
        <v>24.86195311</v>
      </c>
      <c r="R49" s="20" t="n">
        <v>2.02281855</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21.49630615</v>
      </c>
      <c r="F55" s="20" t="n">
        <v>2.06846039</v>
      </c>
      <c r="G55" s="18" t="n">
        <v>31.71604638</v>
      </c>
      <c r="H55" s="20" t="n">
        <v>2.12804417</v>
      </c>
      <c r="I55" s="18" t="s">
        <v>431</v>
      </c>
      <c r="J55" s="20" t="s">
        <v>431</v>
      </c>
      <c r="K55" s="18" t="n">
        <v>1.78424953</v>
      </c>
      <c r="L55" s="20" t="n">
        <v>0.64853482</v>
      </c>
      <c r="M55" s="18" t="n">
        <v>0</v>
      </c>
      <c r="N55" s="20" t="n">
        <v>0</v>
      </c>
      <c r="O55" s="18" t="n">
        <v>0.29445727</v>
      </c>
      <c r="P55" s="20" t="n">
        <v>0.22355888</v>
      </c>
      <c r="Q55" s="18" t="n">
        <v>44.70894067</v>
      </c>
      <c r="R55" s="20" t="n">
        <v>2.55436613</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61.42031907</v>
      </c>
      <c r="F57" s="20" t="n">
        <v>2.22629061</v>
      </c>
      <c r="G57" s="18" t="n">
        <v>28.07149371</v>
      </c>
      <c r="H57" s="20" t="n">
        <v>1.83262337</v>
      </c>
      <c r="I57" s="18" t="s">
        <v>431</v>
      </c>
      <c r="J57" s="20" t="s">
        <v>431</v>
      </c>
      <c r="K57" s="18" t="n">
        <v>1.22081854</v>
      </c>
      <c r="L57" s="20" t="n">
        <v>0.5653612099999999</v>
      </c>
      <c r="M57" s="18" t="n">
        <v>0</v>
      </c>
      <c r="N57" s="20" t="n">
        <v>0</v>
      </c>
      <c r="O57" s="18" t="n">
        <v>0.46690313</v>
      </c>
      <c r="P57" s="20" t="n">
        <v>0.46033813</v>
      </c>
      <c r="Q57" s="18" t="n">
        <v>8.820465560000001</v>
      </c>
      <c r="R57" s="20" t="n">
        <v>1.4014057</v>
      </c>
    </row>
    <row r="58" spans="1:18">
      <c r="A58" s="15" t="s">
        <v>482</v>
      </c>
      <c r="B58" s="17" t="n">
        <v>3530</v>
      </c>
      <c r="C58" s="18">
        <f>(2946.0/B58*100)</f>
        <v/>
      </c>
      <c r="D58" s="19" t="n">
        <v>584</v>
      </c>
      <c r="E58" s="18" t="n">
        <v>33.62555105</v>
      </c>
      <c r="F58" s="20" t="n">
        <v>2.32879181</v>
      </c>
      <c r="G58" s="18" t="n">
        <v>34.03267741</v>
      </c>
      <c r="H58" s="20" t="n">
        <v>2.56628199</v>
      </c>
      <c r="I58" s="18" t="s">
        <v>431</v>
      </c>
      <c r="J58" s="20" t="s">
        <v>431</v>
      </c>
      <c r="K58" s="18" t="n">
        <v>4.25897445</v>
      </c>
      <c r="L58" s="20" t="n">
        <v>1.25501291</v>
      </c>
      <c r="M58" s="18" t="n">
        <v>0</v>
      </c>
      <c r="N58" s="20" t="n">
        <v>0</v>
      </c>
      <c r="O58" s="18" t="n">
        <v>0</v>
      </c>
      <c r="P58" s="20" t="n">
        <v>0</v>
      </c>
      <c r="Q58" s="18" t="n">
        <v>28.08279709</v>
      </c>
      <c r="R58" s="20" t="n">
        <v>2.33258768</v>
      </c>
    </row>
    <row r="59" spans="1:18">
      <c r="A59" s="15" t="s">
        <v>483</v>
      </c>
      <c r="B59" s="17" t="n">
        <v>2548</v>
      </c>
      <c r="C59" s="18">
        <f>(2125.0/B59*100)</f>
        <v/>
      </c>
      <c r="D59" s="19" t="n">
        <v>423</v>
      </c>
      <c r="E59" s="18" t="n">
        <v>57.53127602</v>
      </c>
      <c r="F59" s="20" t="n">
        <v>2.91020079</v>
      </c>
      <c r="G59" s="18" t="n">
        <v>14.05020972</v>
      </c>
      <c r="H59" s="20" t="n">
        <v>2.36850319</v>
      </c>
      <c r="I59" s="18" t="s">
        <v>431</v>
      </c>
      <c r="J59" s="20" t="s">
        <v>431</v>
      </c>
      <c r="K59" s="18" t="n">
        <v>1.11662139</v>
      </c>
      <c r="L59" s="20" t="n">
        <v>0.49370365</v>
      </c>
      <c r="M59" s="18" t="n">
        <v>0</v>
      </c>
      <c r="N59" s="20" t="n">
        <v>0</v>
      </c>
      <c r="O59" s="18" t="n">
        <v>0</v>
      </c>
      <c r="P59" s="20" t="n">
        <v>0</v>
      </c>
      <c r="Q59" s="18" t="n">
        <v>27.30189287</v>
      </c>
      <c r="R59" s="20" t="n">
        <v>2.56881421</v>
      </c>
    </row>
    <row r="60" spans="1:18">
      <c r="A60" s="15" t="s">
        <v>484</v>
      </c>
      <c r="B60" s="17" t="n">
        <v>2095</v>
      </c>
      <c r="C60" s="18">
        <f>(1762.0/B60*100)</f>
        <v/>
      </c>
      <c r="D60" s="19" t="n">
        <v>333</v>
      </c>
      <c r="E60" s="18" t="n">
        <v>21.95823552</v>
      </c>
      <c r="F60" s="20" t="n">
        <v>2.72899567</v>
      </c>
      <c r="G60" s="18" t="n">
        <v>37.16226513</v>
      </c>
      <c r="H60" s="20" t="n">
        <v>3.02204399</v>
      </c>
      <c r="I60" s="18" t="s">
        <v>431</v>
      </c>
      <c r="J60" s="20" t="s">
        <v>431</v>
      </c>
      <c r="K60" s="18" t="n">
        <v>4.75178536</v>
      </c>
      <c r="L60" s="20" t="n">
        <v>1.12378158</v>
      </c>
      <c r="M60" s="18" t="n">
        <v>0</v>
      </c>
      <c r="N60" s="20" t="n">
        <v>0</v>
      </c>
      <c r="O60" s="18" t="n">
        <v>0</v>
      </c>
      <c r="P60" s="20" t="n">
        <v>0</v>
      </c>
      <c r="Q60" s="18" t="n">
        <v>36.12771399</v>
      </c>
      <c r="R60" s="20" t="n">
        <v>3.0760149</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21.86198423</v>
      </c>
      <c r="F63" s="20" t="n">
        <v>2.1989902</v>
      </c>
      <c r="G63" s="18" t="n">
        <v>17.75164905</v>
      </c>
      <c r="H63" s="20" t="n">
        <v>1.79464946</v>
      </c>
      <c r="I63" s="18" t="s">
        <v>431</v>
      </c>
      <c r="J63" s="20" t="s">
        <v>431</v>
      </c>
      <c r="K63" s="18" t="n">
        <v>3.43762697</v>
      </c>
      <c r="L63" s="20" t="n">
        <v>0.7857077099999999</v>
      </c>
      <c r="M63" s="18" t="n">
        <v>0</v>
      </c>
      <c r="N63" s="20" t="n">
        <v>0</v>
      </c>
      <c r="O63" s="18" t="n">
        <v>0</v>
      </c>
      <c r="P63" s="20" t="n">
        <v>0</v>
      </c>
      <c r="Q63" s="18" t="n">
        <v>56.94873975</v>
      </c>
      <c r="R63" s="20" t="n">
        <v>2.5138295</v>
      </c>
    </row>
    <row r="64" spans="1:18">
      <c r="A64" s="15" t="s">
        <v>488</v>
      </c>
      <c r="B64" s="17" t="n">
        <v>1844</v>
      </c>
      <c r="C64" s="18">
        <f>(1541.0/B64*100)</f>
        <v/>
      </c>
      <c r="D64" s="19" t="n">
        <v>303</v>
      </c>
      <c r="E64" s="18" t="n">
        <v>16.13554103</v>
      </c>
      <c r="F64" s="20" t="n">
        <v>2.1715082</v>
      </c>
      <c r="G64" s="18" t="n">
        <v>58.85911099</v>
      </c>
      <c r="H64" s="20" t="n">
        <v>3.36503053</v>
      </c>
      <c r="I64" s="18" t="s">
        <v>431</v>
      </c>
      <c r="J64" s="20" t="s">
        <v>431</v>
      </c>
      <c r="K64" s="18" t="n">
        <v>4.8848139</v>
      </c>
      <c r="L64" s="20" t="n">
        <v>1.40294043</v>
      </c>
      <c r="M64" s="18" t="n">
        <v>0</v>
      </c>
      <c r="N64" s="20" t="n">
        <v>0</v>
      </c>
      <c r="O64" s="18" t="n">
        <v>0</v>
      </c>
      <c r="P64" s="20" t="n">
        <v>0</v>
      </c>
      <c r="Q64" s="18" t="n">
        <v>20.12053408</v>
      </c>
      <c r="R64" s="20" t="n">
        <v>2.39604299</v>
      </c>
    </row>
    <row r="65" spans="1:18">
      <c r="A65" s="15" t="s">
        <v>489</v>
      </c>
      <c r="B65" s="17" t="n">
        <v>2691</v>
      </c>
      <c r="C65" s="18">
        <f>(2260.0/B65*100)</f>
        <v/>
      </c>
      <c r="D65" s="19" t="n">
        <v>431</v>
      </c>
      <c r="E65" s="18" t="n">
        <v>27.66283325</v>
      </c>
      <c r="F65" s="20" t="n">
        <v>2.35404226</v>
      </c>
      <c r="G65" s="18" t="n">
        <v>29.66588552</v>
      </c>
      <c r="H65" s="20" t="n">
        <v>2.49186061</v>
      </c>
      <c r="I65" s="18" t="s">
        <v>431</v>
      </c>
      <c r="J65" s="20" t="s">
        <v>431</v>
      </c>
      <c r="K65" s="18" t="n">
        <v>5.87460386</v>
      </c>
      <c r="L65" s="20" t="n">
        <v>1.09069722</v>
      </c>
      <c r="M65" s="18" t="n">
        <v>0</v>
      </c>
      <c r="N65" s="20" t="n">
        <v>0</v>
      </c>
      <c r="O65" s="18" t="n">
        <v>0</v>
      </c>
      <c r="P65" s="20" t="n">
        <v>0</v>
      </c>
      <c r="Q65" s="18" t="n">
        <v>36.79667738</v>
      </c>
      <c r="R65" s="20" t="n">
        <v>2.66239298</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50.8439306</v>
      </c>
      <c r="F69" s="20" t="n">
        <v>2.8645178</v>
      </c>
      <c r="G69" s="18" t="n">
        <v>45.36941655</v>
      </c>
      <c r="H69" s="20" t="n">
        <v>2.79915564</v>
      </c>
      <c r="I69" s="18" t="s">
        <v>431</v>
      </c>
      <c r="J69" s="20" t="s">
        <v>431</v>
      </c>
      <c r="K69" s="18" t="n">
        <v>0.23074144</v>
      </c>
      <c r="L69" s="20" t="n">
        <v>0.23180517</v>
      </c>
      <c r="M69" s="18" t="n">
        <v>0</v>
      </c>
      <c r="N69" s="20" t="n">
        <v>0</v>
      </c>
      <c r="O69" s="18" t="n">
        <v>0</v>
      </c>
      <c r="P69" s="20" t="n">
        <v>0</v>
      </c>
      <c r="Q69" s="18" t="n">
        <v>3.55591141</v>
      </c>
      <c r="R69" s="20" t="n">
        <v>0.81001836</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17.18717824</v>
      </c>
      <c r="F74" s="20" t="n">
        <v>2.30979079</v>
      </c>
      <c r="G74" s="18" t="n">
        <v>39.67167491</v>
      </c>
      <c r="H74" s="20" t="n">
        <v>3.17321451</v>
      </c>
      <c r="I74" s="18" t="s">
        <v>431</v>
      </c>
      <c r="J74" s="20" t="s">
        <v>431</v>
      </c>
      <c r="K74" s="18" t="n">
        <v>10.06818028</v>
      </c>
      <c r="L74" s="20" t="n">
        <v>1.57708114</v>
      </c>
      <c r="M74" s="18" t="n">
        <v>0</v>
      </c>
      <c r="N74" s="20" t="n">
        <v>0</v>
      </c>
      <c r="O74" s="18" t="n">
        <v>0</v>
      </c>
      <c r="P74" s="20" t="n">
        <v>0</v>
      </c>
      <c r="Q74" s="18" t="n">
        <v>33.07296656</v>
      </c>
      <c r="R74" s="20" t="n">
        <v>3.02613594</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48.38572172</v>
      </c>
      <c r="F78" s="20" t="n">
        <v>2.94118579</v>
      </c>
      <c r="G78" s="18" t="n">
        <v>48.97198677</v>
      </c>
      <c r="H78" s="20" t="n">
        <v>3.05719247</v>
      </c>
      <c r="I78" s="18" t="s">
        <v>431</v>
      </c>
      <c r="J78" s="20" t="s">
        <v>431</v>
      </c>
      <c r="K78" s="18" t="n">
        <v>0</v>
      </c>
      <c r="L78" s="20" t="n">
        <v>0</v>
      </c>
      <c r="M78" s="18" t="n">
        <v>0</v>
      </c>
      <c r="N78" s="20" t="n">
        <v>0</v>
      </c>
      <c r="O78" s="18" t="n">
        <v>0</v>
      </c>
      <c r="P78" s="20" t="n">
        <v>0</v>
      </c>
      <c r="Q78" s="18" t="n">
        <v>2.64229152</v>
      </c>
      <c r="R78" s="20" t="n">
        <v>0.68050042</v>
      </c>
    </row>
    <row customHeight="1" ht="25" r="79" spans="1:18">
      <c r="A79" s="15" t="s">
        <v>503</v>
      </c>
      <c r="B79" s="17" t="n">
        <v>787</v>
      </c>
      <c r="C79" s="18">
        <f>(658.0/B79*100)</f>
        <v/>
      </c>
      <c r="D79" s="19" t="n">
        <v>129</v>
      </c>
      <c r="E79" s="18" t="n">
        <v>21.06217555</v>
      </c>
      <c r="F79" s="20" t="n">
        <v>3.65025919</v>
      </c>
      <c r="G79" s="18" t="n">
        <v>55.76494869</v>
      </c>
      <c r="H79" s="20" t="n">
        <v>4.99189657</v>
      </c>
      <c r="I79" s="18" t="s">
        <v>431</v>
      </c>
      <c r="J79" s="20" t="s">
        <v>431</v>
      </c>
      <c r="K79" s="18" t="n">
        <v>7.15607942</v>
      </c>
      <c r="L79" s="20" t="n">
        <v>2.55898799</v>
      </c>
      <c r="M79" s="18" t="n">
        <v>0</v>
      </c>
      <c r="N79" s="20" t="n">
        <v>0</v>
      </c>
      <c r="O79" s="18" t="n">
        <v>0</v>
      </c>
      <c r="P79" s="20" t="n">
        <v>0</v>
      </c>
      <c r="Q79" s="18" t="n">
        <v>16.01679634</v>
      </c>
      <c r="R79" s="20" t="n">
        <v>3.33171704</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23.72545935</v>
      </c>
      <c r="F44" s="20" t="n">
        <v>2.41258321</v>
      </c>
      <c r="G44" s="18" t="n">
        <v>69.03578109</v>
      </c>
      <c r="H44" s="20" t="n">
        <v>2.68508843</v>
      </c>
      <c r="I44" s="18" t="s">
        <v>431</v>
      </c>
      <c r="J44" s="20" t="s">
        <v>431</v>
      </c>
      <c r="K44" s="18" t="n">
        <v>5.18888837</v>
      </c>
      <c r="L44" s="20" t="n">
        <v>1.17099034</v>
      </c>
      <c r="M44" s="18" t="n">
        <v>0</v>
      </c>
      <c r="N44" s="20" t="n">
        <v>0</v>
      </c>
      <c r="O44" s="18" t="n">
        <v>0.58780713</v>
      </c>
      <c r="P44" s="20" t="n">
        <v>0.43452823</v>
      </c>
      <c r="Q44" s="18" t="n">
        <v>1.46206407</v>
      </c>
      <c r="R44" s="20" t="n">
        <v>0.56753597</v>
      </c>
    </row>
    <row r="45" spans="1:18">
      <c r="A45" s="15" t="s">
        <v>469</v>
      </c>
      <c r="B45" s="17" t="n">
        <v>2849</v>
      </c>
      <c r="C45" s="18">
        <f>(2373.0/B45*100)</f>
        <v/>
      </c>
      <c r="D45" s="19" t="n">
        <v>476</v>
      </c>
      <c r="E45" s="18" t="n">
        <v>32.55846183</v>
      </c>
      <c r="F45" s="20" t="n">
        <v>2.34843299</v>
      </c>
      <c r="G45" s="18" t="n">
        <v>55.98877898</v>
      </c>
      <c r="H45" s="20" t="n">
        <v>2.25939655</v>
      </c>
      <c r="I45" s="18" t="s">
        <v>431</v>
      </c>
      <c r="J45" s="20" t="s">
        <v>431</v>
      </c>
      <c r="K45" s="18" t="n">
        <v>7.71827353</v>
      </c>
      <c r="L45" s="20" t="n">
        <v>1.25908879</v>
      </c>
      <c r="M45" s="18" t="n">
        <v>0</v>
      </c>
      <c r="N45" s="20" t="n">
        <v>0</v>
      </c>
      <c r="O45" s="18" t="n">
        <v>2.35308018</v>
      </c>
      <c r="P45" s="20" t="n">
        <v>0.60211986</v>
      </c>
      <c r="Q45" s="18" t="n">
        <v>1.38140548</v>
      </c>
      <c r="R45" s="20" t="n">
        <v>0.61301663</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31.00384271</v>
      </c>
      <c r="F49" s="20" t="n">
        <v>2.16440718</v>
      </c>
      <c r="G49" s="18" t="n">
        <v>64.45252508</v>
      </c>
      <c r="H49" s="20" t="n">
        <v>2.20147467</v>
      </c>
      <c r="I49" s="18" t="s">
        <v>431</v>
      </c>
      <c r="J49" s="20" t="s">
        <v>431</v>
      </c>
      <c r="K49" s="18" t="n">
        <v>3.2326312</v>
      </c>
      <c r="L49" s="20" t="n">
        <v>0.80043214</v>
      </c>
      <c r="M49" s="18" t="n">
        <v>0.07649728</v>
      </c>
      <c r="N49" s="20" t="n">
        <v>0.07640689000000001</v>
      </c>
      <c r="O49" s="18" t="n">
        <v>0.31311499</v>
      </c>
      <c r="P49" s="20" t="n">
        <v>0.30300922</v>
      </c>
      <c r="Q49" s="18" t="n">
        <v>0.92138874</v>
      </c>
      <c r="R49" s="20" t="n">
        <v>0.52621705</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39.06733191</v>
      </c>
      <c r="F55" s="20" t="n">
        <v>2.4014655</v>
      </c>
      <c r="G55" s="18" t="n">
        <v>57.49327441</v>
      </c>
      <c r="H55" s="20" t="n">
        <v>2.54035723</v>
      </c>
      <c r="I55" s="18" t="s">
        <v>431</v>
      </c>
      <c r="J55" s="20" t="s">
        <v>431</v>
      </c>
      <c r="K55" s="18" t="n">
        <v>2.06512683</v>
      </c>
      <c r="L55" s="20" t="n">
        <v>0.62171559</v>
      </c>
      <c r="M55" s="18" t="n">
        <v>0</v>
      </c>
      <c r="N55" s="20" t="n">
        <v>0</v>
      </c>
      <c r="O55" s="18" t="n">
        <v>0.79917969</v>
      </c>
      <c r="P55" s="20" t="n">
        <v>0.38724594</v>
      </c>
      <c r="Q55" s="18" t="n">
        <v>0.57508716</v>
      </c>
      <c r="R55" s="20" t="n">
        <v>0.350355</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31.1973443</v>
      </c>
      <c r="F57" s="20" t="n">
        <v>2.24327202</v>
      </c>
      <c r="G57" s="18" t="n">
        <v>66.49082104999999</v>
      </c>
      <c r="H57" s="20" t="n">
        <v>2.31127831</v>
      </c>
      <c r="I57" s="18" t="s">
        <v>431</v>
      </c>
      <c r="J57" s="20" t="s">
        <v>431</v>
      </c>
      <c r="K57" s="18" t="n">
        <v>1.47309834</v>
      </c>
      <c r="L57" s="20" t="n">
        <v>0.62446655</v>
      </c>
      <c r="M57" s="18" t="n">
        <v>0</v>
      </c>
      <c r="N57" s="20" t="n">
        <v>0</v>
      </c>
      <c r="O57" s="18" t="n">
        <v>0</v>
      </c>
      <c r="P57" s="20" t="n">
        <v>0</v>
      </c>
      <c r="Q57" s="18" t="n">
        <v>0.83873631</v>
      </c>
      <c r="R57" s="20" t="n">
        <v>0.35832063</v>
      </c>
    </row>
    <row r="58" spans="1:18">
      <c r="A58" s="15" t="s">
        <v>482</v>
      </c>
      <c r="B58" s="17" t="n">
        <v>3530</v>
      </c>
      <c r="C58" s="18">
        <f>(2946.0/B58*100)</f>
        <v/>
      </c>
      <c r="D58" s="19" t="n">
        <v>584</v>
      </c>
      <c r="E58" s="18" t="n">
        <v>36.61935366</v>
      </c>
      <c r="F58" s="20" t="n">
        <v>1.92872641</v>
      </c>
      <c r="G58" s="18" t="n">
        <v>56.17599375</v>
      </c>
      <c r="H58" s="20" t="n">
        <v>2.24489537</v>
      </c>
      <c r="I58" s="18" t="s">
        <v>431</v>
      </c>
      <c r="J58" s="20" t="s">
        <v>431</v>
      </c>
      <c r="K58" s="18" t="n">
        <v>4.36099487</v>
      </c>
      <c r="L58" s="20" t="n">
        <v>1.25972226</v>
      </c>
      <c r="M58" s="18" t="n">
        <v>0</v>
      </c>
      <c r="N58" s="20" t="n">
        <v>0</v>
      </c>
      <c r="O58" s="18" t="n">
        <v>0.55894771</v>
      </c>
      <c r="P58" s="20" t="n">
        <v>0.30489495</v>
      </c>
      <c r="Q58" s="18" t="n">
        <v>2.28471001</v>
      </c>
      <c r="R58" s="20" t="n">
        <v>0.63088758</v>
      </c>
    </row>
    <row r="59" spans="1:18">
      <c r="A59" s="15" t="s">
        <v>483</v>
      </c>
      <c r="B59" s="17" t="n">
        <v>2548</v>
      </c>
      <c r="C59" s="18">
        <f>(2125.0/B59*100)</f>
        <v/>
      </c>
      <c r="D59" s="19" t="n">
        <v>423</v>
      </c>
      <c r="E59" s="18" t="n">
        <v>26.20319348</v>
      </c>
      <c r="F59" s="20" t="n">
        <v>2.39476952</v>
      </c>
      <c r="G59" s="18" t="n">
        <v>71.98541892999999</v>
      </c>
      <c r="H59" s="20" t="n">
        <v>2.44424729</v>
      </c>
      <c r="I59" s="18" t="s">
        <v>431</v>
      </c>
      <c r="J59" s="20" t="s">
        <v>431</v>
      </c>
      <c r="K59" s="18" t="n">
        <v>1.11662139</v>
      </c>
      <c r="L59" s="20" t="n">
        <v>0.49370365</v>
      </c>
      <c r="M59" s="18" t="n">
        <v>0</v>
      </c>
      <c r="N59" s="20" t="n">
        <v>0</v>
      </c>
      <c r="O59" s="18" t="n">
        <v>0.5892474599999999</v>
      </c>
      <c r="P59" s="20" t="n">
        <v>0.30561614</v>
      </c>
      <c r="Q59" s="18" t="n">
        <v>0.10551874</v>
      </c>
      <c r="R59" s="20" t="n">
        <v>0.10617751</v>
      </c>
    </row>
    <row r="60" spans="1:18">
      <c r="A60" s="15" t="s">
        <v>484</v>
      </c>
      <c r="B60" s="17" t="n">
        <v>2095</v>
      </c>
      <c r="C60" s="18">
        <f>(1762.0/B60*100)</f>
        <v/>
      </c>
      <c r="D60" s="19" t="n">
        <v>333</v>
      </c>
      <c r="E60" s="18" t="n">
        <v>30.12760329</v>
      </c>
      <c r="F60" s="20" t="n">
        <v>2.76305423</v>
      </c>
      <c r="G60" s="18" t="n">
        <v>60.07532961</v>
      </c>
      <c r="H60" s="20" t="n">
        <v>3.20578532</v>
      </c>
      <c r="I60" s="18" t="s">
        <v>431</v>
      </c>
      <c r="J60" s="20" t="s">
        <v>431</v>
      </c>
      <c r="K60" s="18" t="n">
        <v>5.08464012</v>
      </c>
      <c r="L60" s="20" t="n">
        <v>1.23795442</v>
      </c>
      <c r="M60" s="18" t="n">
        <v>0.59974258</v>
      </c>
      <c r="N60" s="20" t="n">
        <v>0.59865231</v>
      </c>
      <c r="O60" s="18" t="n">
        <v>2.29232111</v>
      </c>
      <c r="P60" s="20" t="n">
        <v>1.48274234</v>
      </c>
      <c r="Q60" s="18" t="n">
        <v>1.82036329</v>
      </c>
      <c r="R60" s="20" t="n">
        <v>0.8636262300000001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39.8239733</v>
      </c>
      <c r="F63" s="20" t="n">
        <v>2.33218581</v>
      </c>
      <c r="G63" s="18" t="n">
        <v>53.77365126</v>
      </c>
      <c r="H63" s="20" t="n">
        <v>2.33608282</v>
      </c>
      <c r="I63" s="18" t="s">
        <v>431</v>
      </c>
      <c r="J63" s="20" t="s">
        <v>431</v>
      </c>
      <c r="K63" s="18" t="n">
        <v>3.92558311</v>
      </c>
      <c r="L63" s="20" t="n">
        <v>0.85884001</v>
      </c>
      <c r="M63" s="18" t="n">
        <v>0</v>
      </c>
      <c r="N63" s="20" t="n">
        <v>0</v>
      </c>
      <c r="O63" s="18" t="n">
        <v>0.1627244</v>
      </c>
      <c r="P63" s="20" t="n">
        <v>0.16424192</v>
      </c>
      <c r="Q63" s="18" t="n">
        <v>2.31406792</v>
      </c>
      <c r="R63" s="20" t="n">
        <v>0.74032779</v>
      </c>
    </row>
    <row r="64" spans="1:18">
      <c r="A64" s="15" t="s">
        <v>488</v>
      </c>
      <c r="B64" s="17" t="n">
        <v>1844</v>
      </c>
      <c r="C64" s="18">
        <f>(1541.0/B64*100)</f>
        <v/>
      </c>
      <c r="D64" s="19" t="n">
        <v>303</v>
      </c>
      <c r="E64" s="18" t="n">
        <v>21.00707037</v>
      </c>
      <c r="F64" s="20" t="n">
        <v>2.36232361</v>
      </c>
      <c r="G64" s="18" t="n">
        <v>71.47225735000001</v>
      </c>
      <c r="H64" s="20" t="n">
        <v>2.76997424</v>
      </c>
      <c r="I64" s="18" t="s">
        <v>431</v>
      </c>
      <c r="J64" s="20" t="s">
        <v>431</v>
      </c>
      <c r="K64" s="18" t="n">
        <v>5.55609843</v>
      </c>
      <c r="L64" s="20" t="n">
        <v>1.46127968</v>
      </c>
      <c r="M64" s="18" t="n">
        <v>0</v>
      </c>
      <c r="N64" s="20" t="n">
        <v>0</v>
      </c>
      <c r="O64" s="18" t="n">
        <v>0.61736007</v>
      </c>
      <c r="P64" s="20" t="n">
        <v>0.44369212</v>
      </c>
      <c r="Q64" s="18" t="n">
        <v>1.34721378</v>
      </c>
      <c r="R64" s="20" t="n">
        <v>0.67381007</v>
      </c>
    </row>
    <row r="65" spans="1:18">
      <c r="A65" s="15" t="s">
        <v>489</v>
      </c>
      <c r="B65" s="17" t="n">
        <v>2691</v>
      </c>
      <c r="C65" s="18">
        <f>(2260.0/B65*100)</f>
        <v/>
      </c>
      <c r="D65" s="19" t="n">
        <v>431</v>
      </c>
      <c r="E65" s="18" t="n">
        <v>20.9025316</v>
      </c>
      <c r="F65" s="20" t="n">
        <v>2.05089221</v>
      </c>
      <c r="G65" s="18" t="n">
        <v>70.17880237</v>
      </c>
      <c r="H65" s="20" t="n">
        <v>2.20920318</v>
      </c>
      <c r="I65" s="18" t="s">
        <v>431</v>
      </c>
      <c r="J65" s="20" t="s">
        <v>431</v>
      </c>
      <c r="K65" s="18" t="n">
        <v>6.30259815</v>
      </c>
      <c r="L65" s="20" t="n">
        <v>1.12405469</v>
      </c>
      <c r="M65" s="18" t="n">
        <v>1.49958011</v>
      </c>
      <c r="N65" s="20" t="n">
        <v>0.62690712</v>
      </c>
      <c r="O65" s="18" t="n">
        <v>0</v>
      </c>
      <c r="P65" s="20" t="n">
        <v>0</v>
      </c>
      <c r="Q65" s="18" t="n">
        <v>1.11648778</v>
      </c>
      <c r="R65" s="20" t="n">
        <v>0.45063932</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25.22259005</v>
      </c>
      <c r="F69" s="20" t="n">
        <v>2.32357468</v>
      </c>
      <c r="G69" s="18" t="n">
        <v>74.34993838</v>
      </c>
      <c r="H69" s="20" t="n">
        <v>2.33409494</v>
      </c>
      <c r="I69" s="18" t="s">
        <v>431</v>
      </c>
      <c r="J69" s="20" t="s">
        <v>431</v>
      </c>
      <c r="K69" s="18" t="n">
        <v>0.23074144</v>
      </c>
      <c r="L69" s="20" t="n">
        <v>0.23180517</v>
      </c>
      <c r="M69" s="18" t="n">
        <v>0</v>
      </c>
      <c r="N69" s="20" t="n">
        <v>0</v>
      </c>
      <c r="O69" s="18" t="n">
        <v>0</v>
      </c>
      <c r="P69" s="20" t="n">
        <v>0</v>
      </c>
      <c r="Q69" s="18" t="n">
        <v>0.19673014</v>
      </c>
      <c r="R69" s="20" t="n">
        <v>0.19653449</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18.69096874</v>
      </c>
      <c r="F74" s="20" t="n">
        <v>2.10110726</v>
      </c>
      <c r="G74" s="18" t="n">
        <v>69.97666006999999</v>
      </c>
      <c r="H74" s="20" t="n">
        <v>2.74821087</v>
      </c>
      <c r="I74" s="18" t="s">
        <v>431</v>
      </c>
      <c r="J74" s="20" t="s">
        <v>431</v>
      </c>
      <c r="K74" s="18" t="n">
        <v>10.31194774</v>
      </c>
      <c r="L74" s="20" t="n">
        <v>1.59192452</v>
      </c>
      <c r="M74" s="18" t="n">
        <v>0</v>
      </c>
      <c r="N74" s="20" t="n">
        <v>0</v>
      </c>
      <c r="O74" s="18" t="n">
        <v>0</v>
      </c>
      <c r="P74" s="20" t="n">
        <v>0</v>
      </c>
      <c r="Q74" s="18" t="n">
        <v>1.02042345</v>
      </c>
      <c r="R74" s="20" t="n">
        <v>0.70565229</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4.05519004</v>
      </c>
      <c r="F78" s="20" t="n">
        <v>0.97790255</v>
      </c>
      <c r="G78" s="18" t="n">
        <v>95.94480996</v>
      </c>
      <c r="H78" s="20" t="n">
        <v>0.97790255</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(658.0/B79*100)</f>
        <v/>
      </c>
      <c r="D79" s="19" t="n">
        <v>129</v>
      </c>
      <c r="E79" s="18" t="n">
        <v>14.03896697</v>
      </c>
      <c r="F79" s="20" t="n">
        <v>2.67849853</v>
      </c>
      <c r="G79" s="18" t="n">
        <v>76.93519961</v>
      </c>
      <c r="H79" s="20" t="n">
        <v>3.82840096</v>
      </c>
      <c r="I79" s="18" t="s">
        <v>431</v>
      </c>
      <c r="J79" s="20" t="s">
        <v>431</v>
      </c>
      <c r="K79" s="18" t="n">
        <v>7.15607942</v>
      </c>
      <c r="L79" s="20" t="n">
        <v>2.55898799</v>
      </c>
      <c r="M79" s="18" t="n">
        <v>0.90354497</v>
      </c>
      <c r="N79" s="20" t="n">
        <v>0.90850125</v>
      </c>
      <c r="O79" s="18" t="n">
        <v>0</v>
      </c>
      <c r="P79" s="20" t="n">
        <v>0</v>
      </c>
      <c r="Q79" s="18" t="n">
        <v>0.96620903</v>
      </c>
      <c r="R79" s="20" t="n">
        <v>0.86671361</v>
      </c>
    </row>
    <row r="80" spans="1:18">
      <c r="A80" s="15" t="s">
        <v>504</v>
      </c>
      <c r="B80" s="17" t="n">
        <v>3798</v>
      </c>
      <c r="C80" s="18">
        <f>(3159.0/B80*100)</f>
        <v/>
      </c>
      <c r="D80" s="19" t="n">
        <v>639</v>
      </c>
      <c r="E80" s="18" t="n">
        <v>28.50234148</v>
      </c>
      <c r="F80" s="20" t="n">
        <v>2.54323616</v>
      </c>
      <c r="G80" s="18" t="n">
        <v>71.25376066</v>
      </c>
      <c r="H80" s="20" t="n">
        <v>2.54790736</v>
      </c>
      <c r="I80" s="18" t="s">
        <v>431</v>
      </c>
      <c r="J80" s="20" t="s">
        <v>431</v>
      </c>
      <c r="K80" s="18" t="n">
        <v>0</v>
      </c>
      <c r="L80" s="20" t="n">
        <v>0</v>
      </c>
      <c r="M80" s="18" t="n">
        <v>0</v>
      </c>
      <c r="N80" s="20" t="n">
        <v>0</v>
      </c>
      <c r="O80" s="18" t="n">
        <v>0</v>
      </c>
      <c r="P80" s="20" t="n">
        <v>0</v>
      </c>
      <c r="Q80" s="18" t="n">
        <v>0.24389786</v>
      </c>
      <c r="R80" s="20" t="n">
        <v>0.23995702</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57.61248561</v>
      </c>
      <c r="F44" s="20" t="n">
        <v>2.94159086</v>
      </c>
      <c r="G44" s="18" t="n">
        <v>31.3510892</v>
      </c>
      <c r="H44" s="20" t="n">
        <v>2.95421958</v>
      </c>
      <c r="I44" s="18" t="s">
        <v>431</v>
      </c>
      <c r="J44" s="20" t="s">
        <v>431</v>
      </c>
      <c r="K44" s="18" t="n">
        <v>5.73799799</v>
      </c>
      <c r="L44" s="20" t="n">
        <v>1.22786439</v>
      </c>
      <c r="M44" s="18" t="n">
        <v>0</v>
      </c>
      <c r="N44" s="20" t="n">
        <v>0</v>
      </c>
      <c r="O44" s="18" t="n">
        <v>1.77353957</v>
      </c>
      <c r="P44" s="20" t="n">
        <v>0.69198802</v>
      </c>
      <c r="Q44" s="18" t="n">
        <v>3.52488763</v>
      </c>
      <c r="R44" s="20" t="n">
        <v>0.88080811</v>
      </c>
    </row>
    <row r="45" spans="1:18">
      <c r="A45" s="15" t="s">
        <v>469</v>
      </c>
      <c r="B45" s="17" t="n">
        <v>2849</v>
      </c>
      <c r="C45" s="18">
        <f>(2373.0/B45*100)</f>
        <v/>
      </c>
      <c r="D45" s="19" t="n">
        <v>476</v>
      </c>
      <c r="E45" s="18" t="n">
        <v>48.15234837</v>
      </c>
      <c r="F45" s="20" t="n">
        <v>2.67767944</v>
      </c>
      <c r="G45" s="18" t="n">
        <v>37.89460314</v>
      </c>
      <c r="H45" s="20" t="n">
        <v>2.36105978</v>
      </c>
      <c r="I45" s="18" t="s">
        <v>431</v>
      </c>
      <c r="J45" s="20" t="s">
        <v>431</v>
      </c>
      <c r="K45" s="18" t="n">
        <v>8.50955609</v>
      </c>
      <c r="L45" s="20" t="n">
        <v>1.39372134</v>
      </c>
      <c r="M45" s="18" t="n">
        <v>0</v>
      </c>
      <c r="N45" s="20" t="n">
        <v>0</v>
      </c>
      <c r="O45" s="18" t="n">
        <v>2.92700882</v>
      </c>
      <c r="P45" s="20" t="n">
        <v>0.76651041</v>
      </c>
      <c r="Q45" s="18" t="n">
        <v>2.51648358</v>
      </c>
      <c r="R45" s="20" t="n">
        <v>0.78086655</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51.46687185</v>
      </c>
      <c r="F49" s="20" t="n">
        <v>2.64663337</v>
      </c>
      <c r="G49" s="18" t="n">
        <v>43.4763959</v>
      </c>
      <c r="H49" s="20" t="n">
        <v>2.71309766</v>
      </c>
      <c r="I49" s="18" t="s">
        <v>431</v>
      </c>
      <c r="J49" s="20" t="s">
        <v>431</v>
      </c>
      <c r="K49" s="18" t="n">
        <v>3.49867239</v>
      </c>
      <c r="L49" s="20" t="n">
        <v>0.84780964</v>
      </c>
      <c r="M49" s="18" t="n">
        <v>0.07649728</v>
      </c>
      <c r="N49" s="20" t="n">
        <v>0.07640689000000001</v>
      </c>
      <c r="O49" s="18" t="n">
        <v>0.73750305</v>
      </c>
      <c r="P49" s="20" t="n">
        <v>0.48301421</v>
      </c>
      <c r="Q49" s="18" t="n">
        <v>0.74405953</v>
      </c>
      <c r="R49" s="20" t="n">
        <v>0.48031042</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55.94071955</v>
      </c>
      <c r="F55" s="20" t="n">
        <v>2.64120509</v>
      </c>
      <c r="G55" s="18" t="n">
        <v>39.03732069</v>
      </c>
      <c r="H55" s="20" t="n">
        <v>2.42938276</v>
      </c>
      <c r="I55" s="18" t="s">
        <v>431</v>
      </c>
      <c r="J55" s="20" t="s">
        <v>431</v>
      </c>
      <c r="K55" s="18" t="n">
        <v>2.46603535</v>
      </c>
      <c r="L55" s="20" t="n">
        <v>0.64496391</v>
      </c>
      <c r="M55" s="18" t="n">
        <v>0</v>
      </c>
      <c r="N55" s="20" t="n">
        <v>0</v>
      </c>
      <c r="O55" s="18" t="n">
        <v>0.6690435</v>
      </c>
      <c r="P55" s="20" t="n">
        <v>0.53209148</v>
      </c>
      <c r="Q55" s="18" t="n">
        <v>1.8868809</v>
      </c>
      <c r="R55" s="20" t="n">
        <v>0.7503914</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57.12081694</v>
      </c>
      <c r="F57" s="20" t="n">
        <v>2.4604012</v>
      </c>
      <c r="G57" s="18" t="n">
        <v>40.61927037</v>
      </c>
      <c r="H57" s="20" t="n">
        <v>2.55214934</v>
      </c>
      <c r="I57" s="18" t="s">
        <v>431</v>
      </c>
      <c r="J57" s="20" t="s">
        <v>431</v>
      </c>
      <c r="K57" s="18" t="n">
        <v>1.65524153</v>
      </c>
      <c r="L57" s="20" t="n">
        <v>0.65072931</v>
      </c>
      <c r="M57" s="18" t="n">
        <v>0</v>
      </c>
      <c r="N57" s="20" t="n">
        <v>0</v>
      </c>
      <c r="O57" s="18" t="n">
        <v>0</v>
      </c>
      <c r="P57" s="20" t="n">
        <v>0</v>
      </c>
      <c r="Q57" s="18" t="n">
        <v>0.60467116</v>
      </c>
      <c r="R57" s="20" t="n">
        <v>0.26153804</v>
      </c>
    </row>
    <row r="58" spans="1:18">
      <c r="A58" s="15" t="s">
        <v>482</v>
      </c>
      <c r="B58" s="17" t="n">
        <v>3530</v>
      </c>
      <c r="C58" s="18">
        <f>(2946.0/B58*100)</f>
        <v/>
      </c>
      <c r="D58" s="19" t="n">
        <v>584</v>
      </c>
      <c r="E58" s="18" t="n">
        <v>48.24644235</v>
      </c>
      <c r="F58" s="20" t="n">
        <v>2.42478786</v>
      </c>
      <c r="G58" s="18" t="n">
        <v>43.1858097</v>
      </c>
      <c r="H58" s="20" t="n">
        <v>2.26583137</v>
      </c>
      <c r="I58" s="18" t="s">
        <v>431</v>
      </c>
      <c r="J58" s="20" t="s">
        <v>431</v>
      </c>
      <c r="K58" s="18" t="n">
        <v>4.63464925</v>
      </c>
      <c r="L58" s="20" t="n">
        <v>1.24080771</v>
      </c>
      <c r="M58" s="18" t="n">
        <v>0</v>
      </c>
      <c r="N58" s="20" t="n">
        <v>0</v>
      </c>
      <c r="O58" s="18" t="n">
        <v>0.70253199</v>
      </c>
      <c r="P58" s="20" t="n">
        <v>0.3794727</v>
      </c>
      <c r="Q58" s="18" t="n">
        <v>3.2305667</v>
      </c>
      <c r="R58" s="20" t="n">
        <v>0.8574079</v>
      </c>
    </row>
    <row r="59" spans="1:18">
      <c r="A59" s="15" t="s">
        <v>483</v>
      </c>
      <c r="B59" s="17" t="n">
        <v>2548</v>
      </c>
      <c r="C59" s="18">
        <f>(2125.0/B59*100)</f>
        <v/>
      </c>
      <c r="D59" s="19" t="n">
        <v>423</v>
      </c>
      <c r="E59" s="18" t="n">
        <v>71.28687741</v>
      </c>
      <c r="F59" s="20" t="n">
        <v>2.807453</v>
      </c>
      <c r="G59" s="18" t="n">
        <v>24.10817893</v>
      </c>
      <c r="H59" s="20" t="n">
        <v>2.6548655</v>
      </c>
      <c r="I59" s="18" t="s">
        <v>431</v>
      </c>
      <c r="J59" s="20" t="s">
        <v>431</v>
      </c>
      <c r="K59" s="18" t="n">
        <v>1.338945</v>
      </c>
      <c r="L59" s="20" t="n">
        <v>0.54079466</v>
      </c>
      <c r="M59" s="18" t="n">
        <v>0</v>
      </c>
      <c r="N59" s="20" t="n">
        <v>0</v>
      </c>
      <c r="O59" s="18" t="n">
        <v>2.15514138</v>
      </c>
      <c r="P59" s="20" t="n">
        <v>0.94399998</v>
      </c>
      <c r="Q59" s="18" t="n">
        <v>1.11085728</v>
      </c>
      <c r="R59" s="20" t="n">
        <v>0.6556078400000001</v>
      </c>
    </row>
    <row r="60" spans="1:18">
      <c r="A60" s="15" t="s">
        <v>484</v>
      </c>
      <c r="B60" s="17" t="n">
        <v>2095</v>
      </c>
      <c r="C60" s="18">
        <f>(1762.0/B60*100)</f>
        <v/>
      </c>
      <c r="D60" s="19" t="n">
        <v>333</v>
      </c>
      <c r="E60" s="18" t="n">
        <v>51.42698832</v>
      </c>
      <c r="F60" s="20" t="n">
        <v>2.89104238</v>
      </c>
      <c r="G60" s="18" t="n">
        <v>35.16622559</v>
      </c>
      <c r="H60" s="20" t="n">
        <v>2.90265888</v>
      </c>
      <c r="I60" s="18" t="s">
        <v>431</v>
      </c>
      <c r="J60" s="20" t="s">
        <v>431</v>
      </c>
      <c r="K60" s="18" t="n">
        <v>5.86364514</v>
      </c>
      <c r="L60" s="20" t="n">
        <v>1.28524179</v>
      </c>
      <c r="M60" s="18" t="n">
        <v>0</v>
      </c>
      <c r="N60" s="20" t="n">
        <v>0</v>
      </c>
      <c r="O60" s="18" t="n">
        <v>3.88853642</v>
      </c>
      <c r="P60" s="20" t="n">
        <v>1.6094655</v>
      </c>
      <c r="Q60" s="18" t="n">
        <v>3.65460452</v>
      </c>
      <c r="R60" s="20" t="n">
        <v>1.26224587</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68.89343058999999</v>
      </c>
      <c r="F63" s="20" t="n">
        <v>2.56192844</v>
      </c>
      <c r="G63" s="18" t="n">
        <v>22.20368898</v>
      </c>
      <c r="H63" s="20" t="n">
        <v>2.34679313</v>
      </c>
      <c r="I63" s="18" t="s">
        <v>431</v>
      </c>
      <c r="J63" s="20" t="s">
        <v>431</v>
      </c>
      <c r="K63" s="18" t="n">
        <v>4.37905624</v>
      </c>
      <c r="L63" s="20" t="n">
        <v>0.90562709</v>
      </c>
      <c r="M63" s="18" t="n">
        <v>0</v>
      </c>
      <c r="N63" s="20" t="n">
        <v>0</v>
      </c>
      <c r="O63" s="18" t="n">
        <v>0.28611937</v>
      </c>
      <c r="P63" s="20" t="n">
        <v>0.28686361</v>
      </c>
      <c r="Q63" s="18" t="n">
        <v>4.23770481</v>
      </c>
      <c r="R63" s="20" t="n">
        <v>1.04400084</v>
      </c>
    </row>
    <row r="64" spans="1:18">
      <c r="A64" s="15" t="s">
        <v>488</v>
      </c>
      <c r="B64" s="17" t="n">
        <v>1844</v>
      </c>
      <c r="C64" s="18">
        <f>(1541.0/B64*100)</f>
        <v/>
      </c>
      <c r="D64" s="19" t="n">
        <v>303</v>
      </c>
      <c r="E64" s="18" t="n">
        <v>49.13820255</v>
      </c>
      <c r="F64" s="20" t="n">
        <v>2.89045443</v>
      </c>
      <c r="G64" s="18" t="n">
        <v>42.24629025</v>
      </c>
      <c r="H64" s="20" t="n">
        <v>2.94877469</v>
      </c>
      <c r="I64" s="18" t="s">
        <v>431</v>
      </c>
      <c r="J64" s="20" t="s">
        <v>431</v>
      </c>
      <c r="K64" s="18" t="n">
        <v>5.85179082</v>
      </c>
      <c r="L64" s="20" t="n">
        <v>1.47937459</v>
      </c>
      <c r="M64" s="18" t="n">
        <v>0</v>
      </c>
      <c r="N64" s="20" t="n">
        <v>0</v>
      </c>
      <c r="O64" s="18" t="n">
        <v>0</v>
      </c>
      <c r="P64" s="20" t="n">
        <v>0</v>
      </c>
      <c r="Q64" s="18" t="n">
        <v>2.76371638</v>
      </c>
      <c r="R64" s="20" t="n">
        <v>0.95175685</v>
      </c>
    </row>
    <row r="65" spans="1:18">
      <c r="A65" s="15" t="s">
        <v>489</v>
      </c>
      <c r="B65" s="17" t="n">
        <v>2691</v>
      </c>
      <c r="C65" s="18">
        <f>(2260.0/B65*100)</f>
        <v/>
      </c>
      <c r="D65" s="19" t="n">
        <v>431</v>
      </c>
      <c r="E65" s="18" t="n">
        <v>51.13647348</v>
      </c>
      <c r="F65" s="20" t="n">
        <v>2.54844321</v>
      </c>
      <c r="G65" s="18" t="n">
        <v>38.69102491</v>
      </c>
      <c r="H65" s="20" t="n">
        <v>2.15950418</v>
      </c>
      <c r="I65" s="18" t="s">
        <v>431</v>
      </c>
      <c r="J65" s="20" t="s">
        <v>431</v>
      </c>
      <c r="K65" s="18" t="n">
        <v>6.49846965</v>
      </c>
      <c r="L65" s="20" t="n">
        <v>1.14125069</v>
      </c>
      <c r="M65" s="18" t="n">
        <v>1.44128643</v>
      </c>
      <c r="N65" s="20" t="n">
        <v>0.58377853</v>
      </c>
      <c r="O65" s="18" t="n">
        <v>0</v>
      </c>
      <c r="P65" s="20" t="n">
        <v>0</v>
      </c>
      <c r="Q65" s="18" t="n">
        <v>2.23274553</v>
      </c>
      <c r="R65" s="20" t="n">
        <v>0.77715638</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59.31362378</v>
      </c>
      <c r="F69" s="20" t="n">
        <v>2.7887471</v>
      </c>
      <c r="G69" s="18" t="n">
        <v>40.25890464</v>
      </c>
      <c r="H69" s="20" t="n">
        <v>2.72224232</v>
      </c>
      <c r="I69" s="18" t="s">
        <v>431</v>
      </c>
      <c r="J69" s="20" t="s">
        <v>431</v>
      </c>
      <c r="K69" s="18" t="n">
        <v>0.23074144</v>
      </c>
      <c r="L69" s="20" t="n">
        <v>0.23180517</v>
      </c>
      <c r="M69" s="18" t="n">
        <v>0</v>
      </c>
      <c r="N69" s="20" t="n">
        <v>0</v>
      </c>
      <c r="O69" s="18" t="n">
        <v>0</v>
      </c>
      <c r="P69" s="20" t="n">
        <v>0</v>
      </c>
      <c r="Q69" s="18" t="n">
        <v>0.19673014</v>
      </c>
      <c r="R69" s="20" t="n">
        <v>0.19653449</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61.00193233</v>
      </c>
      <c r="F74" s="20" t="n">
        <v>2.84360554</v>
      </c>
      <c r="G74" s="18" t="n">
        <v>25.35880429</v>
      </c>
      <c r="H74" s="20" t="n">
        <v>2.43509021</v>
      </c>
      <c r="I74" s="18" t="s">
        <v>431</v>
      </c>
      <c r="J74" s="20" t="s">
        <v>431</v>
      </c>
      <c r="K74" s="18" t="n">
        <v>11.76483161</v>
      </c>
      <c r="L74" s="20" t="n">
        <v>1.69655874</v>
      </c>
      <c r="M74" s="18" t="n">
        <v>0</v>
      </c>
      <c r="N74" s="20" t="n">
        <v>0</v>
      </c>
      <c r="O74" s="18" t="n">
        <v>0</v>
      </c>
      <c r="P74" s="20" t="n">
        <v>0</v>
      </c>
      <c r="Q74" s="18" t="n">
        <v>1.87443177</v>
      </c>
      <c r="R74" s="20" t="n">
        <v>0.86903124</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36.08413145</v>
      </c>
      <c r="F78" s="20" t="n">
        <v>2.45540759</v>
      </c>
      <c r="G78" s="18" t="n">
        <v>63.91586855</v>
      </c>
      <c r="H78" s="20" t="n">
        <v>2.45540759</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(658.0/B79*100)</f>
        <v/>
      </c>
      <c r="D79" s="19" t="n">
        <v>129</v>
      </c>
      <c r="E79" s="18" t="n">
        <v>37.98500652</v>
      </c>
      <c r="F79" s="20" t="n">
        <v>4.52324405</v>
      </c>
      <c r="G79" s="18" t="n">
        <v>51.84290517</v>
      </c>
      <c r="H79" s="20" t="n">
        <v>5.25731924</v>
      </c>
      <c r="I79" s="18" t="s">
        <v>431</v>
      </c>
      <c r="J79" s="20" t="s">
        <v>431</v>
      </c>
      <c r="K79" s="18" t="n">
        <v>7.15607942</v>
      </c>
      <c r="L79" s="20" t="n">
        <v>2.55898799</v>
      </c>
      <c r="M79" s="18" t="n">
        <v>0.90354497</v>
      </c>
      <c r="N79" s="20" t="n">
        <v>0.90850125</v>
      </c>
      <c r="O79" s="18" t="n">
        <v>0.77698418</v>
      </c>
      <c r="P79" s="20" t="n">
        <v>0.74740073</v>
      </c>
      <c r="Q79" s="18" t="n">
        <v>1.33547974</v>
      </c>
      <c r="R79" s="20" t="n">
        <v>0.91441736</v>
      </c>
    </row>
    <row r="80" spans="1:18">
      <c r="A80" s="15" t="s">
        <v>504</v>
      </c>
      <c r="B80" s="17" t="n">
        <v>3798</v>
      </c>
      <c r="C80" s="18">
        <f>(3159.0/B80*100)</f>
        <v/>
      </c>
      <c r="D80" s="19" t="n">
        <v>639</v>
      </c>
      <c r="E80" s="18" t="n">
        <v>61.85479794</v>
      </c>
      <c r="F80" s="20" t="n">
        <v>2.50771863</v>
      </c>
      <c r="G80" s="18" t="n">
        <v>37.91528419</v>
      </c>
      <c r="H80" s="20" t="n">
        <v>2.49714791</v>
      </c>
      <c r="I80" s="18" t="s">
        <v>431</v>
      </c>
      <c r="J80" s="20" t="s">
        <v>431</v>
      </c>
      <c r="K80" s="18" t="n">
        <v>0</v>
      </c>
      <c r="L80" s="20" t="n">
        <v>0</v>
      </c>
      <c r="M80" s="18" t="n">
        <v>0</v>
      </c>
      <c r="N80" s="20" t="n">
        <v>0</v>
      </c>
      <c r="O80" s="18" t="n">
        <v>0</v>
      </c>
      <c r="P80" s="20" t="n">
        <v>0</v>
      </c>
      <c r="Q80" s="18" t="n">
        <v>0.22991787</v>
      </c>
      <c r="R80" s="20" t="n">
        <v>0.34622407</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31.28836971</v>
      </c>
      <c r="F44" s="20" t="n">
        <v>2.56488673</v>
      </c>
      <c r="G44" s="18" t="n">
        <v>11.98598704</v>
      </c>
      <c r="H44" s="20" t="n">
        <v>1.63026395</v>
      </c>
      <c r="I44" s="18" t="s">
        <v>431</v>
      </c>
      <c r="J44" s="20" t="s">
        <v>431</v>
      </c>
      <c r="K44" s="18" t="n">
        <v>6.93868965</v>
      </c>
      <c r="L44" s="20" t="n">
        <v>1.3424954</v>
      </c>
      <c r="M44" s="18" t="n">
        <v>0</v>
      </c>
      <c r="N44" s="20" t="n">
        <v>0</v>
      </c>
      <c r="O44" s="18" t="n">
        <v>0</v>
      </c>
      <c r="P44" s="20" t="n">
        <v>0</v>
      </c>
      <c r="Q44" s="18" t="n">
        <v>49.78695359</v>
      </c>
      <c r="R44" s="20" t="n">
        <v>2.81581211</v>
      </c>
    </row>
    <row r="45" spans="1:18">
      <c r="A45" s="15" t="s">
        <v>469</v>
      </c>
      <c r="B45" s="17" t="n">
        <v>2849</v>
      </c>
      <c r="C45" s="18">
        <f>(2373.0/B45*100)</f>
        <v/>
      </c>
      <c r="D45" s="19" t="n">
        <v>476</v>
      </c>
      <c r="E45" s="18" t="n">
        <v>40.73692724</v>
      </c>
      <c r="F45" s="20" t="n">
        <v>2.25620618</v>
      </c>
      <c r="G45" s="18" t="n">
        <v>4.95577391</v>
      </c>
      <c r="H45" s="20" t="n">
        <v>0.96941974</v>
      </c>
      <c r="I45" s="18" t="s">
        <v>431</v>
      </c>
      <c r="J45" s="20" t="s">
        <v>431</v>
      </c>
      <c r="K45" s="18" t="n">
        <v>9.08330204</v>
      </c>
      <c r="L45" s="20" t="n">
        <v>1.48095895</v>
      </c>
      <c r="M45" s="18" t="n">
        <v>0.4452766</v>
      </c>
      <c r="N45" s="20" t="n">
        <v>0.32439572</v>
      </c>
      <c r="O45" s="18" t="n">
        <v>0.11971156</v>
      </c>
      <c r="P45" s="20" t="n">
        <v>0.11411789</v>
      </c>
      <c r="Q45" s="18" t="n">
        <v>44.65900864</v>
      </c>
      <c r="R45" s="20" t="n">
        <v>2.41856442</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30.40013635</v>
      </c>
      <c r="F49" s="20" t="n">
        <v>2.46471892</v>
      </c>
      <c r="G49" s="18" t="n">
        <v>18.06095004</v>
      </c>
      <c r="H49" s="20" t="n">
        <v>2.00564495</v>
      </c>
      <c r="I49" s="18" t="s">
        <v>431</v>
      </c>
      <c r="J49" s="20" t="s">
        <v>431</v>
      </c>
      <c r="K49" s="18" t="n">
        <v>4.35045105</v>
      </c>
      <c r="L49" s="20" t="n">
        <v>0.91446724</v>
      </c>
      <c r="M49" s="18" t="n">
        <v>0.07649728</v>
      </c>
      <c r="N49" s="20" t="n">
        <v>0.07640689000000001</v>
      </c>
      <c r="O49" s="18" t="n">
        <v>0</v>
      </c>
      <c r="P49" s="20" t="n">
        <v>0</v>
      </c>
      <c r="Q49" s="18" t="n">
        <v>47.11196528</v>
      </c>
      <c r="R49" s="20" t="n">
        <v>2.66827214</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21.17052892</v>
      </c>
      <c r="F55" s="20" t="n">
        <v>2.26132192</v>
      </c>
      <c r="G55" s="18" t="n">
        <v>18.53419526</v>
      </c>
      <c r="H55" s="20" t="n">
        <v>1.95579715</v>
      </c>
      <c r="I55" s="18" t="s">
        <v>431</v>
      </c>
      <c r="J55" s="20" t="s">
        <v>431</v>
      </c>
      <c r="K55" s="18" t="n">
        <v>2.6642533</v>
      </c>
      <c r="L55" s="20" t="n">
        <v>0.67381784</v>
      </c>
      <c r="M55" s="18" t="n">
        <v>0</v>
      </c>
      <c r="N55" s="20" t="n">
        <v>0</v>
      </c>
      <c r="O55" s="18" t="n">
        <v>0.22501224</v>
      </c>
      <c r="P55" s="20" t="n">
        <v>0.21131995</v>
      </c>
      <c r="Q55" s="18" t="n">
        <v>57.40601028</v>
      </c>
      <c r="R55" s="20" t="n">
        <v>2.43568948</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73.7963008</v>
      </c>
      <c r="F57" s="20" t="n">
        <v>1.92981828</v>
      </c>
      <c r="G57" s="18" t="n">
        <v>14.19937481</v>
      </c>
      <c r="H57" s="20" t="n">
        <v>1.59984015</v>
      </c>
      <c r="I57" s="18" t="s">
        <v>431</v>
      </c>
      <c r="J57" s="20" t="s">
        <v>431</v>
      </c>
      <c r="K57" s="18" t="n">
        <v>2.1892638</v>
      </c>
      <c r="L57" s="20" t="n">
        <v>0.78250349</v>
      </c>
      <c r="M57" s="18" t="n">
        <v>0</v>
      </c>
      <c r="N57" s="20" t="n">
        <v>0</v>
      </c>
      <c r="O57" s="18" t="n">
        <v>0</v>
      </c>
      <c r="P57" s="20" t="n">
        <v>0</v>
      </c>
      <c r="Q57" s="18" t="n">
        <v>9.815060600000001</v>
      </c>
      <c r="R57" s="20" t="n">
        <v>1.63262536</v>
      </c>
    </row>
    <row r="58" spans="1:18">
      <c r="A58" s="15" t="s">
        <v>482</v>
      </c>
      <c r="B58" s="17" t="n">
        <v>3530</v>
      </c>
      <c r="C58" s="18">
        <f>(2946.0/B58*100)</f>
        <v/>
      </c>
      <c r="D58" s="19" t="n">
        <v>584</v>
      </c>
      <c r="E58" s="18" t="n">
        <v>42.85289655</v>
      </c>
      <c r="F58" s="20" t="n">
        <v>2.18045464</v>
      </c>
      <c r="G58" s="18" t="n">
        <v>14.8680504</v>
      </c>
      <c r="H58" s="20" t="n">
        <v>1.43849865</v>
      </c>
      <c r="I58" s="18" t="s">
        <v>431</v>
      </c>
      <c r="J58" s="20" t="s">
        <v>431</v>
      </c>
      <c r="K58" s="18" t="n">
        <v>5.07481634</v>
      </c>
      <c r="L58" s="20" t="n">
        <v>1.24246285</v>
      </c>
      <c r="M58" s="18" t="n">
        <v>0</v>
      </c>
      <c r="N58" s="20" t="n">
        <v>0</v>
      </c>
      <c r="O58" s="18" t="n">
        <v>0</v>
      </c>
      <c r="P58" s="20" t="n">
        <v>0</v>
      </c>
      <c r="Q58" s="18" t="n">
        <v>37.20423671</v>
      </c>
      <c r="R58" s="20" t="n">
        <v>2.50134904</v>
      </c>
    </row>
    <row r="59" spans="1:18">
      <c r="A59" s="15" t="s">
        <v>483</v>
      </c>
      <c r="B59" s="17" t="n">
        <v>2548</v>
      </c>
      <c r="C59" s="18">
        <f>(2125.0/B59*100)</f>
        <v/>
      </c>
      <c r="D59" s="19" t="n">
        <v>423</v>
      </c>
      <c r="E59" s="18" t="n">
        <v>46.32552408</v>
      </c>
      <c r="F59" s="20" t="n">
        <v>2.94737897</v>
      </c>
      <c r="G59" s="18" t="n">
        <v>13.94250468</v>
      </c>
      <c r="H59" s="20" t="n">
        <v>2.23622673</v>
      </c>
      <c r="I59" s="18" t="s">
        <v>431</v>
      </c>
      <c r="J59" s="20" t="s">
        <v>431</v>
      </c>
      <c r="K59" s="18" t="n">
        <v>1.44525374</v>
      </c>
      <c r="L59" s="20" t="n">
        <v>0.54588803</v>
      </c>
      <c r="M59" s="18" t="n">
        <v>0</v>
      </c>
      <c r="N59" s="20" t="n">
        <v>0</v>
      </c>
      <c r="O59" s="18" t="n">
        <v>0</v>
      </c>
      <c r="P59" s="20" t="n">
        <v>0</v>
      </c>
      <c r="Q59" s="18" t="n">
        <v>38.2867175</v>
      </c>
      <c r="R59" s="20" t="n">
        <v>2.6652214</v>
      </c>
    </row>
    <row r="60" spans="1:18">
      <c r="A60" s="15" t="s">
        <v>484</v>
      </c>
      <c r="B60" s="17" t="n">
        <v>2095</v>
      </c>
      <c r="C60" s="18">
        <f>(1762.0/B60*100)</f>
        <v/>
      </c>
      <c r="D60" s="19" t="n">
        <v>333</v>
      </c>
      <c r="E60" s="18" t="n">
        <v>30.41053204</v>
      </c>
      <c r="F60" s="20" t="n">
        <v>2.78227255</v>
      </c>
      <c r="G60" s="18" t="n">
        <v>9.82825828</v>
      </c>
      <c r="H60" s="20" t="n">
        <v>1.82474124</v>
      </c>
      <c r="I60" s="18" t="s">
        <v>431</v>
      </c>
      <c r="J60" s="20" t="s">
        <v>431</v>
      </c>
      <c r="K60" s="18" t="n">
        <v>6.51880499</v>
      </c>
      <c r="L60" s="20" t="n">
        <v>1.33937194</v>
      </c>
      <c r="M60" s="18" t="n">
        <v>0</v>
      </c>
      <c r="N60" s="20" t="n">
        <v>0</v>
      </c>
      <c r="O60" s="18" t="n">
        <v>0</v>
      </c>
      <c r="P60" s="20" t="n">
        <v>0</v>
      </c>
      <c r="Q60" s="18" t="n">
        <v>53.24240469</v>
      </c>
      <c r="R60" s="20" t="n">
        <v>3.38442905</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17.31054953</v>
      </c>
      <c r="F63" s="20" t="n">
        <v>2.19658464</v>
      </c>
      <c r="G63" s="18" t="n">
        <v>6.62972546</v>
      </c>
      <c r="H63" s="20" t="n">
        <v>1.20956329</v>
      </c>
      <c r="I63" s="18" t="s">
        <v>431</v>
      </c>
      <c r="J63" s="20" t="s">
        <v>431</v>
      </c>
      <c r="K63" s="18" t="n">
        <v>5.30706116</v>
      </c>
      <c r="L63" s="20" t="n">
        <v>1.07458701</v>
      </c>
      <c r="M63" s="18" t="n">
        <v>0</v>
      </c>
      <c r="N63" s="20" t="n">
        <v>0</v>
      </c>
      <c r="O63" s="18" t="n">
        <v>0</v>
      </c>
      <c r="P63" s="20" t="n">
        <v>0</v>
      </c>
      <c r="Q63" s="18" t="n">
        <v>70.75266385</v>
      </c>
      <c r="R63" s="20" t="n">
        <v>2.62838942</v>
      </c>
    </row>
    <row r="64" spans="1:18">
      <c r="A64" s="15" t="s">
        <v>488</v>
      </c>
      <c r="B64" s="17" t="n">
        <v>1844</v>
      </c>
      <c r="C64" s="18">
        <f>(1541.0/B64*100)</f>
        <v/>
      </c>
      <c r="D64" s="19" t="n">
        <v>303</v>
      </c>
      <c r="E64" s="18" t="n">
        <v>33.9992269</v>
      </c>
      <c r="F64" s="20" t="n">
        <v>2.82476658</v>
      </c>
      <c r="G64" s="18" t="n">
        <v>24.48014905</v>
      </c>
      <c r="H64" s="20" t="n">
        <v>2.29202543</v>
      </c>
      <c r="I64" s="18" t="s">
        <v>431</v>
      </c>
      <c r="J64" s="20" t="s">
        <v>431</v>
      </c>
      <c r="K64" s="18" t="n">
        <v>6.5161473</v>
      </c>
      <c r="L64" s="20" t="n">
        <v>1.54879173</v>
      </c>
      <c r="M64" s="18" t="n">
        <v>0.31890762</v>
      </c>
      <c r="N64" s="20" t="n">
        <v>0.31683896</v>
      </c>
      <c r="O64" s="18" t="n">
        <v>0</v>
      </c>
      <c r="P64" s="20" t="n">
        <v>0</v>
      </c>
      <c r="Q64" s="18" t="n">
        <v>34.68556913</v>
      </c>
      <c r="R64" s="20" t="n">
        <v>2.83133165</v>
      </c>
    </row>
    <row r="65" spans="1:18">
      <c r="A65" s="15" t="s">
        <v>489</v>
      </c>
      <c r="B65" s="17" t="n">
        <v>2691</v>
      </c>
      <c r="C65" s="18">
        <f>(2260.0/B65*100)</f>
        <v/>
      </c>
      <c r="D65" s="19" t="n">
        <v>431</v>
      </c>
      <c r="E65" s="18" t="n">
        <v>26.40573934</v>
      </c>
      <c r="F65" s="20" t="n">
        <v>2.42400673</v>
      </c>
      <c r="G65" s="18" t="n">
        <v>11.77390536</v>
      </c>
      <c r="H65" s="20" t="n">
        <v>1.72382389</v>
      </c>
      <c r="I65" s="18" t="s">
        <v>431</v>
      </c>
      <c r="J65" s="20" t="s">
        <v>431</v>
      </c>
      <c r="K65" s="18" t="n">
        <v>6.92914892</v>
      </c>
      <c r="L65" s="20" t="n">
        <v>1.22296539</v>
      </c>
      <c r="M65" s="18" t="n">
        <v>0</v>
      </c>
      <c r="N65" s="20" t="n">
        <v>0</v>
      </c>
      <c r="O65" s="18" t="n">
        <v>0</v>
      </c>
      <c r="P65" s="20" t="n">
        <v>0</v>
      </c>
      <c r="Q65" s="18" t="n">
        <v>54.89120637</v>
      </c>
      <c r="R65" s="20" t="n">
        <v>2.60979616</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61.71486418</v>
      </c>
      <c r="F69" s="20" t="n">
        <v>2.67010266</v>
      </c>
      <c r="G69" s="18" t="n">
        <v>31.90736969</v>
      </c>
      <c r="H69" s="20" t="n">
        <v>2.42155046</v>
      </c>
      <c r="I69" s="18" t="s">
        <v>431</v>
      </c>
      <c r="J69" s="20" t="s">
        <v>431</v>
      </c>
      <c r="K69" s="18" t="n">
        <v>0.23074144</v>
      </c>
      <c r="L69" s="20" t="n">
        <v>0.23180517</v>
      </c>
      <c r="M69" s="18" t="n">
        <v>0</v>
      </c>
      <c r="N69" s="20" t="n">
        <v>0</v>
      </c>
      <c r="O69" s="18" t="n">
        <v>0</v>
      </c>
      <c r="P69" s="20" t="n">
        <v>0</v>
      </c>
      <c r="Q69" s="18" t="n">
        <v>6.14702469</v>
      </c>
      <c r="R69" s="20" t="n">
        <v>1.27390004</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29.40236004</v>
      </c>
      <c r="F74" s="20" t="n">
        <v>2.29975466</v>
      </c>
      <c r="G74" s="18" t="n">
        <v>11.0851089</v>
      </c>
      <c r="H74" s="20" t="n">
        <v>1.48726426</v>
      </c>
      <c r="I74" s="18" t="s">
        <v>431</v>
      </c>
      <c r="J74" s="20" t="s">
        <v>431</v>
      </c>
      <c r="K74" s="18" t="n">
        <v>12.59835717</v>
      </c>
      <c r="L74" s="20" t="n">
        <v>1.67566681</v>
      </c>
      <c r="M74" s="18" t="n">
        <v>0</v>
      </c>
      <c r="N74" s="20" t="n">
        <v>0</v>
      </c>
      <c r="O74" s="18" t="n">
        <v>0</v>
      </c>
      <c r="P74" s="20" t="n">
        <v>0</v>
      </c>
      <c r="Q74" s="18" t="n">
        <v>46.91417389</v>
      </c>
      <c r="R74" s="20" t="n">
        <v>2.63384365</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69.36820073</v>
      </c>
      <c r="F78" s="20" t="n">
        <v>2.22350773</v>
      </c>
      <c r="G78" s="18" t="n">
        <v>27.55802106</v>
      </c>
      <c r="H78" s="20" t="n">
        <v>2.28659771</v>
      </c>
      <c r="I78" s="18" t="s">
        <v>431</v>
      </c>
      <c r="J78" s="20" t="s">
        <v>431</v>
      </c>
      <c r="K78" s="18" t="n">
        <v>0</v>
      </c>
      <c r="L78" s="20" t="n">
        <v>0</v>
      </c>
      <c r="M78" s="18" t="n">
        <v>0</v>
      </c>
      <c r="N78" s="20" t="n">
        <v>0</v>
      </c>
      <c r="O78" s="18" t="n">
        <v>0</v>
      </c>
      <c r="P78" s="20" t="n">
        <v>0</v>
      </c>
      <c r="Q78" s="18" t="n">
        <v>3.07377821</v>
      </c>
      <c r="R78" s="20" t="n">
        <v>0.75599877</v>
      </c>
    </row>
    <row customHeight="1" ht="25" r="79" spans="1:18">
      <c r="A79" s="15" t="s">
        <v>503</v>
      </c>
      <c r="B79" s="17" t="n">
        <v>787</v>
      </c>
      <c r="C79" s="18">
        <f>(658.0/B79*100)</f>
        <v/>
      </c>
      <c r="D79" s="19" t="n">
        <v>129</v>
      </c>
      <c r="E79" s="18" t="n">
        <v>29.60672287</v>
      </c>
      <c r="F79" s="20" t="n">
        <v>4.13350726</v>
      </c>
      <c r="G79" s="18" t="n">
        <v>27.11669014</v>
      </c>
      <c r="H79" s="20" t="n">
        <v>4.16407492</v>
      </c>
      <c r="I79" s="18" t="s">
        <v>431</v>
      </c>
      <c r="J79" s="20" t="s">
        <v>431</v>
      </c>
      <c r="K79" s="18" t="n">
        <v>7.15607942</v>
      </c>
      <c r="L79" s="20" t="n">
        <v>2.55898799</v>
      </c>
      <c r="M79" s="18" t="n">
        <v>0.90354497</v>
      </c>
      <c r="N79" s="20" t="n">
        <v>0.90850125</v>
      </c>
      <c r="O79" s="18" t="n">
        <v>0</v>
      </c>
      <c r="P79" s="20" t="n">
        <v>0</v>
      </c>
      <c r="Q79" s="18" t="n">
        <v>35.2169626</v>
      </c>
      <c r="R79" s="20" t="n">
        <v>4.78219313</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59.86090844</v>
      </c>
      <c r="F44" s="20" t="n">
        <v>2.84641012</v>
      </c>
      <c r="G44" s="18" t="n">
        <v>28.8987613</v>
      </c>
      <c r="H44" s="20" t="n">
        <v>2.94884741</v>
      </c>
      <c r="I44" s="18" t="s">
        <v>431</v>
      </c>
      <c r="J44" s="20" t="s">
        <v>431</v>
      </c>
      <c r="K44" s="18" t="n">
        <v>6.93868965</v>
      </c>
      <c r="L44" s="20" t="n">
        <v>1.3424954</v>
      </c>
      <c r="M44" s="18" t="n">
        <v>0</v>
      </c>
      <c r="N44" s="20" t="n">
        <v>0</v>
      </c>
      <c r="O44" s="18" t="n">
        <v>0</v>
      </c>
      <c r="P44" s="20" t="n">
        <v>0</v>
      </c>
      <c r="Q44" s="18" t="n">
        <v>4.30164061</v>
      </c>
      <c r="R44" s="20" t="n">
        <v>1.20306917</v>
      </c>
    </row>
    <row r="45" spans="1:18">
      <c r="A45" s="15" t="s">
        <v>469</v>
      </c>
      <c r="B45" s="17" t="n">
        <v>2849</v>
      </c>
      <c r="C45" s="18">
        <f>(2373.0/B45*100)</f>
        <v/>
      </c>
      <c r="D45" s="19" t="n">
        <v>476</v>
      </c>
      <c r="E45" s="18" t="n">
        <v>55.95112932</v>
      </c>
      <c r="F45" s="20" t="n">
        <v>2.33001091</v>
      </c>
      <c r="G45" s="18" t="n">
        <v>32.92097391</v>
      </c>
      <c r="H45" s="20" t="n">
        <v>2.20474119</v>
      </c>
      <c r="I45" s="18" t="s">
        <v>431</v>
      </c>
      <c r="J45" s="20" t="s">
        <v>431</v>
      </c>
      <c r="K45" s="18" t="n">
        <v>9.2030136</v>
      </c>
      <c r="L45" s="20" t="n">
        <v>1.48984615</v>
      </c>
      <c r="M45" s="18" t="n">
        <v>0.18471598</v>
      </c>
      <c r="N45" s="20" t="n">
        <v>0.18501033</v>
      </c>
      <c r="O45" s="18" t="n">
        <v>0</v>
      </c>
      <c r="P45" s="20" t="n">
        <v>0</v>
      </c>
      <c r="Q45" s="18" t="n">
        <v>1.7401672</v>
      </c>
      <c r="R45" s="20" t="n">
        <v>0.59608577</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58.33572902</v>
      </c>
      <c r="F49" s="20" t="n">
        <v>2.81255118</v>
      </c>
      <c r="G49" s="18" t="n">
        <v>34.73074838</v>
      </c>
      <c r="H49" s="20" t="n">
        <v>2.72353294</v>
      </c>
      <c r="I49" s="18" t="s">
        <v>431</v>
      </c>
      <c r="J49" s="20" t="s">
        <v>431</v>
      </c>
      <c r="K49" s="18" t="n">
        <v>4.35045105</v>
      </c>
      <c r="L49" s="20" t="n">
        <v>0.91446724</v>
      </c>
      <c r="M49" s="18" t="n">
        <v>0.07649728</v>
      </c>
      <c r="N49" s="20" t="n">
        <v>0.07640689000000001</v>
      </c>
      <c r="O49" s="18" t="n">
        <v>0</v>
      </c>
      <c r="P49" s="20" t="n">
        <v>0</v>
      </c>
      <c r="Q49" s="18" t="n">
        <v>2.50657427</v>
      </c>
      <c r="R49" s="20" t="n">
        <v>0.87251797</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66.03986767000001</v>
      </c>
      <c r="F55" s="20" t="n">
        <v>2.26511374</v>
      </c>
      <c r="G55" s="18" t="n">
        <v>28.87051513</v>
      </c>
      <c r="H55" s="20" t="n">
        <v>2.27027482</v>
      </c>
      <c r="I55" s="18" t="s">
        <v>431</v>
      </c>
      <c r="J55" s="20" t="s">
        <v>431</v>
      </c>
      <c r="K55" s="18" t="n">
        <v>2.6642533</v>
      </c>
      <c r="L55" s="20" t="n">
        <v>0.67381784</v>
      </c>
      <c r="M55" s="18" t="n">
        <v>0</v>
      </c>
      <c r="N55" s="20" t="n">
        <v>0</v>
      </c>
      <c r="O55" s="18" t="n">
        <v>0.20107901</v>
      </c>
      <c r="P55" s="20" t="n">
        <v>0.20096636</v>
      </c>
      <c r="Q55" s="18" t="n">
        <v>2.2242849</v>
      </c>
      <c r="R55" s="20" t="n">
        <v>0.78815282</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50.62700593</v>
      </c>
      <c r="F57" s="20" t="n">
        <v>2.10671861</v>
      </c>
      <c r="G57" s="18" t="n">
        <v>46.04834155</v>
      </c>
      <c r="H57" s="20" t="n">
        <v>2.22759099</v>
      </c>
      <c r="I57" s="18" t="s">
        <v>431</v>
      </c>
      <c r="J57" s="20" t="s">
        <v>431</v>
      </c>
      <c r="K57" s="18" t="n">
        <v>2.1892638</v>
      </c>
      <c r="L57" s="20" t="n">
        <v>0.78250349</v>
      </c>
      <c r="M57" s="18" t="n">
        <v>0</v>
      </c>
      <c r="N57" s="20" t="n">
        <v>0</v>
      </c>
      <c r="O57" s="18" t="n">
        <v>0</v>
      </c>
      <c r="P57" s="20" t="n">
        <v>0</v>
      </c>
      <c r="Q57" s="18" t="n">
        <v>1.13538872</v>
      </c>
      <c r="R57" s="20" t="n">
        <v>0.45613919</v>
      </c>
    </row>
    <row r="58" spans="1:18">
      <c r="A58" s="15" t="s">
        <v>482</v>
      </c>
      <c r="B58" s="17" t="n">
        <v>3530</v>
      </c>
      <c r="C58" s="18">
        <f>(2946.0/B58*100)</f>
        <v/>
      </c>
      <c r="D58" s="19" t="n">
        <v>584</v>
      </c>
      <c r="E58" s="18" t="n">
        <v>49.80374872</v>
      </c>
      <c r="F58" s="20" t="n">
        <v>2.26022918</v>
      </c>
      <c r="G58" s="18" t="n">
        <v>43.39712181</v>
      </c>
      <c r="H58" s="20" t="n">
        <v>2.10354318</v>
      </c>
      <c r="I58" s="18" t="s">
        <v>431</v>
      </c>
      <c r="J58" s="20" t="s">
        <v>431</v>
      </c>
      <c r="K58" s="18" t="n">
        <v>5.3513092</v>
      </c>
      <c r="L58" s="20" t="n">
        <v>1.26337793</v>
      </c>
      <c r="M58" s="18" t="n">
        <v>0</v>
      </c>
      <c r="N58" s="20" t="n">
        <v>0</v>
      </c>
      <c r="O58" s="18" t="n">
        <v>0</v>
      </c>
      <c r="P58" s="20" t="n">
        <v>0</v>
      </c>
      <c r="Q58" s="18" t="n">
        <v>1.44782027</v>
      </c>
      <c r="R58" s="20" t="n">
        <v>0.57643861</v>
      </c>
    </row>
    <row r="59" spans="1:18">
      <c r="A59" s="15" t="s">
        <v>483</v>
      </c>
      <c r="B59" s="17" t="n">
        <v>2548</v>
      </c>
      <c r="C59" s="18">
        <f>(2125.0/B59*100)</f>
        <v/>
      </c>
      <c r="D59" s="19" t="n">
        <v>423</v>
      </c>
      <c r="E59" s="18" t="n">
        <v>61.70027569</v>
      </c>
      <c r="F59" s="20" t="n">
        <v>2.55076522</v>
      </c>
      <c r="G59" s="18" t="n">
        <v>35.38721318</v>
      </c>
      <c r="H59" s="20" t="n">
        <v>2.52099234</v>
      </c>
      <c r="I59" s="18" t="s">
        <v>431</v>
      </c>
      <c r="J59" s="20" t="s">
        <v>431</v>
      </c>
      <c r="K59" s="18" t="n">
        <v>1.44525374</v>
      </c>
      <c r="L59" s="20" t="n">
        <v>0.54588803</v>
      </c>
      <c r="M59" s="18" t="n">
        <v>0</v>
      </c>
      <c r="N59" s="20" t="n">
        <v>0</v>
      </c>
      <c r="O59" s="18" t="n">
        <v>0</v>
      </c>
      <c r="P59" s="20" t="n">
        <v>0</v>
      </c>
      <c r="Q59" s="18" t="n">
        <v>1.46725739</v>
      </c>
      <c r="R59" s="20" t="n">
        <v>0.56005005</v>
      </c>
    </row>
    <row r="60" spans="1:18">
      <c r="A60" s="15" t="s">
        <v>484</v>
      </c>
      <c r="B60" s="17" t="n">
        <v>2095</v>
      </c>
      <c r="C60" s="18">
        <f>(1762.0/B60*100)</f>
        <v/>
      </c>
      <c r="D60" s="19" t="n">
        <v>333</v>
      </c>
      <c r="E60" s="18" t="n">
        <v>0</v>
      </c>
      <c r="F60" s="20" t="n">
        <v>0</v>
      </c>
      <c r="G60" s="18" t="n">
        <v>0</v>
      </c>
      <c r="H60" s="20" t="n">
        <v>0</v>
      </c>
      <c r="I60" s="18" t="s">
        <v>431</v>
      </c>
      <c r="J60" s="20" t="s">
        <v>431</v>
      </c>
      <c r="K60" s="18" t="n">
        <v>0</v>
      </c>
      <c r="L60" s="20" t="n">
        <v>0</v>
      </c>
      <c r="M60" s="18" t="n">
        <v>100</v>
      </c>
      <c r="N60" s="20" t="n">
        <v>0</v>
      </c>
      <c r="O60" s="18" t="n">
        <v>0</v>
      </c>
      <c r="P60" s="20" t="n">
        <v>0</v>
      </c>
      <c r="Q60" s="18" t="n">
        <v>0</v>
      </c>
      <c r="R60" s="20" t="n">
        <v>0</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16.35315466</v>
      </c>
      <c r="F63" s="20" t="n">
        <v>1.84775888</v>
      </c>
      <c r="G63" s="18" t="n">
        <v>8.246446479999999</v>
      </c>
      <c r="H63" s="20" t="n">
        <v>1.49152773</v>
      </c>
      <c r="I63" s="18" t="s">
        <v>431</v>
      </c>
      <c r="J63" s="20" t="s">
        <v>431</v>
      </c>
      <c r="K63" s="18" t="n">
        <v>1.97656264</v>
      </c>
      <c r="L63" s="20" t="n">
        <v>0.72665856</v>
      </c>
      <c r="M63" s="18" t="n">
        <v>72.59629233</v>
      </c>
      <c r="N63" s="20" t="n">
        <v>1.92732725</v>
      </c>
      <c r="O63" s="18" t="n">
        <v>0</v>
      </c>
      <c r="P63" s="20" t="n">
        <v>0</v>
      </c>
      <c r="Q63" s="18" t="n">
        <v>0.8275439</v>
      </c>
      <c r="R63" s="20" t="n">
        <v>0.38605317</v>
      </c>
    </row>
    <row r="64" spans="1:18">
      <c r="A64" s="15" t="s">
        <v>488</v>
      </c>
      <c r="B64" s="17" t="n">
        <v>1844</v>
      </c>
      <c r="C64" s="18">
        <f>(1541.0/B64*100)</f>
        <v/>
      </c>
      <c r="D64" s="19" t="n">
        <v>303</v>
      </c>
      <c r="E64" s="18" t="n">
        <v>59.27273908</v>
      </c>
      <c r="F64" s="20" t="n">
        <v>3.03952453</v>
      </c>
      <c r="G64" s="18" t="n">
        <v>33.56457769</v>
      </c>
      <c r="H64" s="20" t="n">
        <v>2.78260483</v>
      </c>
      <c r="I64" s="18" t="s">
        <v>431</v>
      </c>
      <c r="J64" s="20" t="s">
        <v>431</v>
      </c>
      <c r="K64" s="18" t="n">
        <v>6.5161473</v>
      </c>
      <c r="L64" s="20" t="n">
        <v>1.54879173</v>
      </c>
      <c r="M64" s="18" t="n">
        <v>0</v>
      </c>
      <c r="N64" s="20" t="n">
        <v>0</v>
      </c>
      <c r="O64" s="18" t="n">
        <v>0.35084354</v>
      </c>
      <c r="P64" s="20" t="n">
        <v>0.35188482</v>
      </c>
      <c r="Q64" s="18" t="n">
        <v>0.29569239</v>
      </c>
      <c r="R64" s="20" t="n">
        <v>0.29287091</v>
      </c>
    </row>
    <row r="65" spans="1:18">
      <c r="A65" s="15" t="s">
        <v>489</v>
      </c>
      <c r="B65" s="17" t="n">
        <v>2691</v>
      </c>
      <c r="C65" s="18">
        <f>(2260.0/B65*100)</f>
        <v/>
      </c>
      <c r="D65" s="19" t="n">
        <v>431</v>
      </c>
      <c r="E65" s="18" t="n">
        <v>63.20795596</v>
      </c>
      <c r="F65" s="20" t="n">
        <v>2.20120715</v>
      </c>
      <c r="G65" s="18" t="n">
        <v>26.14628088</v>
      </c>
      <c r="H65" s="20" t="n">
        <v>2.17433954</v>
      </c>
      <c r="I65" s="18" t="s">
        <v>431</v>
      </c>
      <c r="J65" s="20" t="s">
        <v>431</v>
      </c>
      <c r="K65" s="18" t="n">
        <v>7.32089193</v>
      </c>
      <c r="L65" s="20" t="n">
        <v>1.39165686</v>
      </c>
      <c r="M65" s="18" t="n">
        <v>0</v>
      </c>
      <c r="N65" s="20" t="n">
        <v>0</v>
      </c>
      <c r="O65" s="18" t="n">
        <v>0</v>
      </c>
      <c r="P65" s="20" t="n">
        <v>0</v>
      </c>
      <c r="Q65" s="18" t="n">
        <v>3.32487123</v>
      </c>
      <c r="R65" s="20" t="n">
        <v>0.94129109</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72.41671418</v>
      </c>
      <c r="F69" s="20" t="n">
        <v>2.33320519</v>
      </c>
      <c r="G69" s="18" t="n">
        <v>27.35254438</v>
      </c>
      <c r="H69" s="20" t="n">
        <v>2.33157832</v>
      </c>
      <c r="I69" s="18" t="s">
        <v>431</v>
      </c>
      <c r="J69" s="20" t="s">
        <v>431</v>
      </c>
      <c r="K69" s="18" t="n">
        <v>0.23074144</v>
      </c>
      <c r="L69" s="20" t="n">
        <v>0.23180517</v>
      </c>
      <c r="M69" s="18" t="n">
        <v>0</v>
      </c>
      <c r="N69" s="20" t="n">
        <v>0</v>
      </c>
      <c r="O69" s="18" t="n">
        <v>0</v>
      </c>
      <c r="P69" s="20" t="n">
        <v>0</v>
      </c>
      <c r="Q69" s="18" t="n">
        <v>0</v>
      </c>
      <c r="R69" s="20" t="n">
        <v>0</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0</v>
      </c>
      <c r="F74" s="20" t="n">
        <v>0</v>
      </c>
      <c r="G74" s="18" t="n">
        <v>0</v>
      </c>
      <c r="H74" s="20" t="n">
        <v>0</v>
      </c>
      <c r="I74" s="18" t="s">
        <v>431</v>
      </c>
      <c r="J74" s="20" t="s">
        <v>431</v>
      </c>
      <c r="K74" s="18" t="n">
        <v>0</v>
      </c>
      <c r="L74" s="20" t="n">
        <v>0</v>
      </c>
      <c r="M74" s="18" t="n">
        <v>100</v>
      </c>
      <c r="N74" s="20" t="n">
        <v>0</v>
      </c>
      <c r="O74" s="18" t="n">
        <v>0</v>
      </c>
      <c r="P74" s="20" t="n">
        <v>0</v>
      </c>
      <c r="Q74" s="18" t="n">
        <v>0</v>
      </c>
      <c r="R74" s="20" t="n">
        <v>0</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787</v>
      </c>
      <c r="C79" s="18">
        <f>(658.0/B79*100)</f>
        <v/>
      </c>
      <c r="D79" s="19" t="n">
        <v>129</v>
      </c>
      <c r="E79" s="18" t="n">
        <v>68.13906812</v>
      </c>
      <c r="F79" s="20" t="n">
        <v>4.86219694</v>
      </c>
      <c r="G79" s="18" t="n">
        <v>21.78673319</v>
      </c>
      <c r="H79" s="20" t="n">
        <v>3.70422182</v>
      </c>
      <c r="I79" s="18" t="s">
        <v>431</v>
      </c>
      <c r="J79" s="20" t="s">
        <v>431</v>
      </c>
      <c r="K79" s="18" t="n">
        <v>7.15607942</v>
      </c>
      <c r="L79" s="20" t="n">
        <v>2.55898799</v>
      </c>
      <c r="M79" s="18" t="n">
        <v>0.90354497</v>
      </c>
      <c r="N79" s="20" t="n">
        <v>0.90850125</v>
      </c>
      <c r="O79" s="18" t="n">
        <v>0</v>
      </c>
      <c r="P79" s="20" t="n">
        <v>0</v>
      </c>
      <c r="Q79" s="18" t="n">
        <v>2.0145743</v>
      </c>
      <c r="R79" s="20" t="n">
        <v>1.13964616</v>
      </c>
    </row>
    <row r="80" spans="1:18">
      <c r="A80" s="15" t="s">
        <v>504</v>
      </c>
      <c r="B80" s="17" t="n">
        <v>3798</v>
      </c>
      <c r="C80" s="18">
        <f>(3159.0/B80*100)</f>
        <v/>
      </c>
      <c r="D80" s="19" t="n">
        <v>639</v>
      </c>
      <c r="E80" s="18" t="n">
        <v>68.02871892</v>
      </c>
      <c r="F80" s="20" t="n">
        <v>2.48025057</v>
      </c>
      <c r="G80" s="18" t="n">
        <v>31.774259</v>
      </c>
      <c r="H80" s="20" t="n">
        <v>2.49386761</v>
      </c>
      <c r="I80" s="18" t="s">
        <v>431</v>
      </c>
      <c r="J80" s="20" t="s">
        <v>431</v>
      </c>
      <c r="K80" s="18" t="n">
        <v>0</v>
      </c>
      <c r="L80" s="20" t="n">
        <v>0</v>
      </c>
      <c r="M80" s="18" t="n">
        <v>0</v>
      </c>
      <c r="N80" s="20" t="n">
        <v>0</v>
      </c>
      <c r="O80" s="18" t="n">
        <v>0</v>
      </c>
      <c r="P80" s="20" t="n">
        <v>0</v>
      </c>
      <c r="Q80" s="18" t="n">
        <v>0.19702208</v>
      </c>
      <c r="R80" s="20" t="n">
        <v>0.19788417</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47.82190024</v>
      </c>
      <c r="F44" s="20" t="n">
        <v>2.63453876</v>
      </c>
      <c r="G44" s="18" t="n">
        <v>40.15774988</v>
      </c>
      <c r="H44" s="20" t="n">
        <v>2.91799563</v>
      </c>
      <c r="I44" s="18" t="s">
        <v>431</v>
      </c>
      <c r="J44" s="20" t="s">
        <v>431</v>
      </c>
      <c r="K44" s="18" t="n">
        <v>9.784404589999999</v>
      </c>
      <c r="L44" s="20" t="n">
        <v>1.5045498</v>
      </c>
      <c r="M44" s="18" t="n">
        <v>0</v>
      </c>
      <c r="N44" s="20" t="n">
        <v>0</v>
      </c>
      <c r="O44" s="18" t="n">
        <v>0.8646598599999999</v>
      </c>
      <c r="P44" s="20" t="n">
        <v>0.55177345</v>
      </c>
      <c r="Q44" s="18" t="n">
        <v>1.37128542</v>
      </c>
      <c r="R44" s="20" t="n">
        <v>1.02813238</v>
      </c>
    </row>
    <row r="45" spans="1:18">
      <c r="A45" s="15" t="s">
        <v>469</v>
      </c>
      <c r="B45" s="17" t="n">
        <v>2849</v>
      </c>
      <c r="C45" s="18">
        <f>(2373.0/B45*100)</f>
        <v/>
      </c>
      <c r="D45" s="19" t="n">
        <v>476</v>
      </c>
      <c r="E45" s="18" t="n">
        <v>53.42119669</v>
      </c>
      <c r="F45" s="20" t="n">
        <v>2.5422839</v>
      </c>
      <c r="G45" s="18" t="n">
        <v>29.16378757</v>
      </c>
      <c r="H45" s="20" t="n">
        <v>2.28511913</v>
      </c>
      <c r="I45" s="18" t="s">
        <v>431</v>
      </c>
      <c r="J45" s="20" t="s">
        <v>431</v>
      </c>
      <c r="K45" s="18" t="n">
        <v>11.63451405</v>
      </c>
      <c r="L45" s="20" t="n">
        <v>1.58067377</v>
      </c>
      <c r="M45" s="18" t="n">
        <v>1.42900935</v>
      </c>
      <c r="N45" s="20" t="n">
        <v>0.60892353</v>
      </c>
      <c r="O45" s="18" t="n">
        <v>2.05329157</v>
      </c>
      <c r="P45" s="20" t="n">
        <v>0.64382266</v>
      </c>
      <c r="Q45" s="18" t="n">
        <v>2.29820077</v>
      </c>
      <c r="R45" s="20" t="n">
        <v>0.70518574</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54.58799861</v>
      </c>
      <c r="F49" s="20" t="n">
        <v>2.60027468</v>
      </c>
      <c r="G49" s="18" t="n">
        <v>36.86666602</v>
      </c>
      <c r="H49" s="20" t="n">
        <v>2.42280425</v>
      </c>
      <c r="I49" s="18" t="s">
        <v>431</v>
      </c>
      <c r="J49" s="20" t="s">
        <v>431</v>
      </c>
      <c r="K49" s="18" t="n">
        <v>6.42180248</v>
      </c>
      <c r="L49" s="20" t="n">
        <v>1.27452758</v>
      </c>
      <c r="M49" s="18" t="n">
        <v>0.27451637</v>
      </c>
      <c r="N49" s="20" t="n">
        <v>0.26725926</v>
      </c>
      <c r="O49" s="18" t="n">
        <v>0.61442456</v>
      </c>
      <c r="P49" s="20" t="n">
        <v>0.28290104</v>
      </c>
      <c r="Q49" s="18" t="n">
        <v>1.23459195</v>
      </c>
      <c r="R49" s="20" t="n">
        <v>0.9128903900000001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56.50279327</v>
      </c>
      <c r="F55" s="20" t="n">
        <v>2.30570679</v>
      </c>
      <c r="G55" s="18" t="n">
        <v>37.32736334</v>
      </c>
      <c r="H55" s="20" t="n">
        <v>2.2569664</v>
      </c>
      <c r="I55" s="18" t="s">
        <v>431</v>
      </c>
      <c r="J55" s="20" t="s">
        <v>431</v>
      </c>
      <c r="K55" s="18" t="n">
        <v>4.03037135</v>
      </c>
      <c r="L55" s="20" t="n">
        <v>0.77272785</v>
      </c>
      <c r="M55" s="18" t="n">
        <v>0</v>
      </c>
      <c r="N55" s="20" t="n">
        <v>0</v>
      </c>
      <c r="O55" s="18" t="n">
        <v>1.3410725</v>
      </c>
      <c r="P55" s="20" t="n">
        <v>0.66371884</v>
      </c>
      <c r="Q55" s="18" t="n">
        <v>0.79839954</v>
      </c>
      <c r="R55" s="20" t="n">
        <v>0.40074539</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60.86124572</v>
      </c>
      <c r="F57" s="20" t="n">
        <v>2.51347371</v>
      </c>
      <c r="G57" s="18" t="n">
        <v>36.08848858</v>
      </c>
      <c r="H57" s="20" t="n">
        <v>2.51540555</v>
      </c>
      <c r="I57" s="18" t="s">
        <v>431</v>
      </c>
      <c r="J57" s="20" t="s">
        <v>431</v>
      </c>
      <c r="K57" s="18" t="n">
        <v>2.61929651</v>
      </c>
      <c r="L57" s="20" t="n">
        <v>0.82195339</v>
      </c>
      <c r="M57" s="18" t="n">
        <v>0</v>
      </c>
      <c r="N57" s="20" t="n">
        <v>0</v>
      </c>
      <c r="O57" s="18" t="n">
        <v>0</v>
      </c>
      <c r="P57" s="20" t="n">
        <v>0</v>
      </c>
      <c r="Q57" s="18" t="n">
        <v>0.43096919</v>
      </c>
      <c r="R57" s="20" t="n">
        <v>0.15128939</v>
      </c>
    </row>
    <row r="58" spans="1:18">
      <c r="A58" s="15" t="s">
        <v>482</v>
      </c>
      <c r="B58" s="17" t="n">
        <v>3530</v>
      </c>
      <c r="C58" s="18">
        <f>(2946.0/B58*100)</f>
        <v/>
      </c>
      <c r="D58" s="19" t="n">
        <v>584</v>
      </c>
      <c r="E58" s="18" t="n">
        <v>56.20551378</v>
      </c>
      <c r="F58" s="20" t="n">
        <v>2.27442693</v>
      </c>
      <c r="G58" s="18" t="n">
        <v>33.42116888</v>
      </c>
      <c r="H58" s="20" t="n">
        <v>1.84160782</v>
      </c>
      <c r="I58" s="18" t="s">
        <v>431</v>
      </c>
      <c r="J58" s="20" t="s">
        <v>431</v>
      </c>
      <c r="K58" s="18" t="n">
        <v>8.123754610000001</v>
      </c>
      <c r="L58" s="20" t="n">
        <v>1.51615813</v>
      </c>
      <c r="M58" s="18" t="n">
        <v>0</v>
      </c>
      <c r="N58" s="20" t="n">
        <v>0</v>
      </c>
      <c r="O58" s="18" t="n">
        <v>0.66430836</v>
      </c>
      <c r="P58" s="20" t="n">
        <v>0.40836225</v>
      </c>
      <c r="Q58" s="18" t="n">
        <v>1.58525438</v>
      </c>
      <c r="R58" s="20" t="n">
        <v>0.58592876</v>
      </c>
    </row>
    <row r="59" spans="1:18">
      <c r="A59" s="15" t="s">
        <v>483</v>
      </c>
      <c r="B59" s="17" t="n">
        <v>2548</v>
      </c>
      <c r="C59" s="18">
        <f>(2125.0/B59*100)</f>
        <v/>
      </c>
      <c r="D59" s="19" t="n">
        <v>423</v>
      </c>
      <c r="E59" s="18" t="n">
        <v>62.09551042</v>
      </c>
      <c r="F59" s="20" t="n">
        <v>3.0206295</v>
      </c>
      <c r="G59" s="18" t="n">
        <v>32.03310438</v>
      </c>
      <c r="H59" s="20" t="n">
        <v>2.899293</v>
      </c>
      <c r="I59" s="18" t="s">
        <v>431</v>
      </c>
      <c r="J59" s="20" t="s">
        <v>431</v>
      </c>
      <c r="K59" s="18" t="n">
        <v>1.69412667</v>
      </c>
      <c r="L59" s="20" t="n">
        <v>0.54294175</v>
      </c>
      <c r="M59" s="18" t="n">
        <v>0</v>
      </c>
      <c r="N59" s="20" t="n">
        <v>0</v>
      </c>
      <c r="O59" s="18" t="n">
        <v>4.00760351</v>
      </c>
      <c r="P59" s="20" t="n">
        <v>1.18133694</v>
      </c>
      <c r="Q59" s="18" t="n">
        <v>0.16965503</v>
      </c>
      <c r="R59" s="20" t="n">
        <v>0.16739393</v>
      </c>
    </row>
    <row r="60" spans="1:18">
      <c r="A60" s="15" t="s">
        <v>484</v>
      </c>
      <c r="B60" s="17" t="n">
        <v>2095</v>
      </c>
      <c r="C60" s="18">
        <f>(1762.0/B60*100)</f>
        <v/>
      </c>
      <c r="D60" s="19" t="n">
        <v>333</v>
      </c>
      <c r="E60" s="18" t="n">
        <v>58.92040896</v>
      </c>
      <c r="F60" s="20" t="n">
        <v>3.09516182</v>
      </c>
      <c r="G60" s="18" t="n">
        <v>23.58056213</v>
      </c>
      <c r="H60" s="20" t="n">
        <v>2.72056596</v>
      </c>
      <c r="I60" s="18" t="s">
        <v>431</v>
      </c>
      <c r="J60" s="20" t="s">
        <v>431</v>
      </c>
      <c r="K60" s="18" t="n">
        <v>11.99703731</v>
      </c>
      <c r="L60" s="20" t="n">
        <v>1.7182493</v>
      </c>
      <c r="M60" s="18" t="n">
        <v>0</v>
      </c>
      <c r="N60" s="20" t="n">
        <v>0</v>
      </c>
      <c r="O60" s="18" t="n">
        <v>3.85894498</v>
      </c>
      <c r="P60" s="20" t="n">
        <v>1.61751964</v>
      </c>
      <c r="Q60" s="18" t="n">
        <v>1.64304661</v>
      </c>
      <c r="R60" s="20" t="n">
        <v>0.82638774</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51.59218346</v>
      </c>
      <c r="F63" s="20" t="n">
        <v>2.21922802</v>
      </c>
      <c r="G63" s="18" t="n">
        <v>36.60116842</v>
      </c>
      <c r="H63" s="20" t="n">
        <v>2.18326604</v>
      </c>
      <c r="I63" s="18" t="s">
        <v>431</v>
      </c>
      <c r="J63" s="20" t="s">
        <v>431</v>
      </c>
      <c r="K63" s="18" t="n">
        <v>9.949421920000001</v>
      </c>
      <c r="L63" s="20" t="n">
        <v>1.3997699</v>
      </c>
      <c r="M63" s="18" t="n">
        <v>0</v>
      </c>
      <c r="N63" s="20" t="n">
        <v>0</v>
      </c>
      <c r="O63" s="18" t="n">
        <v>0.16956801</v>
      </c>
      <c r="P63" s="20" t="n">
        <v>0.17045831</v>
      </c>
      <c r="Q63" s="18" t="n">
        <v>1.68765819</v>
      </c>
      <c r="R63" s="20" t="n">
        <v>0.62567986</v>
      </c>
    </row>
    <row r="64" spans="1:18">
      <c r="A64" s="15" t="s">
        <v>488</v>
      </c>
      <c r="B64" s="17" t="n">
        <v>1844</v>
      </c>
      <c r="C64" s="18">
        <f>(1541.0/B64*100)</f>
        <v/>
      </c>
      <c r="D64" s="19" t="n">
        <v>303</v>
      </c>
      <c r="E64" s="18" t="n">
        <v>47.39147884</v>
      </c>
      <c r="F64" s="20" t="n">
        <v>2.84772841</v>
      </c>
      <c r="G64" s="18" t="n">
        <v>41.27537397</v>
      </c>
      <c r="H64" s="20" t="n">
        <v>2.86852347</v>
      </c>
      <c r="I64" s="18" t="s">
        <v>431</v>
      </c>
      <c r="J64" s="20" t="s">
        <v>431</v>
      </c>
      <c r="K64" s="18" t="n">
        <v>9.655826619999999</v>
      </c>
      <c r="L64" s="20" t="n">
        <v>1.90394949</v>
      </c>
      <c r="M64" s="18" t="n">
        <v>0</v>
      </c>
      <c r="N64" s="20" t="n">
        <v>0</v>
      </c>
      <c r="O64" s="18" t="n">
        <v>0.66949467</v>
      </c>
      <c r="P64" s="20" t="n">
        <v>0.4735253</v>
      </c>
      <c r="Q64" s="18" t="n">
        <v>1.00782591</v>
      </c>
      <c r="R64" s="20" t="n">
        <v>0.58677527</v>
      </c>
    </row>
    <row r="65" spans="1:18">
      <c r="A65" s="15" t="s">
        <v>489</v>
      </c>
      <c r="B65" s="17" t="n">
        <v>2691</v>
      </c>
      <c r="C65" s="18">
        <f>(2260.0/B65*100)</f>
        <v/>
      </c>
      <c r="D65" s="19" t="n">
        <v>431</v>
      </c>
      <c r="E65" s="18" t="n">
        <v>61.82202452</v>
      </c>
      <c r="F65" s="20" t="n">
        <v>2.3633695</v>
      </c>
      <c r="G65" s="18" t="n">
        <v>26.02495119</v>
      </c>
      <c r="H65" s="20" t="n">
        <v>1.98414597</v>
      </c>
      <c r="I65" s="18" t="s">
        <v>431</v>
      </c>
      <c r="J65" s="20" t="s">
        <v>431</v>
      </c>
      <c r="K65" s="18" t="n">
        <v>10.17188949</v>
      </c>
      <c r="L65" s="20" t="n">
        <v>1.51043204</v>
      </c>
      <c r="M65" s="18" t="n">
        <v>1.33213671</v>
      </c>
      <c r="N65" s="20" t="n">
        <v>0.51530469</v>
      </c>
      <c r="O65" s="18" t="n">
        <v>0</v>
      </c>
      <c r="P65" s="20" t="n">
        <v>0</v>
      </c>
      <c r="Q65" s="18" t="n">
        <v>0.64899809</v>
      </c>
      <c r="R65" s="20" t="n">
        <v>0.26064357</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68.24500155</v>
      </c>
      <c r="F69" s="20" t="n">
        <v>2.48898623</v>
      </c>
      <c r="G69" s="18" t="n">
        <v>31.32752688</v>
      </c>
      <c r="H69" s="20" t="n">
        <v>2.43423653</v>
      </c>
      <c r="I69" s="18" t="s">
        <v>431</v>
      </c>
      <c r="J69" s="20" t="s">
        <v>431</v>
      </c>
      <c r="K69" s="18" t="n">
        <v>0.42747158</v>
      </c>
      <c r="L69" s="20" t="n">
        <v>0.30450433</v>
      </c>
      <c r="M69" s="18" t="n">
        <v>0</v>
      </c>
      <c r="N69" s="20" t="n">
        <v>0</v>
      </c>
      <c r="O69" s="18" t="n">
        <v>0</v>
      </c>
      <c r="P69" s="20" t="n">
        <v>0</v>
      </c>
      <c r="Q69" s="18" t="n">
        <v>0</v>
      </c>
      <c r="R69" s="20" t="n">
        <v>0</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49.5955511</v>
      </c>
      <c r="F74" s="20" t="n">
        <v>3.17889822</v>
      </c>
      <c r="G74" s="18" t="n">
        <v>30.55178795</v>
      </c>
      <c r="H74" s="20" t="n">
        <v>3.06631575</v>
      </c>
      <c r="I74" s="18" t="s">
        <v>431</v>
      </c>
      <c r="J74" s="20" t="s">
        <v>431</v>
      </c>
      <c r="K74" s="18" t="n">
        <v>18.49515743</v>
      </c>
      <c r="L74" s="20" t="n">
        <v>1.99966003</v>
      </c>
      <c r="M74" s="18" t="n">
        <v>0</v>
      </c>
      <c r="N74" s="20" t="n">
        <v>0</v>
      </c>
      <c r="O74" s="18" t="n">
        <v>0</v>
      </c>
      <c r="P74" s="20" t="n">
        <v>0</v>
      </c>
      <c r="Q74" s="18" t="n">
        <v>1.35750352</v>
      </c>
      <c r="R74" s="20" t="n">
        <v>0.73248989</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34.17274366</v>
      </c>
      <c r="F78" s="20" t="n">
        <v>2.48244742</v>
      </c>
      <c r="G78" s="18" t="n">
        <v>65.82725634000001</v>
      </c>
      <c r="H78" s="20" t="n">
        <v>2.48244742</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(658.0/B79*100)</f>
        <v/>
      </c>
      <c r="D79" s="19" t="n">
        <v>129</v>
      </c>
      <c r="E79" s="18" t="n">
        <v>33.22966364</v>
      </c>
      <c r="F79" s="20" t="n">
        <v>4.80867885</v>
      </c>
      <c r="G79" s="18" t="n">
        <v>55.95008959</v>
      </c>
      <c r="H79" s="20" t="n">
        <v>5.20109746</v>
      </c>
      <c r="I79" s="18" t="s">
        <v>431</v>
      </c>
      <c r="J79" s="20" t="s">
        <v>431</v>
      </c>
      <c r="K79" s="18" t="n">
        <v>9.504991049999999</v>
      </c>
      <c r="L79" s="20" t="n">
        <v>3.02433309</v>
      </c>
      <c r="M79" s="18" t="n">
        <v>0</v>
      </c>
      <c r="N79" s="20" t="n">
        <v>0</v>
      </c>
      <c r="O79" s="18" t="n">
        <v>0.945985</v>
      </c>
      <c r="P79" s="20" t="n">
        <v>1.0076403</v>
      </c>
      <c r="Q79" s="18" t="n">
        <v>0.36927071</v>
      </c>
      <c r="R79" s="20" t="n">
        <v>0.34990757</v>
      </c>
    </row>
    <row r="80" spans="1:18">
      <c r="A80" s="15" t="s">
        <v>504</v>
      </c>
      <c r="B80" s="17" t="n">
        <v>3798</v>
      </c>
      <c r="C80" s="18">
        <f>(3159.0/B80*100)</f>
        <v/>
      </c>
      <c r="D80" s="19" t="n">
        <v>639</v>
      </c>
      <c r="E80" s="18" t="n">
        <v>52.19503001</v>
      </c>
      <c r="F80" s="20" t="n">
        <v>2.27164771</v>
      </c>
      <c r="G80" s="18" t="n">
        <v>47.50397239</v>
      </c>
      <c r="H80" s="20" t="n">
        <v>2.25220978</v>
      </c>
      <c r="I80" s="18" t="s">
        <v>431</v>
      </c>
      <c r="J80" s="20" t="s">
        <v>431</v>
      </c>
      <c r="K80" s="18" t="n">
        <v>0</v>
      </c>
      <c r="L80" s="20" t="n">
        <v>0</v>
      </c>
      <c r="M80" s="18" t="n">
        <v>0</v>
      </c>
      <c r="N80" s="20" t="n">
        <v>0</v>
      </c>
      <c r="O80" s="18" t="n">
        <v>0</v>
      </c>
      <c r="P80" s="20" t="n">
        <v>0</v>
      </c>
      <c r="Q80" s="18" t="n">
        <v>0.3009976</v>
      </c>
      <c r="R80" s="20" t="n">
        <v>0.15636956</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49.19878253</v>
      </c>
      <c r="F44" s="20" t="n">
        <v>2.88755558</v>
      </c>
      <c r="G44" s="18" t="n">
        <v>8.939020920000001</v>
      </c>
      <c r="H44" s="20" t="n">
        <v>1.46724825</v>
      </c>
      <c r="I44" s="18" t="s">
        <v>431</v>
      </c>
      <c r="J44" s="20" t="s">
        <v>431</v>
      </c>
      <c r="K44" s="18" t="n">
        <v>12.70694809</v>
      </c>
      <c r="L44" s="20" t="n">
        <v>1.76979179</v>
      </c>
      <c r="M44" s="18" t="n">
        <v>0</v>
      </c>
      <c r="N44" s="20" t="n">
        <v>0</v>
      </c>
      <c r="O44" s="18" t="n">
        <v>0</v>
      </c>
      <c r="P44" s="20" t="n">
        <v>0</v>
      </c>
      <c r="Q44" s="18" t="n">
        <v>29.15524846</v>
      </c>
      <c r="R44" s="20" t="n">
        <v>2.46086091</v>
      </c>
    </row>
    <row r="45" spans="1:18">
      <c r="A45" s="15" t="s">
        <v>469</v>
      </c>
      <c r="B45" s="17" t="n">
        <v>2849</v>
      </c>
      <c r="C45" s="18">
        <f>(2373.0/B45*100)</f>
        <v/>
      </c>
      <c r="D45" s="19" t="n">
        <v>476</v>
      </c>
      <c r="E45" s="18" t="n">
        <v>51.56081351</v>
      </c>
      <c r="F45" s="20" t="n">
        <v>2.41639957</v>
      </c>
      <c r="G45" s="18" t="n">
        <v>8.954411029999999</v>
      </c>
      <c r="H45" s="20" t="n">
        <v>1.1353325</v>
      </c>
      <c r="I45" s="18" t="s">
        <v>431</v>
      </c>
      <c r="J45" s="20" t="s">
        <v>431</v>
      </c>
      <c r="K45" s="18" t="n">
        <v>11.89951332</v>
      </c>
      <c r="L45" s="20" t="n">
        <v>1.59340687</v>
      </c>
      <c r="M45" s="18" t="n">
        <v>1.23241797</v>
      </c>
      <c r="N45" s="20" t="n">
        <v>0.4925132</v>
      </c>
      <c r="O45" s="18" t="n">
        <v>0.45714239</v>
      </c>
      <c r="P45" s="20" t="n">
        <v>0.3320718</v>
      </c>
      <c r="Q45" s="18" t="n">
        <v>25.89570177</v>
      </c>
      <c r="R45" s="20" t="n">
        <v>2.18607782</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58.76043412</v>
      </c>
      <c r="F49" s="20" t="n">
        <v>2.56810823</v>
      </c>
      <c r="G49" s="18" t="n">
        <v>7.87785762</v>
      </c>
      <c r="H49" s="20" t="n">
        <v>1.46520658</v>
      </c>
      <c r="I49" s="18" t="s">
        <v>431</v>
      </c>
      <c r="J49" s="20" t="s">
        <v>431</v>
      </c>
      <c r="K49" s="18" t="n">
        <v>7.44749467</v>
      </c>
      <c r="L49" s="20" t="n">
        <v>1.43693368</v>
      </c>
      <c r="M49" s="18" t="n">
        <v>0</v>
      </c>
      <c r="N49" s="20" t="n">
        <v>0</v>
      </c>
      <c r="O49" s="18" t="n">
        <v>0</v>
      </c>
      <c r="P49" s="20" t="n">
        <v>0</v>
      </c>
      <c r="Q49" s="18" t="n">
        <v>25.91421359</v>
      </c>
      <c r="R49" s="20" t="n">
        <v>2.27277716</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49.40977716</v>
      </c>
      <c r="F55" s="20" t="n">
        <v>2.66440191</v>
      </c>
      <c r="G55" s="18" t="n">
        <v>3.42638943</v>
      </c>
      <c r="H55" s="20" t="n">
        <v>0.9384445300000001</v>
      </c>
      <c r="I55" s="18" t="s">
        <v>431</v>
      </c>
      <c r="J55" s="20" t="s">
        <v>431</v>
      </c>
      <c r="K55" s="18" t="n">
        <v>6.66707538</v>
      </c>
      <c r="L55" s="20" t="n">
        <v>1.1602499</v>
      </c>
      <c r="M55" s="18" t="n">
        <v>0</v>
      </c>
      <c r="N55" s="20" t="n">
        <v>0</v>
      </c>
      <c r="O55" s="18" t="n">
        <v>0.43618882</v>
      </c>
      <c r="P55" s="20" t="n">
        <v>0.29091345</v>
      </c>
      <c r="Q55" s="18" t="n">
        <v>40.06056922</v>
      </c>
      <c r="R55" s="20" t="n">
        <v>2.36755932</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63.40237807</v>
      </c>
      <c r="F57" s="20" t="n">
        <v>2.52822598</v>
      </c>
      <c r="G57" s="18" t="n">
        <v>24.72602336</v>
      </c>
      <c r="H57" s="20" t="n">
        <v>2.38001872</v>
      </c>
      <c r="I57" s="18" t="s">
        <v>431</v>
      </c>
      <c r="J57" s="20" t="s">
        <v>431</v>
      </c>
      <c r="K57" s="18" t="n">
        <v>3.2702603</v>
      </c>
      <c r="L57" s="20" t="n">
        <v>0.90794232</v>
      </c>
      <c r="M57" s="18" t="n">
        <v>0</v>
      </c>
      <c r="N57" s="20" t="n">
        <v>0</v>
      </c>
      <c r="O57" s="18" t="n">
        <v>0</v>
      </c>
      <c r="P57" s="20" t="n">
        <v>0</v>
      </c>
      <c r="Q57" s="18" t="n">
        <v>8.60133826</v>
      </c>
      <c r="R57" s="20" t="n">
        <v>1.38466414</v>
      </c>
    </row>
    <row r="58" spans="1:18">
      <c r="A58" s="15" t="s">
        <v>482</v>
      </c>
      <c r="B58" s="17" t="n">
        <v>3530</v>
      </c>
      <c r="C58" s="18">
        <f>(2946.0/B58*100)</f>
        <v/>
      </c>
      <c r="D58" s="19" t="n">
        <v>584</v>
      </c>
      <c r="E58" s="18" t="n">
        <v>46.51308964</v>
      </c>
      <c r="F58" s="20" t="n">
        <v>2.49026767</v>
      </c>
      <c r="G58" s="18" t="n">
        <v>18.501652</v>
      </c>
      <c r="H58" s="20" t="n">
        <v>2.04114419</v>
      </c>
      <c r="I58" s="18" t="s">
        <v>431</v>
      </c>
      <c r="J58" s="20" t="s">
        <v>431</v>
      </c>
      <c r="K58" s="18" t="n">
        <v>9.443518340000001</v>
      </c>
      <c r="L58" s="20" t="n">
        <v>1.64893784</v>
      </c>
      <c r="M58" s="18" t="n">
        <v>0</v>
      </c>
      <c r="N58" s="20" t="n">
        <v>0</v>
      </c>
      <c r="O58" s="18" t="n">
        <v>0</v>
      </c>
      <c r="P58" s="20" t="n">
        <v>0</v>
      </c>
      <c r="Q58" s="18" t="n">
        <v>25.54174002</v>
      </c>
      <c r="R58" s="20" t="n">
        <v>1.95566741</v>
      </c>
    </row>
    <row r="59" spans="1:18">
      <c r="A59" s="15" t="s">
        <v>483</v>
      </c>
      <c r="B59" s="17" t="n">
        <v>2548</v>
      </c>
      <c r="C59" s="18">
        <f>(2125.0/B59*100)</f>
        <v/>
      </c>
      <c r="D59" s="19" t="n">
        <v>423</v>
      </c>
      <c r="E59" s="18" t="n">
        <v>66.50208893</v>
      </c>
      <c r="F59" s="20" t="n">
        <v>2.10561682</v>
      </c>
      <c r="G59" s="18" t="n">
        <v>7.35079995</v>
      </c>
      <c r="H59" s="20" t="n">
        <v>1.41963934</v>
      </c>
      <c r="I59" s="18" t="s">
        <v>431</v>
      </c>
      <c r="J59" s="20" t="s">
        <v>431</v>
      </c>
      <c r="K59" s="18" t="n">
        <v>2.52050807</v>
      </c>
      <c r="L59" s="20" t="n">
        <v>0.74834916</v>
      </c>
      <c r="M59" s="18" t="n">
        <v>0</v>
      </c>
      <c r="N59" s="20" t="n">
        <v>0</v>
      </c>
      <c r="O59" s="18" t="n">
        <v>0</v>
      </c>
      <c r="P59" s="20" t="n">
        <v>0</v>
      </c>
      <c r="Q59" s="18" t="n">
        <v>23.62660306</v>
      </c>
      <c r="R59" s="20" t="n">
        <v>2.19725683</v>
      </c>
    </row>
    <row r="60" spans="1:18">
      <c r="A60" s="15" t="s">
        <v>484</v>
      </c>
      <c r="B60" s="17" t="n">
        <v>2095</v>
      </c>
      <c r="C60" s="18">
        <f>(1762.0/B60*100)</f>
        <v/>
      </c>
      <c r="D60" s="19" t="n">
        <v>333</v>
      </c>
      <c r="E60" s="18" t="n">
        <v>41.82743564</v>
      </c>
      <c r="F60" s="20" t="n">
        <v>3.57797081</v>
      </c>
      <c r="G60" s="18" t="n">
        <v>5.81061706</v>
      </c>
      <c r="H60" s="20" t="n">
        <v>1.23647904</v>
      </c>
      <c r="I60" s="18" t="s">
        <v>431</v>
      </c>
      <c r="J60" s="20" t="s">
        <v>431</v>
      </c>
      <c r="K60" s="18" t="n">
        <v>14.47755542</v>
      </c>
      <c r="L60" s="20" t="n">
        <v>2.12589634</v>
      </c>
      <c r="M60" s="18" t="n">
        <v>0.30682612</v>
      </c>
      <c r="N60" s="20" t="n">
        <v>0.31024927</v>
      </c>
      <c r="O60" s="18" t="n">
        <v>0</v>
      </c>
      <c r="P60" s="20" t="n">
        <v>0</v>
      </c>
      <c r="Q60" s="18" t="n">
        <v>37.57756575</v>
      </c>
      <c r="R60" s="20" t="n">
        <v>3.67094832</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30.08463911</v>
      </c>
      <c r="F63" s="20" t="n">
        <v>2.65815686</v>
      </c>
      <c r="G63" s="18" t="n">
        <v>6.79055767</v>
      </c>
      <c r="H63" s="20" t="n">
        <v>1.26621028</v>
      </c>
      <c r="I63" s="18" t="s">
        <v>431</v>
      </c>
      <c r="J63" s="20" t="s">
        <v>431</v>
      </c>
      <c r="K63" s="18" t="n">
        <v>11.12447541</v>
      </c>
      <c r="L63" s="20" t="n">
        <v>1.37240015</v>
      </c>
      <c r="M63" s="18" t="n">
        <v>0</v>
      </c>
      <c r="N63" s="20" t="n">
        <v>0</v>
      </c>
      <c r="O63" s="18" t="n">
        <v>0</v>
      </c>
      <c r="P63" s="20" t="n">
        <v>0</v>
      </c>
      <c r="Q63" s="18" t="n">
        <v>52.00032781</v>
      </c>
      <c r="R63" s="20" t="n">
        <v>2.72423345</v>
      </c>
    </row>
    <row r="64" spans="1:18">
      <c r="A64" s="15" t="s">
        <v>488</v>
      </c>
      <c r="B64" s="17" t="n">
        <v>1844</v>
      </c>
      <c r="C64" s="18">
        <f>(1541.0/B64*100)</f>
        <v/>
      </c>
      <c r="D64" s="19" t="n">
        <v>303</v>
      </c>
      <c r="E64" s="18" t="n">
        <v>44.02727783</v>
      </c>
      <c r="F64" s="20" t="n">
        <v>2.86772739</v>
      </c>
      <c r="G64" s="18" t="n">
        <v>18.27671734</v>
      </c>
      <c r="H64" s="20" t="n">
        <v>1.79996433</v>
      </c>
      <c r="I64" s="18" t="s">
        <v>431</v>
      </c>
      <c r="J64" s="20" t="s">
        <v>431</v>
      </c>
      <c r="K64" s="18" t="n">
        <v>10.32552481</v>
      </c>
      <c r="L64" s="20" t="n">
        <v>1.88908534</v>
      </c>
      <c r="M64" s="18" t="n">
        <v>0.31890762</v>
      </c>
      <c r="N64" s="20" t="n">
        <v>0.31683896</v>
      </c>
      <c r="O64" s="18" t="n">
        <v>0</v>
      </c>
      <c r="P64" s="20" t="n">
        <v>0</v>
      </c>
      <c r="Q64" s="18" t="n">
        <v>27.05157241</v>
      </c>
      <c r="R64" s="20" t="n">
        <v>3.01389663</v>
      </c>
    </row>
    <row r="65" spans="1:18">
      <c r="A65" s="15" t="s">
        <v>489</v>
      </c>
      <c r="B65" s="17" t="n">
        <v>2691</v>
      </c>
      <c r="C65" s="18">
        <f>(2260.0/B65*100)</f>
        <v/>
      </c>
      <c r="D65" s="19" t="n">
        <v>431</v>
      </c>
      <c r="E65" s="18" t="n">
        <v>37.84996934</v>
      </c>
      <c r="F65" s="20" t="n">
        <v>2.71885498</v>
      </c>
      <c r="G65" s="18" t="n">
        <v>16.15928004</v>
      </c>
      <c r="H65" s="20" t="n">
        <v>1.98580376</v>
      </c>
      <c r="I65" s="18" t="s">
        <v>431</v>
      </c>
      <c r="J65" s="20" t="s">
        <v>431</v>
      </c>
      <c r="K65" s="18" t="n">
        <v>11.85725337</v>
      </c>
      <c r="L65" s="20" t="n">
        <v>1.47829283</v>
      </c>
      <c r="M65" s="18" t="n">
        <v>0</v>
      </c>
      <c r="N65" s="20" t="n">
        <v>0</v>
      </c>
      <c r="O65" s="18" t="n">
        <v>0</v>
      </c>
      <c r="P65" s="20" t="n">
        <v>0</v>
      </c>
      <c r="Q65" s="18" t="n">
        <v>34.13349725</v>
      </c>
      <c r="R65" s="20" t="n">
        <v>2.41116109</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71.61726591999999</v>
      </c>
      <c r="F69" s="20" t="n">
        <v>2.68520263</v>
      </c>
      <c r="G69" s="18" t="n">
        <v>25.29450009</v>
      </c>
      <c r="H69" s="20" t="n">
        <v>2.47517385</v>
      </c>
      <c r="I69" s="18" t="s">
        <v>431</v>
      </c>
      <c r="J69" s="20" t="s">
        <v>431</v>
      </c>
      <c r="K69" s="18" t="n">
        <v>0.42747158</v>
      </c>
      <c r="L69" s="20" t="n">
        <v>0.30450433</v>
      </c>
      <c r="M69" s="18" t="n">
        <v>0</v>
      </c>
      <c r="N69" s="20" t="n">
        <v>0</v>
      </c>
      <c r="O69" s="18" t="n">
        <v>0</v>
      </c>
      <c r="P69" s="20" t="n">
        <v>0</v>
      </c>
      <c r="Q69" s="18" t="n">
        <v>2.66076241</v>
      </c>
      <c r="R69" s="20" t="n">
        <v>0.89365093</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42.69156216</v>
      </c>
      <c r="F74" s="20" t="n">
        <v>2.68050114</v>
      </c>
      <c r="G74" s="18" t="n">
        <v>2.90380201</v>
      </c>
      <c r="H74" s="20" t="n">
        <v>0.89263046</v>
      </c>
      <c r="I74" s="18" t="s">
        <v>431</v>
      </c>
      <c r="J74" s="20" t="s">
        <v>431</v>
      </c>
      <c r="K74" s="18" t="n">
        <v>19.61470581</v>
      </c>
      <c r="L74" s="20" t="n">
        <v>2.05819637</v>
      </c>
      <c r="M74" s="18" t="n">
        <v>0</v>
      </c>
      <c r="N74" s="20" t="n">
        <v>0</v>
      </c>
      <c r="O74" s="18" t="n">
        <v>0</v>
      </c>
      <c r="P74" s="20" t="n">
        <v>0</v>
      </c>
      <c r="Q74" s="18" t="n">
        <v>34.78993002</v>
      </c>
      <c r="R74" s="20" t="n">
        <v>2.73377799</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59.77537589</v>
      </c>
      <c r="F78" s="20" t="n">
        <v>2.4074428</v>
      </c>
      <c r="G78" s="18" t="n">
        <v>37.9864303</v>
      </c>
      <c r="H78" s="20" t="n">
        <v>2.38634837</v>
      </c>
      <c r="I78" s="18" t="s">
        <v>431</v>
      </c>
      <c r="J78" s="20" t="s">
        <v>431</v>
      </c>
      <c r="K78" s="18" t="n">
        <v>0.14515208</v>
      </c>
      <c r="L78" s="20" t="n">
        <v>0.1456093</v>
      </c>
      <c r="M78" s="18" t="n">
        <v>0</v>
      </c>
      <c r="N78" s="20" t="n">
        <v>0</v>
      </c>
      <c r="O78" s="18" t="n">
        <v>0</v>
      </c>
      <c r="P78" s="20" t="n">
        <v>0</v>
      </c>
      <c r="Q78" s="18" t="n">
        <v>2.09304173</v>
      </c>
      <c r="R78" s="20" t="n">
        <v>0.64632482</v>
      </c>
    </row>
    <row customHeight="1" ht="25" r="79" spans="1:18">
      <c r="A79" s="15" t="s">
        <v>503</v>
      </c>
      <c r="B79" s="17" t="n">
        <v>787</v>
      </c>
      <c r="C79" s="18">
        <f>(658.0/B79*100)</f>
        <v/>
      </c>
      <c r="D79" s="19" t="n">
        <v>129</v>
      </c>
      <c r="E79" s="18" t="n">
        <v>54.9458304</v>
      </c>
      <c r="F79" s="20" t="n">
        <v>4.42522711</v>
      </c>
      <c r="G79" s="18" t="n">
        <v>10.41666078</v>
      </c>
      <c r="H79" s="20" t="n">
        <v>3.14241221</v>
      </c>
      <c r="I79" s="18" t="s">
        <v>431</v>
      </c>
      <c r="J79" s="20" t="s">
        <v>431</v>
      </c>
      <c r="K79" s="18" t="n">
        <v>9.504991049999999</v>
      </c>
      <c r="L79" s="20" t="n">
        <v>3.02433309</v>
      </c>
      <c r="M79" s="18" t="n">
        <v>0</v>
      </c>
      <c r="N79" s="20" t="n">
        <v>0</v>
      </c>
      <c r="O79" s="18" t="n">
        <v>0</v>
      </c>
      <c r="P79" s="20" t="n">
        <v>0</v>
      </c>
      <c r="Q79" s="18" t="n">
        <v>25.13251777</v>
      </c>
      <c r="R79" s="20" t="n">
        <v>3.96109553</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(2113.0/B44*100)</f>
        <v/>
      </c>
      <c r="D44" s="19" t="n">
        <v>411</v>
      </c>
      <c r="E44" s="18" t="n">
        <v>51.08856522</v>
      </c>
      <c r="F44" s="20" t="n">
        <v>3.02695435</v>
      </c>
      <c r="G44" s="18" t="n">
        <v>32.68715892</v>
      </c>
      <c r="H44" s="20" t="n">
        <v>2.83045215</v>
      </c>
      <c r="I44" s="18" t="s">
        <v>431</v>
      </c>
      <c r="J44" s="20" t="s">
        <v>431</v>
      </c>
      <c r="K44" s="18" t="n">
        <v>14.76327744</v>
      </c>
      <c r="L44" s="20" t="n">
        <v>1.91135877</v>
      </c>
      <c r="M44" s="18" t="n">
        <v>0</v>
      </c>
      <c r="N44" s="20" t="n">
        <v>0</v>
      </c>
      <c r="O44" s="18" t="n">
        <v>1.46099843</v>
      </c>
      <c r="P44" s="20" t="n">
        <v>0.73737509</v>
      </c>
      <c r="Q44" s="18" t="n">
        <v>0</v>
      </c>
      <c r="R44" s="20" t="n">
        <v>0</v>
      </c>
    </row>
    <row r="45" spans="1:18">
      <c r="A45" s="15" t="s">
        <v>469</v>
      </c>
      <c r="B45" s="17" t="n">
        <v>2849</v>
      </c>
      <c r="C45" s="18">
        <f>(2373.0/B45*100)</f>
        <v/>
      </c>
      <c r="D45" s="19" t="n">
        <v>476</v>
      </c>
      <c r="E45" s="18" t="n">
        <v>63.65400458</v>
      </c>
      <c r="F45" s="20" t="n">
        <v>2.28628596</v>
      </c>
      <c r="G45" s="18" t="n">
        <v>19.74872016</v>
      </c>
      <c r="H45" s="20" t="n">
        <v>1.83284567</v>
      </c>
      <c r="I45" s="18" t="s">
        <v>431</v>
      </c>
      <c r="J45" s="20" t="s">
        <v>431</v>
      </c>
      <c r="K45" s="18" t="n">
        <v>13.7311819</v>
      </c>
      <c r="L45" s="20" t="n">
        <v>1.68534356</v>
      </c>
      <c r="M45" s="18" t="n">
        <v>0.9309233</v>
      </c>
      <c r="N45" s="20" t="n">
        <v>0.46991179</v>
      </c>
      <c r="O45" s="18" t="n">
        <v>1.93517006</v>
      </c>
      <c r="P45" s="20" t="n">
        <v>0.70064962</v>
      </c>
      <c r="Q45" s="18" t="n">
        <v>0</v>
      </c>
      <c r="R45" s="20" t="n">
        <v>0</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(2526.0/B49*100)</f>
        <v/>
      </c>
      <c r="D49" s="19" t="n">
        <v>492</v>
      </c>
      <c r="E49" s="18" t="n">
        <v>52.60863416</v>
      </c>
      <c r="F49" s="20" t="n">
        <v>2.69247756</v>
      </c>
      <c r="G49" s="18" t="n">
        <v>38.88871491</v>
      </c>
      <c r="H49" s="20" t="n">
        <v>2.84860429</v>
      </c>
      <c r="I49" s="18" t="s">
        <v>431</v>
      </c>
      <c r="J49" s="20" t="s">
        <v>431</v>
      </c>
      <c r="K49" s="18" t="n">
        <v>8.47744254</v>
      </c>
      <c r="L49" s="20" t="n">
        <v>1.46687468</v>
      </c>
      <c r="M49" s="18" t="n">
        <v>0</v>
      </c>
      <c r="N49" s="20" t="n">
        <v>0</v>
      </c>
      <c r="O49" s="18" t="n">
        <v>0.0252084</v>
      </c>
      <c r="P49" s="20" t="n">
        <v>0.02538341</v>
      </c>
      <c r="Q49" s="18" t="n">
        <v>0</v>
      </c>
      <c r="R49" s="20" t="n">
        <v>0</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(2293.0/B55*100)</f>
        <v/>
      </c>
      <c r="D55" s="19" t="n">
        <v>466</v>
      </c>
      <c r="E55" s="18" t="n">
        <v>62.12347031</v>
      </c>
      <c r="F55" s="20" t="n">
        <v>2.34955931</v>
      </c>
      <c r="G55" s="18" t="n">
        <v>30.1028928</v>
      </c>
      <c r="H55" s="20" t="n">
        <v>2.42429711</v>
      </c>
      <c r="I55" s="18" t="s">
        <v>431</v>
      </c>
      <c r="J55" s="20" t="s">
        <v>431</v>
      </c>
      <c r="K55" s="18" t="n">
        <v>6.86821039</v>
      </c>
      <c r="L55" s="20" t="n">
        <v>1.16886982</v>
      </c>
      <c r="M55" s="18" t="n">
        <v>0</v>
      </c>
      <c r="N55" s="20" t="n">
        <v>0</v>
      </c>
      <c r="O55" s="18" t="n">
        <v>0.9054265</v>
      </c>
      <c r="P55" s="20" t="n">
        <v>0.55795392</v>
      </c>
      <c r="Q55" s="18" t="n">
        <v>0</v>
      </c>
      <c r="R55" s="20" t="n">
        <v>0</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(2645.0/B57*100)</f>
        <v/>
      </c>
      <c r="D57" s="19" t="n">
        <v>525</v>
      </c>
      <c r="E57" s="18" t="n">
        <v>76.98665018</v>
      </c>
      <c r="F57" s="20" t="n">
        <v>2.18570653</v>
      </c>
      <c r="G57" s="18" t="n">
        <v>18.21971056</v>
      </c>
      <c r="H57" s="20" t="n">
        <v>1.94154384</v>
      </c>
      <c r="I57" s="18" t="s">
        <v>431</v>
      </c>
      <c r="J57" s="20" t="s">
        <v>431</v>
      </c>
      <c r="K57" s="18" t="n">
        <v>4.79363926</v>
      </c>
      <c r="L57" s="20" t="n">
        <v>1.09671695</v>
      </c>
      <c r="M57" s="18" t="n">
        <v>0</v>
      </c>
      <c r="N57" s="20" t="n">
        <v>0</v>
      </c>
      <c r="O57" s="18" t="n">
        <v>0</v>
      </c>
      <c r="P57" s="20" t="n">
        <v>0</v>
      </c>
      <c r="Q57" s="18" t="n">
        <v>0</v>
      </c>
      <c r="R57" s="20" t="n">
        <v>0</v>
      </c>
    </row>
    <row r="58" spans="1:18">
      <c r="A58" s="15" t="s">
        <v>482</v>
      </c>
      <c r="B58" s="17" t="n">
        <v>3530</v>
      </c>
      <c r="C58" s="18">
        <f>(2946.0/B58*100)</f>
        <v/>
      </c>
      <c r="D58" s="19" t="n">
        <v>584</v>
      </c>
      <c r="E58" s="18" t="n">
        <v>58.17280214</v>
      </c>
      <c r="F58" s="20" t="n">
        <v>1.58272327</v>
      </c>
      <c r="G58" s="18" t="n">
        <v>31.07001355</v>
      </c>
      <c r="H58" s="20" t="n">
        <v>1.56932723</v>
      </c>
      <c r="I58" s="18" t="s">
        <v>431</v>
      </c>
      <c r="J58" s="20" t="s">
        <v>431</v>
      </c>
      <c r="K58" s="18" t="n">
        <v>10.46696692</v>
      </c>
      <c r="L58" s="20" t="n">
        <v>1.71027712</v>
      </c>
      <c r="M58" s="18" t="n">
        <v>0</v>
      </c>
      <c r="N58" s="20" t="n">
        <v>0</v>
      </c>
      <c r="O58" s="18" t="n">
        <v>0.29021738</v>
      </c>
      <c r="P58" s="20" t="n">
        <v>0.28503</v>
      </c>
      <c r="Q58" s="18" t="n">
        <v>0</v>
      </c>
      <c r="R58" s="20" t="n">
        <v>0</v>
      </c>
    </row>
    <row r="59" spans="1:18">
      <c r="A59" s="15" t="s">
        <v>483</v>
      </c>
      <c r="B59" s="17" t="n">
        <v>2548</v>
      </c>
      <c r="C59" s="18">
        <f>(2125.0/B59*100)</f>
        <v/>
      </c>
      <c r="D59" s="19" t="n">
        <v>423</v>
      </c>
      <c r="E59" s="18" t="n">
        <v>67.28131844000001</v>
      </c>
      <c r="F59" s="20" t="n">
        <v>2.36049647</v>
      </c>
      <c r="G59" s="18" t="n">
        <v>26.76579394</v>
      </c>
      <c r="H59" s="20" t="n">
        <v>2.39579395</v>
      </c>
      <c r="I59" s="18" t="s">
        <v>431</v>
      </c>
      <c r="J59" s="20" t="s">
        <v>431</v>
      </c>
      <c r="K59" s="18" t="n">
        <v>3.12309788</v>
      </c>
      <c r="L59" s="20" t="n">
        <v>0.80788115</v>
      </c>
      <c r="M59" s="18" t="n">
        <v>0</v>
      </c>
      <c r="N59" s="20" t="n">
        <v>0</v>
      </c>
      <c r="O59" s="18" t="n">
        <v>2.82978974</v>
      </c>
      <c r="P59" s="20" t="n">
        <v>1.10960518</v>
      </c>
      <c r="Q59" s="18" t="n">
        <v>0</v>
      </c>
      <c r="R59" s="20" t="n">
        <v>0</v>
      </c>
    </row>
    <row r="60" spans="1:18">
      <c r="A60" s="15" t="s">
        <v>484</v>
      </c>
      <c r="B60" s="17" t="n">
        <v>2095</v>
      </c>
      <c r="C60" s="18">
        <f>(1762.0/B60*100)</f>
        <v/>
      </c>
      <c r="D60" s="19" t="n">
        <v>333</v>
      </c>
      <c r="E60" s="18" t="n">
        <v>51.5819875</v>
      </c>
      <c r="F60" s="20" t="n">
        <v>3.0600887</v>
      </c>
      <c r="G60" s="18" t="n">
        <v>30.10545272</v>
      </c>
      <c r="H60" s="20" t="n">
        <v>3.06957079</v>
      </c>
      <c r="I60" s="18" t="s">
        <v>431</v>
      </c>
      <c r="J60" s="20" t="s">
        <v>431</v>
      </c>
      <c r="K60" s="18" t="n">
        <v>15.30050913</v>
      </c>
      <c r="L60" s="20" t="n">
        <v>2.263826</v>
      </c>
      <c r="M60" s="18" t="n">
        <v>0</v>
      </c>
      <c r="N60" s="20" t="n">
        <v>0</v>
      </c>
      <c r="O60" s="18" t="n">
        <v>3.01205065</v>
      </c>
      <c r="P60" s="20" t="n">
        <v>1.09998693</v>
      </c>
      <c r="Q60" s="18" t="n">
        <v>0</v>
      </c>
      <c r="R60" s="20" t="n">
        <v>0</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(2332.0/B63*100)</f>
        <v/>
      </c>
      <c r="D63" s="19" t="n">
        <v>481</v>
      </c>
      <c r="E63" s="18" t="n">
        <v>58.95673958</v>
      </c>
      <c r="F63" s="20" t="n">
        <v>2.40240362</v>
      </c>
      <c r="G63" s="18" t="n">
        <v>28.85443647</v>
      </c>
      <c r="H63" s="20" t="n">
        <v>2.20637411</v>
      </c>
      <c r="I63" s="18" t="s">
        <v>431</v>
      </c>
      <c r="J63" s="20" t="s">
        <v>431</v>
      </c>
      <c r="K63" s="18" t="n">
        <v>12.18882396</v>
      </c>
      <c r="L63" s="20" t="n">
        <v>1.378381</v>
      </c>
      <c r="M63" s="18" t="n">
        <v>0</v>
      </c>
      <c r="N63" s="20" t="n">
        <v>0</v>
      </c>
      <c r="O63" s="18" t="n">
        <v>0</v>
      </c>
      <c r="P63" s="20" t="n">
        <v>0</v>
      </c>
      <c r="Q63" s="18" t="n">
        <v>0</v>
      </c>
      <c r="R63" s="20" t="n">
        <v>0</v>
      </c>
    </row>
    <row r="64" spans="1:18">
      <c r="A64" s="15" t="s">
        <v>488</v>
      </c>
      <c r="B64" s="17" t="n">
        <v>1844</v>
      </c>
      <c r="C64" s="18">
        <f>(1541.0/B64*100)</f>
        <v/>
      </c>
      <c r="D64" s="19" t="n">
        <v>303</v>
      </c>
      <c r="E64" s="18" t="n">
        <v>40.51724491</v>
      </c>
      <c r="F64" s="20" t="n">
        <v>3.12075693</v>
      </c>
      <c r="G64" s="18" t="n">
        <v>48.48747912</v>
      </c>
      <c r="H64" s="20" t="n">
        <v>2.92869893</v>
      </c>
      <c r="I64" s="18" t="s">
        <v>431</v>
      </c>
      <c r="J64" s="20" t="s">
        <v>431</v>
      </c>
      <c r="K64" s="18" t="n">
        <v>10.64443242</v>
      </c>
      <c r="L64" s="20" t="n">
        <v>1.966086</v>
      </c>
      <c r="M64" s="18" t="n">
        <v>0</v>
      </c>
      <c r="N64" s="20" t="n">
        <v>0</v>
      </c>
      <c r="O64" s="18" t="n">
        <v>0.35084354</v>
      </c>
      <c r="P64" s="20" t="n">
        <v>0.35188482</v>
      </c>
      <c r="Q64" s="18" t="n">
        <v>0</v>
      </c>
      <c r="R64" s="20" t="n">
        <v>0</v>
      </c>
    </row>
    <row r="65" spans="1:18">
      <c r="A65" s="15" t="s">
        <v>489</v>
      </c>
      <c r="B65" s="17" t="n">
        <v>2691</v>
      </c>
      <c r="C65" s="18">
        <f>(2260.0/B65*100)</f>
        <v/>
      </c>
      <c r="D65" s="19" t="n">
        <v>431</v>
      </c>
      <c r="E65" s="18" t="n">
        <v>58.49810486</v>
      </c>
      <c r="F65" s="20" t="n">
        <v>2.28162574</v>
      </c>
      <c r="G65" s="18" t="n">
        <v>27.45791949</v>
      </c>
      <c r="H65" s="20" t="n">
        <v>2.34845313</v>
      </c>
      <c r="I65" s="18" t="s">
        <v>431</v>
      </c>
      <c r="J65" s="20" t="s">
        <v>431</v>
      </c>
      <c r="K65" s="18" t="n">
        <v>12.80981023</v>
      </c>
      <c r="L65" s="20" t="n">
        <v>1.60262381</v>
      </c>
      <c r="M65" s="18" t="n">
        <v>1.23416542</v>
      </c>
      <c r="N65" s="20" t="n">
        <v>0.57510704</v>
      </c>
      <c r="O65" s="18" t="n">
        <v>0</v>
      </c>
      <c r="P65" s="20" t="n">
        <v>0</v>
      </c>
      <c r="Q65" s="18" t="n">
        <v>0</v>
      </c>
      <c r="R65" s="20" t="n">
        <v>0</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(2003.0/B69*100)</f>
        <v/>
      </c>
      <c r="D69" s="19" t="n">
        <v>407</v>
      </c>
      <c r="E69" s="18" t="n">
        <v>64.8040304</v>
      </c>
      <c r="F69" s="20" t="n">
        <v>2.90692336</v>
      </c>
      <c r="G69" s="18" t="n">
        <v>34.76849802</v>
      </c>
      <c r="H69" s="20" t="n">
        <v>2.78536343</v>
      </c>
      <c r="I69" s="18" t="s">
        <v>431</v>
      </c>
      <c r="J69" s="20" t="s">
        <v>431</v>
      </c>
      <c r="K69" s="18" t="n">
        <v>0.42747158</v>
      </c>
      <c r="L69" s="20" t="n">
        <v>0.30450433</v>
      </c>
      <c r="M69" s="18" t="n">
        <v>0</v>
      </c>
      <c r="N69" s="20" t="n">
        <v>0</v>
      </c>
      <c r="O69" s="18" t="n">
        <v>0</v>
      </c>
      <c r="P69" s="20" t="n">
        <v>0</v>
      </c>
      <c r="Q69" s="18" t="n">
        <v>0</v>
      </c>
      <c r="R69" s="20" t="n">
        <v>0</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(1885.0/B74*100)</f>
        <v/>
      </c>
      <c r="D74" s="19" t="n">
        <v>354</v>
      </c>
      <c r="E74" s="18" t="n">
        <v>42.93587014</v>
      </c>
      <c r="F74" s="20" t="n">
        <v>2.66416469</v>
      </c>
      <c r="G74" s="18" t="n">
        <v>37.14872505</v>
      </c>
      <c r="H74" s="20" t="n">
        <v>2.78554825</v>
      </c>
      <c r="I74" s="18" t="s">
        <v>431</v>
      </c>
      <c r="J74" s="20" t="s">
        <v>431</v>
      </c>
      <c r="K74" s="18" t="n">
        <v>19.91540481</v>
      </c>
      <c r="L74" s="20" t="n">
        <v>2.03972319</v>
      </c>
      <c r="M74" s="18" t="n">
        <v>0</v>
      </c>
      <c r="N74" s="20" t="n">
        <v>0</v>
      </c>
      <c r="O74" s="18" t="n">
        <v>0</v>
      </c>
      <c r="P74" s="20" t="n">
        <v>0</v>
      </c>
      <c r="Q74" s="18" t="n">
        <v>0</v>
      </c>
      <c r="R74" s="20" t="n">
        <v>0</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(2321.0/B78*100)</f>
        <v/>
      </c>
      <c r="D78" s="19" t="n">
        <v>465</v>
      </c>
      <c r="E78" s="18" t="n">
        <v>17.0418599</v>
      </c>
      <c r="F78" s="20" t="n">
        <v>2.35758028</v>
      </c>
      <c r="G78" s="18" t="n">
        <v>82.66404180000001</v>
      </c>
      <c r="H78" s="20" t="n">
        <v>2.40503963</v>
      </c>
      <c r="I78" s="18" t="s">
        <v>431</v>
      </c>
      <c r="J78" s="20" t="s">
        <v>431</v>
      </c>
      <c r="K78" s="18" t="n">
        <v>0.2940983</v>
      </c>
      <c r="L78" s="20" t="n">
        <v>0.2094567</v>
      </c>
      <c r="M78" s="18" t="n">
        <v>0</v>
      </c>
      <c r="N78" s="20" t="n">
        <v>0</v>
      </c>
      <c r="O78" s="18" t="n">
        <v>0</v>
      </c>
      <c r="P78" s="20" t="n">
        <v>0</v>
      </c>
      <c r="Q78" s="18" t="n">
        <v>0</v>
      </c>
      <c r="R78" s="20" t="n">
        <v>0</v>
      </c>
    </row>
    <row customHeight="1" ht="25" r="79" spans="1:18">
      <c r="A79" s="15" t="s">
        <v>503</v>
      </c>
      <c r="B79" s="17" t="n">
        <v>787</v>
      </c>
      <c r="C79" s="18">
        <f>(658.0/B79*100)</f>
        <v/>
      </c>
      <c r="D79" s="19" t="n">
        <v>129</v>
      </c>
      <c r="E79" s="18" t="n">
        <v>34.19057958</v>
      </c>
      <c r="F79" s="20" t="n">
        <v>5.64724616</v>
      </c>
      <c r="G79" s="18" t="n">
        <v>56.00668126</v>
      </c>
      <c r="H79" s="20" t="n">
        <v>4.72860134</v>
      </c>
      <c r="I79" s="18" t="s">
        <v>431</v>
      </c>
      <c r="J79" s="20" t="s">
        <v>431</v>
      </c>
      <c r="K79" s="18" t="n">
        <v>9.504991049999999</v>
      </c>
      <c r="L79" s="20" t="n">
        <v>3.02433309</v>
      </c>
      <c r="M79" s="18" t="n">
        <v>0</v>
      </c>
      <c r="N79" s="20" t="n">
        <v>0</v>
      </c>
      <c r="O79" s="18" t="n">
        <v>0.2977481</v>
      </c>
      <c r="P79" s="20" t="n">
        <v>0.30294739</v>
      </c>
      <c r="Q79" s="18" t="n">
        <v>0</v>
      </c>
      <c r="R79" s="20" t="n">
        <v>0</v>
      </c>
    </row>
    <row r="80" spans="1:18">
      <c r="A80" s="15" t="s">
        <v>504</v>
      </c>
      <c r="B80" s="17" t="n">
        <v>3798</v>
      </c>
      <c r="C80" s="18">
        <f>(3159.0/B80*100)</f>
        <v/>
      </c>
      <c r="D80" s="19" t="n">
        <v>639</v>
      </c>
      <c r="E80" s="18" t="n">
        <v>71.11491321</v>
      </c>
      <c r="F80" s="20" t="n">
        <v>2.19227263</v>
      </c>
      <c r="G80" s="18" t="n">
        <v>28.74271752</v>
      </c>
      <c r="H80" s="20" t="n">
        <v>2.20970521</v>
      </c>
      <c r="I80" s="18" t="s">
        <v>431</v>
      </c>
      <c r="J80" s="20" t="s">
        <v>431</v>
      </c>
      <c r="K80" s="18" t="n">
        <v>0.14236926</v>
      </c>
      <c r="L80" s="20" t="n">
        <v>0.10743498</v>
      </c>
      <c r="M80" s="18" t="n">
        <v>0</v>
      </c>
      <c r="N80" s="20" t="n">
        <v>0</v>
      </c>
      <c r="O80" s="18" t="n">
        <v>0</v>
      </c>
      <c r="P80" s="20" t="n">
        <v>0</v>
      </c>
      <c r="Q80" s="18" t="n">
        <v>0</v>
      </c>
      <c r="R80" s="20" t="n">
        <v>0</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4.89160334</v>
      </c>
      <c r="F44" s="20" t="n">
        <v>0.98975222</v>
      </c>
      <c r="G44" s="18" t="n">
        <v>88.20084858</v>
      </c>
      <c r="H44" s="20" t="n">
        <v>1.69009183</v>
      </c>
      <c r="I44" s="18" t="s">
        <v>431</v>
      </c>
      <c r="J44" s="20" t="s">
        <v>431</v>
      </c>
      <c r="K44" s="18" t="n">
        <v>3.24432858</v>
      </c>
      <c r="L44" s="20" t="n">
        <v>0.84947339</v>
      </c>
      <c r="M44" s="18" t="n">
        <v>0</v>
      </c>
      <c r="N44" s="20" t="n">
        <v>0</v>
      </c>
      <c r="O44" s="18" t="n">
        <v>0.85632086</v>
      </c>
      <c r="P44" s="20" t="n">
        <v>0.44948137</v>
      </c>
      <c r="Q44" s="18" t="n">
        <v>2.80689864</v>
      </c>
      <c r="R44" s="20" t="n">
        <v>0.81503552</v>
      </c>
    </row>
    <row r="45" spans="1:18">
      <c r="A45" s="15" t="s">
        <v>469</v>
      </c>
      <c r="B45" s="17" t="n">
        <v>2849</v>
      </c>
      <c r="C45" s="18">
        <f>(2364.0/B45*100)</f>
        <v/>
      </c>
      <c r="D45" s="19" t="n">
        <v>485</v>
      </c>
      <c r="E45" s="18" t="n">
        <v>8.890113769999999</v>
      </c>
      <c r="F45" s="20" t="n">
        <v>1.35874986</v>
      </c>
      <c r="G45" s="18" t="n">
        <v>83.9473405</v>
      </c>
      <c r="H45" s="20" t="n">
        <v>1.64394948</v>
      </c>
      <c r="I45" s="18" t="s">
        <v>431</v>
      </c>
      <c r="J45" s="20" t="s">
        <v>431</v>
      </c>
      <c r="K45" s="18" t="n">
        <v>2.42205672</v>
      </c>
      <c r="L45" s="20" t="n">
        <v>0.72888936</v>
      </c>
      <c r="M45" s="18" t="n">
        <v>0</v>
      </c>
      <c r="N45" s="20" t="n">
        <v>0</v>
      </c>
      <c r="O45" s="18" t="n">
        <v>1.47620015</v>
      </c>
      <c r="P45" s="20" t="n">
        <v>0.61604154</v>
      </c>
      <c r="Q45" s="18" t="n">
        <v>3.26428886</v>
      </c>
      <c r="R45" s="20" t="n">
        <v>1.00690449</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4.91098979</v>
      </c>
      <c r="F49" s="20" t="n">
        <v>1.11509721</v>
      </c>
      <c r="G49" s="18" t="n">
        <v>91.47429642</v>
      </c>
      <c r="H49" s="20" t="n">
        <v>1.43944835</v>
      </c>
      <c r="I49" s="18" t="s">
        <v>431</v>
      </c>
      <c r="J49" s="20" t="s">
        <v>431</v>
      </c>
      <c r="K49" s="18" t="n">
        <v>1.85438167</v>
      </c>
      <c r="L49" s="20" t="n">
        <v>0.7174428</v>
      </c>
      <c r="M49" s="18" t="n">
        <v>0</v>
      </c>
      <c r="N49" s="20" t="n">
        <v>0</v>
      </c>
      <c r="O49" s="18" t="n">
        <v>0.22523797</v>
      </c>
      <c r="P49" s="20" t="n">
        <v>0.23275431</v>
      </c>
      <c r="Q49" s="18" t="n">
        <v>1.53509414</v>
      </c>
      <c r="R49" s="20" t="n">
        <v>0.6063048599999999</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15.86923893</v>
      </c>
      <c r="F55" s="20" t="n">
        <v>1.7232237</v>
      </c>
      <c r="G55" s="18" t="n">
        <v>81.02948889</v>
      </c>
      <c r="H55" s="20" t="n">
        <v>1.89759666</v>
      </c>
      <c r="I55" s="18" t="s">
        <v>431</v>
      </c>
      <c r="J55" s="20" t="s">
        <v>431</v>
      </c>
      <c r="K55" s="18" t="n">
        <v>0.56140892</v>
      </c>
      <c r="L55" s="20" t="n">
        <v>0.32911105</v>
      </c>
      <c r="M55" s="18" t="n">
        <v>0</v>
      </c>
      <c r="N55" s="20" t="n">
        <v>0</v>
      </c>
      <c r="O55" s="18" t="n">
        <v>0.14205548</v>
      </c>
      <c r="P55" s="20" t="n">
        <v>0.14245364</v>
      </c>
      <c r="Q55" s="18" t="n">
        <v>2.39780778</v>
      </c>
      <c r="R55" s="20" t="n">
        <v>0.69496084</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7.4100499</v>
      </c>
      <c r="F57" s="20" t="n">
        <v>1.67353225</v>
      </c>
      <c r="G57" s="18" t="n">
        <v>91.50414494</v>
      </c>
      <c r="H57" s="20" t="n">
        <v>1.77079832</v>
      </c>
      <c r="I57" s="18" t="s">
        <v>431</v>
      </c>
      <c r="J57" s="20" t="s">
        <v>431</v>
      </c>
      <c r="K57" s="18" t="n">
        <v>0.74389399</v>
      </c>
      <c r="L57" s="20" t="n">
        <v>0.45971208</v>
      </c>
      <c r="M57" s="18" t="n">
        <v>0</v>
      </c>
      <c r="N57" s="20" t="n">
        <v>0</v>
      </c>
      <c r="O57" s="18" t="n">
        <v>0</v>
      </c>
      <c r="P57" s="20" t="n">
        <v>0</v>
      </c>
      <c r="Q57" s="18" t="n">
        <v>0.34191117</v>
      </c>
      <c r="R57" s="20" t="n">
        <v>0.26941223</v>
      </c>
    </row>
    <row r="58" spans="1:18">
      <c r="A58" s="15" t="s">
        <v>482</v>
      </c>
      <c r="B58" s="17" t="n">
        <v>3530</v>
      </c>
      <c r="C58" s="18">
        <f>(2942.0/B58*100)</f>
        <v/>
      </c>
      <c r="D58" s="19" t="n">
        <v>588</v>
      </c>
      <c r="E58" s="18" t="n">
        <v>10.92606706</v>
      </c>
      <c r="F58" s="20" t="n">
        <v>1.22658064</v>
      </c>
      <c r="G58" s="18" t="n">
        <v>81.76038884</v>
      </c>
      <c r="H58" s="20" t="n">
        <v>1.77107565</v>
      </c>
      <c r="I58" s="18" t="s">
        <v>431</v>
      </c>
      <c r="J58" s="20" t="s">
        <v>431</v>
      </c>
      <c r="K58" s="18" t="n">
        <v>1.82589838</v>
      </c>
      <c r="L58" s="20" t="n">
        <v>0.56118811</v>
      </c>
      <c r="M58" s="18" t="n">
        <v>0</v>
      </c>
      <c r="N58" s="20" t="n">
        <v>0</v>
      </c>
      <c r="O58" s="18" t="n">
        <v>1.27961154</v>
      </c>
      <c r="P58" s="20" t="n">
        <v>0.67974947</v>
      </c>
      <c r="Q58" s="18" t="n">
        <v>4.20803418</v>
      </c>
      <c r="R58" s="20" t="n">
        <v>1.12971735</v>
      </c>
    </row>
    <row r="59" spans="1:18">
      <c r="A59" s="15" t="s">
        <v>483</v>
      </c>
      <c r="B59" s="17" t="n">
        <v>2548</v>
      </c>
      <c r="C59" s="18">
        <f>(2129.0/B59*100)</f>
        <v/>
      </c>
      <c r="D59" s="19" t="n">
        <v>419</v>
      </c>
      <c r="E59" s="18" t="n">
        <v>14.86617739</v>
      </c>
      <c r="F59" s="20" t="n">
        <v>2.05239858</v>
      </c>
      <c r="G59" s="18" t="n">
        <v>83.73619843</v>
      </c>
      <c r="H59" s="20" t="n">
        <v>2.10911356</v>
      </c>
      <c r="I59" s="18" t="s">
        <v>431</v>
      </c>
      <c r="J59" s="20" t="s">
        <v>431</v>
      </c>
      <c r="K59" s="18" t="n">
        <v>0.25921837</v>
      </c>
      <c r="L59" s="20" t="n">
        <v>0.13619594</v>
      </c>
      <c r="M59" s="18" t="n">
        <v>0.10460333</v>
      </c>
      <c r="N59" s="20" t="n">
        <v>0.10625947</v>
      </c>
      <c r="O59" s="18" t="n">
        <v>0.48282318</v>
      </c>
      <c r="P59" s="20" t="n">
        <v>0.50392205</v>
      </c>
      <c r="Q59" s="18" t="n">
        <v>0.55097929</v>
      </c>
      <c r="R59" s="20" t="n">
        <v>0.3458785</v>
      </c>
    </row>
    <row r="60" spans="1:18">
      <c r="A60" s="15" t="s">
        <v>484</v>
      </c>
      <c r="B60" s="17" t="n">
        <v>2095</v>
      </c>
      <c r="C60" s="18">
        <f>(1749.0/B60*100)</f>
        <v/>
      </c>
      <c r="D60" s="19" t="n">
        <v>346</v>
      </c>
      <c r="E60" s="18" t="n">
        <v>17.43665233</v>
      </c>
      <c r="F60" s="20" t="n">
        <v>2.85936605</v>
      </c>
      <c r="G60" s="18" t="n">
        <v>73.1154612</v>
      </c>
      <c r="H60" s="20" t="n">
        <v>3.10240531</v>
      </c>
      <c r="I60" s="18" t="s">
        <v>431</v>
      </c>
      <c r="J60" s="20" t="s">
        <v>431</v>
      </c>
      <c r="K60" s="18" t="n">
        <v>3.05316566</v>
      </c>
      <c r="L60" s="20" t="n">
        <v>0.89786186</v>
      </c>
      <c r="M60" s="18" t="n">
        <v>0</v>
      </c>
      <c r="N60" s="20" t="n">
        <v>0</v>
      </c>
      <c r="O60" s="18" t="n">
        <v>2.31954202</v>
      </c>
      <c r="P60" s="20" t="n">
        <v>0.99080883</v>
      </c>
      <c r="Q60" s="18" t="n">
        <v>4.07517879</v>
      </c>
      <c r="R60" s="20" t="n">
        <v>1.09985088</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14.93886977</v>
      </c>
      <c r="F63" s="20" t="n">
        <v>1.49192893</v>
      </c>
      <c r="G63" s="18" t="n">
        <v>81.13107244</v>
      </c>
      <c r="H63" s="20" t="n">
        <v>1.59236299</v>
      </c>
      <c r="I63" s="18" t="s">
        <v>431</v>
      </c>
      <c r="J63" s="20" t="s">
        <v>431</v>
      </c>
      <c r="K63" s="18" t="n">
        <v>1.17657803</v>
      </c>
      <c r="L63" s="20" t="n">
        <v>0.56818085</v>
      </c>
      <c r="M63" s="18" t="n">
        <v>0</v>
      </c>
      <c r="N63" s="20" t="n">
        <v>0</v>
      </c>
      <c r="O63" s="18" t="n">
        <v>0.17885193</v>
      </c>
      <c r="P63" s="20" t="n">
        <v>0.18032059</v>
      </c>
      <c r="Q63" s="18" t="n">
        <v>2.57462783</v>
      </c>
      <c r="R63" s="20" t="n">
        <v>0.6510356</v>
      </c>
    </row>
    <row r="64" spans="1:18">
      <c r="A64" s="15" t="s">
        <v>488</v>
      </c>
      <c r="B64" s="17" t="n">
        <v>1844</v>
      </c>
      <c r="C64" s="18">
        <f>(1543.0/B64*100)</f>
        <v/>
      </c>
      <c r="D64" s="19" t="n">
        <v>301</v>
      </c>
      <c r="E64" s="18" t="n">
        <v>8.88809524</v>
      </c>
      <c r="F64" s="20" t="n">
        <v>1.90651674</v>
      </c>
      <c r="G64" s="18" t="n">
        <v>84.13135391</v>
      </c>
      <c r="H64" s="20" t="n">
        <v>2.52103617</v>
      </c>
      <c r="I64" s="18" t="s">
        <v>431</v>
      </c>
      <c r="J64" s="20" t="s">
        <v>431</v>
      </c>
      <c r="K64" s="18" t="n">
        <v>4.19474465</v>
      </c>
      <c r="L64" s="20" t="n">
        <v>1.20376753</v>
      </c>
      <c r="M64" s="18" t="n">
        <v>0</v>
      </c>
      <c r="N64" s="20" t="n">
        <v>0</v>
      </c>
      <c r="O64" s="18" t="n">
        <v>0</v>
      </c>
      <c r="P64" s="20" t="n">
        <v>0</v>
      </c>
      <c r="Q64" s="18" t="n">
        <v>2.7858062</v>
      </c>
      <c r="R64" s="20" t="n">
        <v>1.00032906</v>
      </c>
    </row>
    <row r="65" spans="1:18">
      <c r="A65" s="15" t="s">
        <v>489</v>
      </c>
      <c r="B65" s="17" t="n">
        <v>2691</v>
      </c>
      <c r="C65" s="18">
        <f>(2257.0/B65*100)</f>
        <v/>
      </c>
      <c r="D65" s="19" t="n">
        <v>434</v>
      </c>
      <c r="E65" s="18" t="n">
        <v>6.23335422</v>
      </c>
      <c r="F65" s="20" t="n">
        <v>1.32063948</v>
      </c>
      <c r="G65" s="18" t="n">
        <v>89.41507779</v>
      </c>
      <c r="H65" s="20" t="n">
        <v>1.52724142</v>
      </c>
      <c r="I65" s="18" t="s">
        <v>431</v>
      </c>
      <c r="J65" s="20" t="s">
        <v>431</v>
      </c>
      <c r="K65" s="18" t="n">
        <v>1.67391894</v>
      </c>
      <c r="L65" s="20" t="n">
        <v>0.69612849</v>
      </c>
      <c r="M65" s="18" t="n">
        <v>1.04817853</v>
      </c>
      <c r="N65" s="20" t="n">
        <v>0.47062292</v>
      </c>
      <c r="O65" s="18" t="n">
        <v>0</v>
      </c>
      <c r="P65" s="20" t="n">
        <v>0</v>
      </c>
      <c r="Q65" s="18" t="n">
        <v>1.62947052</v>
      </c>
      <c r="R65" s="20" t="n">
        <v>0.70791625</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7.12464996</v>
      </c>
      <c r="F69" s="20" t="n">
        <v>1.34980509</v>
      </c>
      <c r="G69" s="18" t="n">
        <v>92.39253444000001</v>
      </c>
      <c r="H69" s="20" t="n">
        <v>1.44019387</v>
      </c>
      <c r="I69" s="18" t="s">
        <v>431</v>
      </c>
      <c r="J69" s="20" t="s">
        <v>431</v>
      </c>
      <c r="K69" s="18" t="n">
        <v>0</v>
      </c>
      <c r="L69" s="20" t="n">
        <v>0</v>
      </c>
      <c r="M69" s="18" t="n">
        <v>0</v>
      </c>
      <c r="N69" s="20" t="n">
        <v>0</v>
      </c>
      <c r="O69" s="18" t="n">
        <v>0</v>
      </c>
      <c r="P69" s="20" t="n">
        <v>0</v>
      </c>
      <c r="Q69" s="18" t="n">
        <v>0.4828156</v>
      </c>
      <c r="R69" s="20" t="n">
        <v>0.5002441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8.403759790000001</v>
      </c>
      <c r="F74" s="20" t="n">
        <v>1.55677357</v>
      </c>
      <c r="G74" s="18" t="n">
        <v>83.12339697</v>
      </c>
      <c r="H74" s="20" t="n">
        <v>2.25333583</v>
      </c>
      <c r="I74" s="18" t="s">
        <v>431</v>
      </c>
      <c r="J74" s="20" t="s">
        <v>431</v>
      </c>
      <c r="K74" s="18" t="n">
        <v>3.93996203</v>
      </c>
      <c r="L74" s="20" t="n">
        <v>1.11140405</v>
      </c>
      <c r="M74" s="18" t="n">
        <v>0</v>
      </c>
      <c r="N74" s="20" t="n">
        <v>0</v>
      </c>
      <c r="O74" s="18" t="n">
        <v>0</v>
      </c>
      <c r="P74" s="20" t="n">
        <v>0</v>
      </c>
      <c r="Q74" s="18" t="n">
        <v>4.53288121</v>
      </c>
      <c r="R74" s="20" t="n">
        <v>1.24232027</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0.62165856</v>
      </c>
      <c r="F78" s="20" t="n">
        <v>0.3767359</v>
      </c>
      <c r="G78" s="18" t="n">
        <v>99.37834144</v>
      </c>
      <c r="H78" s="20" t="n">
        <v>0.3767359</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(657.0/B79*100)</f>
        <v/>
      </c>
      <c r="D79" s="19" t="n">
        <v>130</v>
      </c>
      <c r="E79" s="18" t="n">
        <v>3.7801642</v>
      </c>
      <c r="F79" s="20" t="n">
        <v>2.05479277</v>
      </c>
      <c r="G79" s="18" t="n">
        <v>92.54771621</v>
      </c>
      <c r="H79" s="20" t="n">
        <v>2.23372394</v>
      </c>
      <c r="I79" s="18" t="s">
        <v>431</v>
      </c>
      <c r="J79" s="20" t="s">
        <v>431</v>
      </c>
      <c r="K79" s="18" t="n">
        <v>2.82805082</v>
      </c>
      <c r="L79" s="20" t="n">
        <v>1.26272219</v>
      </c>
      <c r="M79" s="18" t="n">
        <v>0</v>
      </c>
      <c r="N79" s="20" t="n">
        <v>0</v>
      </c>
      <c r="O79" s="18" t="n">
        <v>0</v>
      </c>
      <c r="P79" s="20" t="n">
        <v>0</v>
      </c>
      <c r="Q79" s="18" t="n">
        <v>0.84406877</v>
      </c>
      <c r="R79" s="20" t="n">
        <v>0.84743138</v>
      </c>
    </row>
    <row r="80" spans="1:18">
      <c r="A80" s="15" t="s">
        <v>504</v>
      </c>
      <c r="B80" s="17" t="n">
        <v>3798</v>
      </c>
      <c r="C80" s="18">
        <f>(3170.0/B80*100)</f>
        <v/>
      </c>
      <c r="D80" s="19" t="n">
        <v>628</v>
      </c>
      <c r="E80" s="18" t="n">
        <v>3.11506836</v>
      </c>
      <c r="F80" s="20" t="n">
        <v>0.83082282</v>
      </c>
      <c r="G80" s="18" t="n">
        <v>96.88493164</v>
      </c>
      <c r="H80" s="20" t="n">
        <v>0.83082282</v>
      </c>
      <c r="I80" s="18" t="s">
        <v>431</v>
      </c>
      <c r="J80" s="20" t="s">
        <v>431</v>
      </c>
      <c r="K80" s="18" t="n">
        <v>0</v>
      </c>
      <c r="L80" s="20" t="n">
        <v>0</v>
      </c>
      <c r="M80" s="18" t="n">
        <v>0</v>
      </c>
      <c r="N80" s="20" t="n">
        <v>0</v>
      </c>
      <c r="O80" s="18" t="n">
        <v>0</v>
      </c>
      <c r="P80" s="20" t="n">
        <v>0</v>
      </c>
      <c r="Q80" s="18" t="n">
        <v>0</v>
      </c>
      <c r="R80" s="20" t="n">
        <v>0</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27.27534157</v>
      </c>
      <c r="F44" s="20" t="n">
        <v>2.3210073</v>
      </c>
      <c r="G44" s="18" t="n">
        <v>60.12239036</v>
      </c>
      <c r="H44" s="20" t="n">
        <v>2.75054574</v>
      </c>
      <c r="I44" s="18" t="s">
        <v>431</v>
      </c>
      <c r="J44" s="20" t="s">
        <v>431</v>
      </c>
      <c r="K44" s="18" t="n">
        <v>3.68645222</v>
      </c>
      <c r="L44" s="20" t="n">
        <v>0.91709589</v>
      </c>
      <c r="M44" s="18" t="n">
        <v>0</v>
      </c>
      <c r="N44" s="20" t="n">
        <v>0</v>
      </c>
      <c r="O44" s="18" t="n">
        <v>0</v>
      </c>
      <c r="P44" s="20" t="n">
        <v>0</v>
      </c>
      <c r="Q44" s="18" t="n">
        <v>8.91581585</v>
      </c>
      <c r="R44" s="20" t="n">
        <v>1.59858325</v>
      </c>
    </row>
    <row r="45" spans="1:18">
      <c r="A45" s="15" t="s">
        <v>469</v>
      </c>
      <c r="B45" s="17" t="n">
        <v>2849</v>
      </c>
      <c r="C45" s="18">
        <f>(2364.0/B45*100)</f>
        <v/>
      </c>
      <c r="D45" s="19" t="n">
        <v>485</v>
      </c>
      <c r="E45" s="18" t="n">
        <v>45.55554204</v>
      </c>
      <c r="F45" s="20" t="n">
        <v>2.72558432</v>
      </c>
      <c r="G45" s="18" t="n">
        <v>42.62630522</v>
      </c>
      <c r="H45" s="20" t="n">
        <v>2.83588825</v>
      </c>
      <c r="I45" s="18" t="s">
        <v>431</v>
      </c>
      <c r="J45" s="20" t="s">
        <v>431</v>
      </c>
      <c r="K45" s="18" t="n">
        <v>3.0411541</v>
      </c>
      <c r="L45" s="20" t="n">
        <v>0.8112826400000001</v>
      </c>
      <c r="M45" s="18" t="n">
        <v>0.97131256</v>
      </c>
      <c r="N45" s="20" t="n">
        <v>0.44982914</v>
      </c>
      <c r="O45" s="18" t="n">
        <v>0.2569474</v>
      </c>
      <c r="P45" s="20" t="n">
        <v>0.18759699</v>
      </c>
      <c r="Q45" s="18" t="n">
        <v>7.54873867</v>
      </c>
      <c r="R45" s="20" t="n">
        <v>1.36159254</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37.39159881</v>
      </c>
      <c r="F49" s="20" t="n">
        <v>3.33990324</v>
      </c>
      <c r="G49" s="18" t="n">
        <v>53.79357757</v>
      </c>
      <c r="H49" s="20" t="n">
        <v>2.66712601</v>
      </c>
      <c r="I49" s="18" t="s">
        <v>431</v>
      </c>
      <c r="J49" s="20" t="s">
        <v>431</v>
      </c>
      <c r="K49" s="18" t="n">
        <v>1.91231103</v>
      </c>
      <c r="L49" s="20" t="n">
        <v>0.7135869500000001</v>
      </c>
      <c r="M49" s="18" t="n">
        <v>0</v>
      </c>
      <c r="N49" s="20" t="n">
        <v>0</v>
      </c>
      <c r="O49" s="18" t="n">
        <v>0</v>
      </c>
      <c r="P49" s="20" t="n">
        <v>0</v>
      </c>
      <c r="Q49" s="18" t="n">
        <v>6.9025126</v>
      </c>
      <c r="R49" s="20" t="n">
        <v>1.62672739</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21.40212785</v>
      </c>
      <c r="F55" s="20" t="n">
        <v>2.02052344</v>
      </c>
      <c r="G55" s="18" t="n">
        <v>59.11234296</v>
      </c>
      <c r="H55" s="20" t="n">
        <v>2.31274987</v>
      </c>
      <c r="I55" s="18" t="s">
        <v>431</v>
      </c>
      <c r="J55" s="20" t="s">
        <v>431</v>
      </c>
      <c r="K55" s="18" t="n">
        <v>0.96097882</v>
      </c>
      <c r="L55" s="20" t="n">
        <v>0.42601782</v>
      </c>
      <c r="M55" s="18" t="n">
        <v>0</v>
      </c>
      <c r="N55" s="20" t="n">
        <v>0</v>
      </c>
      <c r="O55" s="18" t="n">
        <v>0.19980097</v>
      </c>
      <c r="P55" s="20" t="n">
        <v>0.19381867</v>
      </c>
      <c r="Q55" s="18" t="n">
        <v>18.32474939</v>
      </c>
      <c r="R55" s="20" t="n">
        <v>2.04325424</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52.37998398</v>
      </c>
      <c r="F57" s="20" t="n">
        <v>2.19248853</v>
      </c>
      <c r="G57" s="18" t="n">
        <v>44.71859289</v>
      </c>
      <c r="H57" s="20" t="n">
        <v>2.24107032</v>
      </c>
      <c r="I57" s="18" t="s">
        <v>431</v>
      </c>
      <c r="J57" s="20" t="s">
        <v>431</v>
      </c>
      <c r="K57" s="18" t="n">
        <v>1.08460695</v>
      </c>
      <c r="L57" s="20" t="n">
        <v>0.57298805</v>
      </c>
      <c r="M57" s="18" t="n">
        <v>0</v>
      </c>
      <c r="N57" s="20" t="n">
        <v>0</v>
      </c>
      <c r="O57" s="18" t="n">
        <v>0</v>
      </c>
      <c r="P57" s="20" t="n">
        <v>0</v>
      </c>
      <c r="Q57" s="18" t="n">
        <v>1.81681618</v>
      </c>
      <c r="R57" s="20" t="n">
        <v>0.61315515</v>
      </c>
    </row>
    <row r="58" spans="1:18">
      <c r="A58" s="15" t="s">
        <v>482</v>
      </c>
      <c r="B58" s="17" t="n">
        <v>3530</v>
      </c>
      <c r="C58" s="18">
        <f>(2942.0/B58*100)</f>
        <v/>
      </c>
      <c r="D58" s="19" t="n">
        <v>588</v>
      </c>
      <c r="E58" s="18" t="n">
        <v>18.72233481</v>
      </c>
      <c r="F58" s="20" t="n">
        <v>1.8609863</v>
      </c>
      <c r="G58" s="18" t="n">
        <v>69.2133503</v>
      </c>
      <c r="H58" s="20" t="n">
        <v>2.31527266</v>
      </c>
      <c r="I58" s="18" t="s">
        <v>431</v>
      </c>
      <c r="J58" s="20" t="s">
        <v>431</v>
      </c>
      <c r="K58" s="18" t="n">
        <v>2.00881245</v>
      </c>
      <c r="L58" s="20" t="n">
        <v>0.58784733</v>
      </c>
      <c r="M58" s="18" t="n">
        <v>0</v>
      </c>
      <c r="N58" s="20" t="n">
        <v>0</v>
      </c>
      <c r="O58" s="18" t="n">
        <v>0</v>
      </c>
      <c r="P58" s="20" t="n">
        <v>0</v>
      </c>
      <c r="Q58" s="18" t="n">
        <v>10.05550244</v>
      </c>
      <c r="R58" s="20" t="n">
        <v>1.55540979</v>
      </c>
    </row>
    <row r="59" spans="1:18">
      <c r="A59" s="15" t="s">
        <v>483</v>
      </c>
      <c r="B59" s="17" t="n">
        <v>2548</v>
      </c>
      <c r="C59" s="18">
        <f>(2129.0/B59*100)</f>
        <v/>
      </c>
      <c r="D59" s="19" t="n">
        <v>419</v>
      </c>
      <c r="E59" s="18" t="n">
        <v>51.87668453</v>
      </c>
      <c r="F59" s="20" t="n">
        <v>3.46572586</v>
      </c>
      <c r="G59" s="18" t="n">
        <v>39.99419305</v>
      </c>
      <c r="H59" s="20" t="n">
        <v>3.34127494</v>
      </c>
      <c r="I59" s="18" t="s">
        <v>431</v>
      </c>
      <c r="J59" s="20" t="s">
        <v>431</v>
      </c>
      <c r="K59" s="18" t="n">
        <v>0.36460484</v>
      </c>
      <c r="L59" s="20" t="n">
        <v>0.18932434</v>
      </c>
      <c r="M59" s="18" t="n">
        <v>0</v>
      </c>
      <c r="N59" s="20" t="n">
        <v>0</v>
      </c>
      <c r="O59" s="18" t="n">
        <v>0</v>
      </c>
      <c r="P59" s="20" t="n">
        <v>0</v>
      </c>
      <c r="Q59" s="18" t="n">
        <v>7.76451757</v>
      </c>
      <c r="R59" s="20" t="n">
        <v>1.26202655</v>
      </c>
    </row>
    <row r="60" spans="1:18">
      <c r="A60" s="15" t="s">
        <v>484</v>
      </c>
      <c r="B60" s="17" t="n">
        <v>2095</v>
      </c>
      <c r="C60" s="18">
        <f>(1749.0/B60*100)</f>
        <v/>
      </c>
      <c r="D60" s="19" t="n">
        <v>346</v>
      </c>
      <c r="E60" s="18" t="n">
        <v>33.19057695</v>
      </c>
      <c r="F60" s="20" t="n">
        <v>2.84966318</v>
      </c>
      <c r="G60" s="18" t="n">
        <v>43.15804892</v>
      </c>
      <c r="H60" s="20" t="n">
        <v>3.16712625</v>
      </c>
      <c r="I60" s="18" t="s">
        <v>431</v>
      </c>
      <c r="J60" s="20" t="s">
        <v>431</v>
      </c>
      <c r="K60" s="18" t="n">
        <v>3.05316566</v>
      </c>
      <c r="L60" s="20" t="n">
        <v>0.89786186</v>
      </c>
      <c r="M60" s="18" t="n">
        <v>0</v>
      </c>
      <c r="N60" s="20" t="n">
        <v>0</v>
      </c>
      <c r="O60" s="18" t="n">
        <v>0</v>
      </c>
      <c r="P60" s="20" t="n">
        <v>0</v>
      </c>
      <c r="Q60" s="18" t="n">
        <v>20.59820847</v>
      </c>
      <c r="R60" s="20" t="n">
        <v>2.66877484</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36.27308423</v>
      </c>
      <c r="F63" s="20" t="n">
        <v>2.46117829</v>
      </c>
      <c r="G63" s="18" t="n">
        <v>39.06614046</v>
      </c>
      <c r="H63" s="20" t="n">
        <v>2.81009323</v>
      </c>
      <c r="I63" s="18" t="s">
        <v>431</v>
      </c>
      <c r="J63" s="20" t="s">
        <v>431</v>
      </c>
      <c r="K63" s="18" t="n">
        <v>2.21345679</v>
      </c>
      <c r="L63" s="20" t="n">
        <v>0.84480745</v>
      </c>
      <c r="M63" s="18" t="n">
        <v>0</v>
      </c>
      <c r="N63" s="20" t="n">
        <v>0</v>
      </c>
      <c r="O63" s="18" t="n">
        <v>0</v>
      </c>
      <c r="P63" s="20" t="n">
        <v>0</v>
      </c>
      <c r="Q63" s="18" t="n">
        <v>22.44731852</v>
      </c>
      <c r="R63" s="20" t="n">
        <v>2.08576197</v>
      </c>
    </row>
    <row r="64" spans="1:18">
      <c r="A64" s="15" t="s">
        <v>488</v>
      </c>
      <c r="B64" s="17" t="n">
        <v>1844</v>
      </c>
      <c r="C64" s="18">
        <f>(1543.0/B64*100)</f>
        <v/>
      </c>
      <c r="D64" s="19" t="n">
        <v>301</v>
      </c>
      <c r="E64" s="18" t="n">
        <v>18.8166459</v>
      </c>
      <c r="F64" s="20" t="n">
        <v>2.38799962</v>
      </c>
      <c r="G64" s="18" t="n">
        <v>64.35379158000001</v>
      </c>
      <c r="H64" s="20" t="n">
        <v>2.96781377</v>
      </c>
      <c r="I64" s="18" t="s">
        <v>431</v>
      </c>
      <c r="J64" s="20" t="s">
        <v>431</v>
      </c>
      <c r="K64" s="18" t="n">
        <v>4.19474465</v>
      </c>
      <c r="L64" s="20" t="n">
        <v>1.20376753</v>
      </c>
      <c r="M64" s="18" t="n">
        <v>0</v>
      </c>
      <c r="N64" s="20" t="n">
        <v>0</v>
      </c>
      <c r="O64" s="18" t="n">
        <v>0</v>
      </c>
      <c r="P64" s="20" t="n">
        <v>0</v>
      </c>
      <c r="Q64" s="18" t="n">
        <v>12.63481786</v>
      </c>
      <c r="R64" s="20" t="n">
        <v>1.98485775</v>
      </c>
    </row>
    <row r="65" spans="1:18">
      <c r="A65" s="15" t="s">
        <v>489</v>
      </c>
      <c r="B65" s="17" t="n">
        <v>2691</v>
      </c>
      <c r="C65" s="18">
        <f>(2257.0/B65*100)</f>
        <v/>
      </c>
      <c r="D65" s="19" t="n">
        <v>434</v>
      </c>
      <c r="E65" s="18" t="n">
        <v>11.28365669</v>
      </c>
      <c r="F65" s="20" t="n">
        <v>1.52459478</v>
      </c>
      <c r="G65" s="18" t="n">
        <v>79.16391886</v>
      </c>
      <c r="H65" s="20" t="n">
        <v>1.89686163</v>
      </c>
      <c r="I65" s="18" t="s">
        <v>431</v>
      </c>
      <c r="J65" s="20" t="s">
        <v>431</v>
      </c>
      <c r="K65" s="18" t="n">
        <v>2.04159062</v>
      </c>
      <c r="L65" s="20" t="n">
        <v>0.79336773</v>
      </c>
      <c r="M65" s="18" t="n">
        <v>0</v>
      </c>
      <c r="N65" s="20" t="n">
        <v>0</v>
      </c>
      <c r="O65" s="18" t="n">
        <v>0</v>
      </c>
      <c r="P65" s="20" t="n">
        <v>0</v>
      </c>
      <c r="Q65" s="18" t="n">
        <v>7.51083382</v>
      </c>
      <c r="R65" s="20" t="n">
        <v>1.41312321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15.90295971</v>
      </c>
      <c r="F69" s="20" t="n">
        <v>2.09252891</v>
      </c>
      <c r="G69" s="18" t="n">
        <v>83.41443719999999</v>
      </c>
      <c r="H69" s="20" t="n">
        <v>2.11291021</v>
      </c>
      <c r="I69" s="18" t="s">
        <v>431</v>
      </c>
      <c r="J69" s="20" t="s">
        <v>431</v>
      </c>
      <c r="K69" s="18" t="n">
        <v>0</v>
      </c>
      <c r="L69" s="20" t="n">
        <v>0</v>
      </c>
      <c r="M69" s="18" t="n">
        <v>0</v>
      </c>
      <c r="N69" s="20" t="n">
        <v>0</v>
      </c>
      <c r="O69" s="18" t="n">
        <v>0</v>
      </c>
      <c r="P69" s="20" t="n">
        <v>0</v>
      </c>
      <c r="Q69" s="18" t="n">
        <v>0.68260309</v>
      </c>
      <c r="R69" s="20" t="n">
        <v>0.53899942</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8.02660713</v>
      </c>
      <c r="F74" s="20" t="n">
        <v>1.56293086</v>
      </c>
      <c r="G74" s="18" t="n">
        <v>75.0108195</v>
      </c>
      <c r="H74" s="20" t="n">
        <v>2.40521492</v>
      </c>
      <c r="I74" s="18" t="s">
        <v>431</v>
      </c>
      <c r="J74" s="20" t="s">
        <v>431</v>
      </c>
      <c r="K74" s="18" t="n">
        <v>4.41485145</v>
      </c>
      <c r="L74" s="20" t="n">
        <v>1.17292384</v>
      </c>
      <c r="M74" s="18" t="n">
        <v>0</v>
      </c>
      <c r="N74" s="20" t="n">
        <v>0</v>
      </c>
      <c r="O74" s="18" t="n">
        <v>0</v>
      </c>
      <c r="P74" s="20" t="n">
        <v>0</v>
      </c>
      <c r="Q74" s="18" t="n">
        <v>12.54772192</v>
      </c>
      <c r="R74" s="20" t="n">
        <v>1.86299164</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26.13311655</v>
      </c>
      <c r="F78" s="20" t="n">
        <v>1.92803246</v>
      </c>
      <c r="G78" s="18" t="n">
        <v>73.49307161999999</v>
      </c>
      <c r="H78" s="20" t="n">
        <v>1.92461137</v>
      </c>
      <c r="I78" s="18" t="s">
        <v>431</v>
      </c>
      <c r="J78" s="20" t="s">
        <v>431</v>
      </c>
      <c r="K78" s="18" t="n">
        <v>0</v>
      </c>
      <c r="L78" s="20" t="n">
        <v>0</v>
      </c>
      <c r="M78" s="18" t="n">
        <v>0</v>
      </c>
      <c r="N78" s="20" t="n">
        <v>0</v>
      </c>
      <c r="O78" s="18" t="n">
        <v>0</v>
      </c>
      <c r="P78" s="20" t="n">
        <v>0</v>
      </c>
      <c r="Q78" s="18" t="n">
        <v>0.37381183</v>
      </c>
      <c r="R78" s="20" t="n">
        <v>0.27807685</v>
      </c>
    </row>
    <row customHeight="1" ht="25" r="79" spans="1:18">
      <c r="A79" s="15" t="s">
        <v>503</v>
      </c>
      <c r="B79" s="17" t="n">
        <v>787</v>
      </c>
      <c r="C79" s="18">
        <f>(657.0/B79*100)</f>
        <v/>
      </c>
      <c r="D79" s="19" t="n">
        <v>130</v>
      </c>
      <c r="E79" s="18" t="n">
        <v>24.3968608</v>
      </c>
      <c r="F79" s="20" t="n">
        <v>3.44127744</v>
      </c>
      <c r="G79" s="18" t="n">
        <v>68.59475500000001</v>
      </c>
      <c r="H79" s="20" t="n">
        <v>3.64596435</v>
      </c>
      <c r="I79" s="18" t="s">
        <v>431</v>
      </c>
      <c r="J79" s="20" t="s">
        <v>431</v>
      </c>
      <c r="K79" s="18" t="n">
        <v>3.52527547</v>
      </c>
      <c r="L79" s="20" t="n">
        <v>0.94617179</v>
      </c>
      <c r="M79" s="18" t="n">
        <v>0</v>
      </c>
      <c r="N79" s="20" t="n">
        <v>0</v>
      </c>
      <c r="O79" s="18" t="n">
        <v>0</v>
      </c>
      <c r="P79" s="20" t="n">
        <v>0</v>
      </c>
      <c r="Q79" s="18" t="n">
        <v>3.48310873</v>
      </c>
      <c r="R79" s="20" t="n">
        <v>1.57042961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28.70059731</v>
      </c>
      <c r="F44" s="20" t="n">
        <v>2.82507004</v>
      </c>
      <c r="G44" s="18" t="n">
        <v>52.2506068</v>
      </c>
      <c r="H44" s="20" t="n">
        <v>3.13812302</v>
      </c>
      <c r="I44" s="18" t="s">
        <v>431</v>
      </c>
      <c r="J44" s="20" t="s">
        <v>431</v>
      </c>
      <c r="K44" s="18" t="n">
        <v>4.95547115</v>
      </c>
      <c r="L44" s="20" t="n">
        <v>1.16451342</v>
      </c>
      <c r="M44" s="18" t="n">
        <v>0</v>
      </c>
      <c r="N44" s="20" t="n">
        <v>0</v>
      </c>
      <c r="O44" s="18" t="n">
        <v>0</v>
      </c>
      <c r="P44" s="20" t="n">
        <v>0</v>
      </c>
      <c r="Q44" s="18" t="n">
        <v>14.09332474</v>
      </c>
      <c r="R44" s="20" t="n">
        <v>1.91049751</v>
      </c>
    </row>
    <row r="45" spans="1:18">
      <c r="A45" s="15" t="s">
        <v>469</v>
      </c>
      <c r="B45" s="17" t="n">
        <v>2849</v>
      </c>
      <c r="C45" s="18">
        <f>(2364.0/B45*100)</f>
        <v/>
      </c>
      <c r="D45" s="19" t="n">
        <v>485</v>
      </c>
      <c r="E45" s="18" t="n">
        <v>40.92378533</v>
      </c>
      <c r="F45" s="20" t="n">
        <v>2.14600461</v>
      </c>
      <c r="G45" s="18" t="n">
        <v>38.90849235</v>
      </c>
      <c r="H45" s="20" t="n">
        <v>2.5535726</v>
      </c>
      <c r="I45" s="18" t="s">
        <v>431</v>
      </c>
      <c r="J45" s="20" t="s">
        <v>431</v>
      </c>
      <c r="K45" s="18" t="n">
        <v>3.28968204</v>
      </c>
      <c r="L45" s="20" t="n">
        <v>0.90368578</v>
      </c>
      <c r="M45" s="18" t="n">
        <v>0.82326207</v>
      </c>
      <c r="N45" s="20" t="n">
        <v>0.42916239</v>
      </c>
      <c r="O45" s="18" t="n">
        <v>0</v>
      </c>
      <c r="P45" s="20" t="n">
        <v>0</v>
      </c>
      <c r="Q45" s="18" t="n">
        <v>16.0547782</v>
      </c>
      <c r="R45" s="20" t="n">
        <v>1.89001485</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24.46822283</v>
      </c>
      <c r="F49" s="20" t="n">
        <v>2.38688228</v>
      </c>
      <c r="G49" s="18" t="n">
        <v>63.44915445</v>
      </c>
      <c r="H49" s="20" t="n">
        <v>2.2471622</v>
      </c>
      <c r="I49" s="18" t="s">
        <v>431</v>
      </c>
      <c r="J49" s="20" t="s">
        <v>431</v>
      </c>
      <c r="K49" s="18" t="n">
        <v>1.98378078</v>
      </c>
      <c r="L49" s="20" t="n">
        <v>0.69459724</v>
      </c>
      <c r="M49" s="18" t="n">
        <v>0</v>
      </c>
      <c r="N49" s="20" t="n">
        <v>0</v>
      </c>
      <c r="O49" s="18" t="n">
        <v>0</v>
      </c>
      <c r="P49" s="20" t="n">
        <v>0</v>
      </c>
      <c r="Q49" s="18" t="n">
        <v>10.09884194</v>
      </c>
      <c r="R49" s="20" t="n">
        <v>2.19458247</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25.51717943</v>
      </c>
      <c r="F55" s="20" t="n">
        <v>1.92122763</v>
      </c>
      <c r="G55" s="18" t="n">
        <v>51.522052</v>
      </c>
      <c r="H55" s="20" t="n">
        <v>2.44393245</v>
      </c>
      <c r="I55" s="18" t="s">
        <v>431</v>
      </c>
      <c r="J55" s="20" t="s">
        <v>431</v>
      </c>
      <c r="K55" s="18" t="n">
        <v>1.36701148</v>
      </c>
      <c r="L55" s="20" t="n">
        <v>0.50049433</v>
      </c>
      <c r="M55" s="18" t="n">
        <v>0</v>
      </c>
      <c r="N55" s="20" t="n">
        <v>0</v>
      </c>
      <c r="O55" s="18" t="n">
        <v>0.19980097</v>
      </c>
      <c r="P55" s="20" t="n">
        <v>0.19381867</v>
      </c>
      <c r="Q55" s="18" t="n">
        <v>21.39395612</v>
      </c>
      <c r="R55" s="20" t="n">
        <v>2.01800585</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36.96139139</v>
      </c>
      <c r="F57" s="20" t="n">
        <v>2.25666837</v>
      </c>
      <c r="G57" s="18" t="n">
        <v>60.12836708</v>
      </c>
      <c r="H57" s="20" t="n">
        <v>2.60128601</v>
      </c>
      <c r="I57" s="18" t="s">
        <v>431</v>
      </c>
      <c r="J57" s="20" t="s">
        <v>431</v>
      </c>
      <c r="K57" s="18" t="n">
        <v>1.08460695</v>
      </c>
      <c r="L57" s="20" t="n">
        <v>0.57298805</v>
      </c>
      <c r="M57" s="18" t="n">
        <v>0</v>
      </c>
      <c r="N57" s="20" t="n">
        <v>0</v>
      </c>
      <c r="O57" s="18" t="n">
        <v>0</v>
      </c>
      <c r="P57" s="20" t="n">
        <v>0</v>
      </c>
      <c r="Q57" s="18" t="n">
        <v>1.82563458</v>
      </c>
      <c r="R57" s="20" t="n">
        <v>0.59322151</v>
      </c>
    </row>
    <row r="58" spans="1:18">
      <c r="A58" s="15" t="s">
        <v>482</v>
      </c>
      <c r="B58" s="17" t="n">
        <v>3530</v>
      </c>
      <c r="C58" s="18">
        <f>(2942.0/B58*100)</f>
        <v/>
      </c>
      <c r="D58" s="19" t="n">
        <v>588</v>
      </c>
      <c r="E58" s="18" t="n">
        <v>24.29229979</v>
      </c>
      <c r="F58" s="20" t="n">
        <v>2.32707772</v>
      </c>
      <c r="G58" s="18" t="n">
        <v>60.62182093</v>
      </c>
      <c r="H58" s="20" t="n">
        <v>2.43008879</v>
      </c>
      <c r="I58" s="18" t="s">
        <v>431</v>
      </c>
      <c r="J58" s="20" t="s">
        <v>431</v>
      </c>
      <c r="K58" s="18" t="n">
        <v>2.00881245</v>
      </c>
      <c r="L58" s="20" t="n">
        <v>0.58784733</v>
      </c>
      <c r="M58" s="18" t="n">
        <v>0</v>
      </c>
      <c r="N58" s="20" t="n">
        <v>0</v>
      </c>
      <c r="O58" s="18" t="n">
        <v>0</v>
      </c>
      <c r="P58" s="20" t="n">
        <v>0</v>
      </c>
      <c r="Q58" s="18" t="n">
        <v>13.07706683</v>
      </c>
      <c r="R58" s="20" t="n">
        <v>1.80658404</v>
      </c>
    </row>
    <row r="59" spans="1:18">
      <c r="A59" s="15" t="s">
        <v>483</v>
      </c>
      <c r="B59" s="17" t="n">
        <v>2548</v>
      </c>
      <c r="C59" s="18">
        <f>(2129.0/B59*100)</f>
        <v/>
      </c>
      <c r="D59" s="19" t="n">
        <v>419</v>
      </c>
      <c r="E59" s="18" t="n">
        <v>42.02106455</v>
      </c>
      <c r="F59" s="20" t="n">
        <v>3.36431827</v>
      </c>
      <c r="G59" s="18" t="n">
        <v>43.0838728</v>
      </c>
      <c r="H59" s="20" t="n">
        <v>3.39577167</v>
      </c>
      <c r="I59" s="18" t="s">
        <v>431</v>
      </c>
      <c r="J59" s="20" t="s">
        <v>431</v>
      </c>
      <c r="K59" s="18" t="n">
        <v>0.36460484</v>
      </c>
      <c r="L59" s="20" t="n">
        <v>0.18932434</v>
      </c>
      <c r="M59" s="18" t="n">
        <v>0</v>
      </c>
      <c r="N59" s="20" t="n">
        <v>0</v>
      </c>
      <c r="O59" s="18" t="n">
        <v>0</v>
      </c>
      <c r="P59" s="20" t="n">
        <v>0</v>
      </c>
      <c r="Q59" s="18" t="n">
        <v>14.53045781</v>
      </c>
      <c r="R59" s="20" t="n">
        <v>1.82622285</v>
      </c>
    </row>
    <row r="60" spans="1:18">
      <c r="A60" s="15" t="s">
        <v>484</v>
      </c>
      <c r="B60" s="17" t="n">
        <v>2095</v>
      </c>
      <c r="C60" s="18">
        <f>(1749.0/B60*100)</f>
        <v/>
      </c>
      <c r="D60" s="19" t="n">
        <v>346</v>
      </c>
      <c r="E60" s="18" t="n">
        <v>34.19171754</v>
      </c>
      <c r="F60" s="20" t="n">
        <v>2.77757536</v>
      </c>
      <c r="G60" s="18" t="n">
        <v>36.04416998</v>
      </c>
      <c r="H60" s="20" t="n">
        <v>2.55876606</v>
      </c>
      <c r="I60" s="18" t="s">
        <v>431</v>
      </c>
      <c r="J60" s="20" t="s">
        <v>431</v>
      </c>
      <c r="K60" s="18" t="n">
        <v>3.05316566</v>
      </c>
      <c r="L60" s="20" t="n">
        <v>0.89786186</v>
      </c>
      <c r="M60" s="18" t="n">
        <v>0</v>
      </c>
      <c r="N60" s="20" t="n">
        <v>0</v>
      </c>
      <c r="O60" s="18" t="n">
        <v>0</v>
      </c>
      <c r="P60" s="20" t="n">
        <v>0</v>
      </c>
      <c r="Q60" s="18" t="n">
        <v>26.71094683</v>
      </c>
      <c r="R60" s="20" t="n">
        <v>2.6451978</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24.86597393</v>
      </c>
      <c r="F63" s="20" t="n">
        <v>2.20918138</v>
      </c>
      <c r="G63" s="18" t="n">
        <v>44.82574577</v>
      </c>
      <c r="H63" s="20" t="n">
        <v>2.62982609</v>
      </c>
      <c r="I63" s="18" t="s">
        <v>431</v>
      </c>
      <c r="J63" s="20" t="s">
        <v>431</v>
      </c>
      <c r="K63" s="18" t="n">
        <v>2.43963167</v>
      </c>
      <c r="L63" s="20" t="n">
        <v>0.86673199</v>
      </c>
      <c r="M63" s="18" t="n">
        <v>0</v>
      </c>
      <c r="N63" s="20" t="n">
        <v>0</v>
      </c>
      <c r="O63" s="18" t="n">
        <v>0</v>
      </c>
      <c r="P63" s="20" t="n">
        <v>0</v>
      </c>
      <c r="Q63" s="18" t="n">
        <v>27.86864863</v>
      </c>
      <c r="R63" s="20" t="n">
        <v>2.38009285</v>
      </c>
    </row>
    <row r="64" spans="1:18">
      <c r="A64" s="15" t="s">
        <v>488</v>
      </c>
      <c r="B64" s="17" t="n">
        <v>1844</v>
      </c>
      <c r="C64" s="18">
        <f>(1543.0/B64*100)</f>
        <v/>
      </c>
      <c r="D64" s="19" t="n">
        <v>301</v>
      </c>
      <c r="E64" s="18" t="n">
        <v>17.42485472</v>
      </c>
      <c r="F64" s="20" t="n">
        <v>2.17364458</v>
      </c>
      <c r="G64" s="18" t="n">
        <v>64.62562223</v>
      </c>
      <c r="H64" s="20" t="n">
        <v>2.68582437</v>
      </c>
      <c r="I64" s="18" t="s">
        <v>431</v>
      </c>
      <c r="J64" s="20" t="s">
        <v>431</v>
      </c>
      <c r="K64" s="18" t="n">
        <v>4.5606906</v>
      </c>
      <c r="L64" s="20" t="n">
        <v>1.25407169</v>
      </c>
      <c r="M64" s="18" t="n">
        <v>0</v>
      </c>
      <c r="N64" s="20" t="n">
        <v>0</v>
      </c>
      <c r="O64" s="18" t="n">
        <v>0</v>
      </c>
      <c r="P64" s="20" t="n">
        <v>0</v>
      </c>
      <c r="Q64" s="18" t="n">
        <v>13.38883245</v>
      </c>
      <c r="R64" s="20" t="n">
        <v>2.12371457</v>
      </c>
    </row>
    <row r="65" spans="1:18">
      <c r="A65" s="15" t="s">
        <v>489</v>
      </c>
      <c r="B65" s="17" t="n">
        <v>2691</v>
      </c>
      <c r="C65" s="18">
        <f>(2257.0/B65*100)</f>
        <v/>
      </c>
      <c r="D65" s="19" t="n">
        <v>434</v>
      </c>
      <c r="E65" s="18" t="n">
        <v>16.48387401</v>
      </c>
      <c r="F65" s="20" t="n">
        <v>1.94940986</v>
      </c>
      <c r="G65" s="18" t="n">
        <v>69.60560291</v>
      </c>
      <c r="H65" s="20" t="n">
        <v>2.70563177</v>
      </c>
      <c r="I65" s="18" t="s">
        <v>431</v>
      </c>
      <c r="J65" s="20" t="s">
        <v>431</v>
      </c>
      <c r="K65" s="18" t="n">
        <v>2.23240823</v>
      </c>
      <c r="L65" s="20" t="n">
        <v>0.81640728</v>
      </c>
      <c r="M65" s="18" t="n">
        <v>0</v>
      </c>
      <c r="N65" s="20" t="n">
        <v>0</v>
      </c>
      <c r="O65" s="18" t="n">
        <v>0</v>
      </c>
      <c r="P65" s="20" t="n">
        <v>0</v>
      </c>
      <c r="Q65" s="18" t="n">
        <v>11.67811484</v>
      </c>
      <c r="R65" s="20" t="n">
        <v>1.76478102</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35.99249242</v>
      </c>
      <c r="F69" s="20" t="n">
        <v>2.40032793</v>
      </c>
      <c r="G69" s="18" t="n">
        <v>63.08544401</v>
      </c>
      <c r="H69" s="20" t="n">
        <v>2.48287571</v>
      </c>
      <c r="I69" s="18" t="s">
        <v>431</v>
      </c>
      <c r="J69" s="20" t="s">
        <v>431</v>
      </c>
      <c r="K69" s="18" t="n">
        <v>0</v>
      </c>
      <c r="L69" s="20" t="n">
        <v>0</v>
      </c>
      <c r="M69" s="18" t="n">
        <v>0</v>
      </c>
      <c r="N69" s="20" t="n">
        <v>0</v>
      </c>
      <c r="O69" s="18" t="n">
        <v>0</v>
      </c>
      <c r="P69" s="20" t="n">
        <v>0</v>
      </c>
      <c r="Q69" s="18" t="n">
        <v>0.92206358</v>
      </c>
      <c r="R69" s="20" t="n">
        <v>0.58943865</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17.05435656</v>
      </c>
      <c r="F74" s="20" t="n">
        <v>2.36626223</v>
      </c>
      <c r="G74" s="18" t="n">
        <v>62.30217616</v>
      </c>
      <c r="H74" s="20" t="n">
        <v>2.92286829</v>
      </c>
      <c r="I74" s="18" t="s">
        <v>431</v>
      </c>
      <c r="J74" s="20" t="s">
        <v>431</v>
      </c>
      <c r="K74" s="18" t="n">
        <v>4.78025375</v>
      </c>
      <c r="L74" s="20" t="n">
        <v>1.22625152</v>
      </c>
      <c r="M74" s="18" t="n">
        <v>0</v>
      </c>
      <c r="N74" s="20" t="n">
        <v>0</v>
      </c>
      <c r="O74" s="18" t="n">
        <v>0</v>
      </c>
      <c r="P74" s="20" t="n">
        <v>0</v>
      </c>
      <c r="Q74" s="18" t="n">
        <v>15.86321353</v>
      </c>
      <c r="R74" s="20" t="n">
        <v>2.06715186</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14.57509884</v>
      </c>
      <c r="F78" s="20" t="n">
        <v>1.85915393</v>
      </c>
      <c r="G78" s="18" t="n">
        <v>84.4614179</v>
      </c>
      <c r="H78" s="20" t="n">
        <v>2.11843448</v>
      </c>
      <c r="I78" s="18" t="s">
        <v>431</v>
      </c>
      <c r="J78" s="20" t="s">
        <v>431</v>
      </c>
      <c r="K78" s="18" t="n">
        <v>0</v>
      </c>
      <c r="L78" s="20" t="n">
        <v>0</v>
      </c>
      <c r="M78" s="18" t="n">
        <v>0</v>
      </c>
      <c r="N78" s="20" t="n">
        <v>0</v>
      </c>
      <c r="O78" s="18" t="n">
        <v>0</v>
      </c>
      <c r="P78" s="20" t="n">
        <v>0</v>
      </c>
      <c r="Q78" s="18" t="n">
        <v>0.96348326</v>
      </c>
      <c r="R78" s="20" t="n">
        <v>0.53361106</v>
      </c>
    </row>
    <row customHeight="1" ht="25" r="79" spans="1:18">
      <c r="A79" s="15" t="s">
        <v>503</v>
      </c>
      <c r="B79" s="17" t="n">
        <v>787</v>
      </c>
      <c r="C79" s="18">
        <f>(657.0/B79*100)</f>
        <v/>
      </c>
      <c r="D79" s="19" t="n">
        <v>130</v>
      </c>
      <c r="E79" s="18" t="n">
        <v>13.5622096</v>
      </c>
      <c r="F79" s="20" t="n">
        <v>3.08486158</v>
      </c>
      <c r="G79" s="18" t="n">
        <v>74.35615081</v>
      </c>
      <c r="H79" s="20" t="n">
        <v>3.97453772</v>
      </c>
      <c r="I79" s="18" t="s">
        <v>431</v>
      </c>
      <c r="J79" s="20" t="s">
        <v>431</v>
      </c>
      <c r="K79" s="18" t="n">
        <v>4.38546922</v>
      </c>
      <c r="L79" s="20" t="n">
        <v>1.11881457</v>
      </c>
      <c r="M79" s="18" t="n">
        <v>0</v>
      </c>
      <c r="N79" s="20" t="n">
        <v>0</v>
      </c>
      <c r="O79" s="18" t="n">
        <v>0</v>
      </c>
      <c r="P79" s="20" t="n">
        <v>0</v>
      </c>
      <c r="Q79" s="18" t="n">
        <v>7.69617037</v>
      </c>
      <c r="R79" s="20" t="n">
        <v>3.03742641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37.51514745</v>
      </c>
      <c r="F44" s="20" t="n">
        <v>3.04091545</v>
      </c>
      <c r="G44" s="18" t="n">
        <v>28.02319974</v>
      </c>
      <c r="H44" s="20" t="n">
        <v>2.44980633</v>
      </c>
      <c r="I44" s="18" t="s">
        <v>431</v>
      </c>
      <c r="J44" s="20" t="s">
        <v>431</v>
      </c>
      <c r="K44" s="18" t="n">
        <v>6.36082063</v>
      </c>
      <c r="L44" s="20" t="n">
        <v>1.39201967</v>
      </c>
      <c r="M44" s="18" t="n">
        <v>0</v>
      </c>
      <c r="N44" s="20" t="n">
        <v>0</v>
      </c>
      <c r="O44" s="18" t="n">
        <v>0</v>
      </c>
      <c r="P44" s="20" t="n">
        <v>0</v>
      </c>
      <c r="Q44" s="18" t="n">
        <v>28.10083218</v>
      </c>
      <c r="R44" s="20" t="n">
        <v>2.82793464</v>
      </c>
    </row>
    <row r="45" spans="1:18">
      <c r="A45" s="15" t="s">
        <v>469</v>
      </c>
      <c r="B45" s="17" t="n">
        <v>2849</v>
      </c>
      <c r="C45" s="18">
        <f>(2364.0/B45*100)</f>
        <v/>
      </c>
      <c r="D45" s="19" t="n">
        <v>485</v>
      </c>
      <c r="E45" s="18" t="n">
        <v>31.0341642</v>
      </c>
      <c r="F45" s="20" t="n">
        <v>2.3434209</v>
      </c>
      <c r="G45" s="18" t="n">
        <v>31.65685689</v>
      </c>
      <c r="H45" s="20" t="n">
        <v>2.41330734</v>
      </c>
      <c r="I45" s="18" t="s">
        <v>431</v>
      </c>
      <c r="J45" s="20" t="s">
        <v>431</v>
      </c>
      <c r="K45" s="18" t="n">
        <v>4.31700051</v>
      </c>
      <c r="L45" s="20" t="n">
        <v>0.9275949</v>
      </c>
      <c r="M45" s="18" t="n">
        <v>2.47194423</v>
      </c>
      <c r="N45" s="20" t="n">
        <v>0.66728032</v>
      </c>
      <c r="O45" s="18" t="n">
        <v>0.13434393</v>
      </c>
      <c r="P45" s="20" t="n">
        <v>0.18881517</v>
      </c>
      <c r="Q45" s="18" t="n">
        <v>30.38569024</v>
      </c>
      <c r="R45" s="20" t="n">
        <v>2.56931428</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48.81431685</v>
      </c>
      <c r="F49" s="20" t="n">
        <v>2.26323341</v>
      </c>
      <c r="G49" s="18" t="n">
        <v>14.00009328</v>
      </c>
      <c r="H49" s="20" t="n">
        <v>1.99552997</v>
      </c>
      <c r="I49" s="18" t="s">
        <v>431</v>
      </c>
      <c r="J49" s="20" t="s">
        <v>431</v>
      </c>
      <c r="K49" s="18" t="n">
        <v>2.41970412</v>
      </c>
      <c r="L49" s="20" t="n">
        <v>0.76162387</v>
      </c>
      <c r="M49" s="18" t="n">
        <v>0</v>
      </c>
      <c r="N49" s="20" t="n">
        <v>0</v>
      </c>
      <c r="O49" s="18" t="n">
        <v>0</v>
      </c>
      <c r="P49" s="20" t="n">
        <v>0</v>
      </c>
      <c r="Q49" s="18" t="n">
        <v>34.76588574</v>
      </c>
      <c r="R49" s="20" t="n">
        <v>2.62451423</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43.61965833</v>
      </c>
      <c r="F55" s="20" t="n">
        <v>2.0148293</v>
      </c>
      <c r="G55" s="18" t="n">
        <v>12.30692761</v>
      </c>
      <c r="H55" s="20" t="n">
        <v>1.57761237</v>
      </c>
      <c r="I55" s="18" t="s">
        <v>431</v>
      </c>
      <c r="J55" s="20" t="s">
        <v>431</v>
      </c>
      <c r="K55" s="18" t="n">
        <v>1.90790985</v>
      </c>
      <c r="L55" s="20" t="n">
        <v>0.5874766</v>
      </c>
      <c r="M55" s="18" t="n">
        <v>0</v>
      </c>
      <c r="N55" s="20" t="n">
        <v>0</v>
      </c>
      <c r="O55" s="18" t="n">
        <v>0</v>
      </c>
      <c r="P55" s="20" t="n">
        <v>0</v>
      </c>
      <c r="Q55" s="18" t="n">
        <v>42.16550421</v>
      </c>
      <c r="R55" s="20" t="n">
        <v>2.10819379</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56.72759314</v>
      </c>
      <c r="F57" s="20" t="n">
        <v>2.4808602</v>
      </c>
      <c r="G57" s="18" t="n">
        <v>32.4222592</v>
      </c>
      <c r="H57" s="20" t="n">
        <v>2.47026951</v>
      </c>
      <c r="I57" s="18" t="s">
        <v>431</v>
      </c>
      <c r="J57" s="20" t="s">
        <v>431</v>
      </c>
      <c r="K57" s="18" t="n">
        <v>1.08460695</v>
      </c>
      <c r="L57" s="20" t="n">
        <v>0.57298805</v>
      </c>
      <c r="M57" s="18" t="n">
        <v>0.17240286</v>
      </c>
      <c r="N57" s="20" t="n">
        <v>0.17174551</v>
      </c>
      <c r="O57" s="18" t="n">
        <v>0</v>
      </c>
      <c r="P57" s="20" t="n">
        <v>0</v>
      </c>
      <c r="Q57" s="18" t="n">
        <v>9.593137860000001</v>
      </c>
      <c r="R57" s="20" t="n">
        <v>1.3351033</v>
      </c>
    </row>
    <row r="58" spans="1:18">
      <c r="A58" s="15" t="s">
        <v>482</v>
      </c>
      <c r="B58" s="17" t="n">
        <v>3530</v>
      </c>
      <c r="C58" s="18">
        <f>(2942.0/B58*100)</f>
        <v/>
      </c>
      <c r="D58" s="19" t="n">
        <v>588</v>
      </c>
      <c r="E58" s="18" t="n">
        <v>40.61392231</v>
      </c>
      <c r="F58" s="20" t="n">
        <v>2.48677033</v>
      </c>
      <c r="G58" s="18" t="n">
        <v>30.09204903</v>
      </c>
      <c r="H58" s="20" t="n">
        <v>2.06242064</v>
      </c>
      <c r="I58" s="18" t="s">
        <v>431</v>
      </c>
      <c r="J58" s="20" t="s">
        <v>431</v>
      </c>
      <c r="K58" s="18" t="n">
        <v>3.29142589</v>
      </c>
      <c r="L58" s="20" t="n">
        <v>0.82657081</v>
      </c>
      <c r="M58" s="18" t="n">
        <v>0</v>
      </c>
      <c r="N58" s="20" t="n">
        <v>0</v>
      </c>
      <c r="O58" s="18" t="n">
        <v>0</v>
      </c>
      <c r="P58" s="20" t="n">
        <v>0</v>
      </c>
      <c r="Q58" s="18" t="n">
        <v>26.00260277</v>
      </c>
      <c r="R58" s="20" t="n">
        <v>2.27694503</v>
      </c>
    </row>
    <row r="59" spans="1:18">
      <c r="A59" s="15" t="s">
        <v>483</v>
      </c>
      <c r="B59" s="17" t="n">
        <v>2548</v>
      </c>
      <c r="C59" s="18">
        <f>(2129.0/B59*100)</f>
        <v/>
      </c>
      <c r="D59" s="19" t="n">
        <v>419</v>
      </c>
      <c r="E59" s="18" t="n">
        <v>55.3036612</v>
      </c>
      <c r="F59" s="20" t="n">
        <v>3.17673798</v>
      </c>
      <c r="G59" s="18" t="n">
        <v>18.57129103</v>
      </c>
      <c r="H59" s="20" t="n">
        <v>2.68703457</v>
      </c>
      <c r="I59" s="18" t="s">
        <v>431</v>
      </c>
      <c r="J59" s="20" t="s">
        <v>431</v>
      </c>
      <c r="K59" s="18" t="n">
        <v>0.36460484</v>
      </c>
      <c r="L59" s="20" t="n">
        <v>0.18932434</v>
      </c>
      <c r="M59" s="18" t="n">
        <v>0</v>
      </c>
      <c r="N59" s="20" t="n">
        <v>0</v>
      </c>
      <c r="O59" s="18" t="n">
        <v>0</v>
      </c>
      <c r="P59" s="20" t="n">
        <v>0</v>
      </c>
      <c r="Q59" s="18" t="n">
        <v>25.76044292</v>
      </c>
      <c r="R59" s="20" t="n">
        <v>2.35130765</v>
      </c>
    </row>
    <row r="60" spans="1:18">
      <c r="A60" s="15" t="s">
        <v>484</v>
      </c>
      <c r="B60" s="17" t="n">
        <v>2095</v>
      </c>
      <c r="C60" s="18">
        <f>(1749.0/B60*100)</f>
        <v/>
      </c>
      <c r="D60" s="19" t="n">
        <v>346</v>
      </c>
      <c r="E60" s="18" t="n">
        <v>44.1391825</v>
      </c>
      <c r="F60" s="20" t="n">
        <v>3.18362382</v>
      </c>
      <c r="G60" s="18" t="n">
        <v>12.73822019</v>
      </c>
      <c r="H60" s="20" t="n">
        <v>1.76028527</v>
      </c>
      <c r="I60" s="18" t="s">
        <v>431</v>
      </c>
      <c r="J60" s="20" t="s">
        <v>431</v>
      </c>
      <c r="K60" s="18" t="n">
        <v>3.34212498</v>
      </c>
      <c r="L60" s="20" t="n">
        <v>0.92792977</v>
      </c>
      <c r="M60" s="18" t="n">
        <v>0</v>
      </c>
      <c r="N60" s="20" t="n">
        <v>0</v>
      </c>
      <c r="O60" s="18" t="n">
        <v>0</v>
      </c>
      <c r="P60" s="20" t="n">
        <v>0</v>
      </c>
      <c r="Q60" s="18" t="n">
        <v>39.78047233</v>
      </c>
      <c r="R60" s="20" t="n">
        <v>2.88506531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41.3596617</v>
      </c>
      <c r="F63" s="20" t="n">
        <v>2.56680271</v>
      </c>
      <c r="G63" s="18" t="n">
        <v>18.53000564</v>
      </c>
      <c r="H63" s="20" t="n">
        <v>2.03615249</v>
      </c>
      <c r="I63" s="18" t="s">
        <v>431</v>
      </c>
      <c r="J63" s="20" t="s">
        <v>431</v>
      </c>
      <c r="K63" s="18" t="n">
        <v>3.33594152</v>
      </c>
      <c r="L63" s="20" t="n">
        <v>0.97726625</v>
      </c>
      <c r="M63" s="18" t="n">
        <v>0</v>
      </c>
      <c r="N63" s="20" t="n">
        <v>0</v>
      </c>
      <c r="O63" s="18" t="n">
        <v>0</v>
      </c>
      <c r="P63" s="20" t="n">
        <v>0</v>
      </c>
      <c r="Q63" s="18" t="n">
        <v>36.77439113</v>
      </c>
      <c r="R63" s="20" t="n">
        <v>2.7560164</v>
      </c>
    </row>
    <row r="64" spans="1:18">
      <c r="A64" s="15" t="s">
        <v>488</v>
      </c>
      <c r="B64" s="17" t="n">
        <v>1844</v>
      </c>
      <c r="C64" s="18">
        <f>(1543.0/B64*100)</f>
        <v/>
      </c>
      <c r="D64" s="19" t="n">
        <v>301</v>
      </c>
      <c r="E64" s="18" t="n">
        <v>48.36560842</v>
      </c>
      <c r="F64" s="20" t="n">
        <v>3.08798927</v>
      </c>
      <c r="G64" s="18" t="n">
        <v>27.40522538</v>
      </c>
      <c r="H64" s="20" t="n">
        <v>2.69756883</v>
      </c>
      <c r="I64" s="18" t="s">
        <v>431</v>
      </c>
      <c r="J64" s="20" t="s">
        <v>431</v>
      </c>
      <c r="K64" s="18" t="n">
        <v>4.5606906</v>
      </c>
      <c r="L64" s="20" t="n">
        <v>1.25407169</v>
      </c>
      <c r="M64" s="18" t="n">
        <v>0</v>
      </c>
      <c r="N64" s="20" t="n">
        <v>0</v>
      </c>
      <c r="O64" s="18" t="n">
        <v>0</v>
      </c>
      <c r="P64" s="20" t="n">
        <v>0</v>
      </c>
      <c r="Q64" s="18" t="n">
        <v>19.66847561</v>
      </c>
      <c r="R64" s="20" t="n">
        <v>2.58558042</v>
      </c>
    </row>
    <row r="65" spans="1:18">
      <c r="A65" s="15" t="s">
        <v>489</v>
      </c>
      <c r="B65" s="17" t="n">
        <v>2691</v>
      </c>
      <c r="C65" s="18">
        <f>(2257.0/B65*100)</f>
        <v/>
      </c>
      <c r="D65" s="19" t="n">
        <v>434</v>
      </c>
      <c r="E65" s="18" t="n">
        <v>41.41309225</v>
      </c>
      <c r="F65" s="20" t="n">
        <v>2.49950403</v>
      </c>
      <c r="G65" s="18" t="n">
        <v>23.01115676</v>
      </c>
      <c r="H65" s="20" t="n">
        <v>1.95768045</v>
      </c>
      <c r="I65" s="18" t="s">
        <v>431</v>
      </c>
      <c r="J65" s="20" t="s">
        <v>431</v>
      </c>
      <c r="K65" s="18" t="n">
        <v>2.84184931</v>
      </c>
      <c r="L65" s="20" t="n">
        <v>0.90223655</v>
      </c>
      <c r="M65" s="18" t="n">
        <v>0</v>
      </c>
      <c r="N65" s="20" t="n">
        <v>0</v>
      </c>
      <c r="O65" s="18" t="n">
        <v>0</v>
      </c>
      <c r="P65" s="20" t="n">
        <v>0</v>
      </c>
      <c r="Q65" s="18" t="n">
        <v>32.73390169</v>
      </c>
      <c r="R65" s="20" t="n">
        <v>2.14144055</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67.23958886</v>
      </c>
      <c r="F69" s="20" t="n">
        <v>2.71122974</v>
      </c>
      <c r="G69" s="18" t="n">
        <v>31.16313697</v>
      </c>
      <c r="H69" s="20" t="n">
        <v>2.66357241</v>
      </c>
      <c r="I69" s="18" t="s">
        <v>431</v>
      </c>
      <c r="J69" s="20" t="s">
        <v>431</v>
      </c>
      <c r="K69" s="18" t="n">
        <v>0</v>
      </c>
      <c r="L69" s="20" t="n">
        <v>0</v>
      </c>
      <c r="M69" s="18" t="n">
        <v>0</v>
      </c>
      <c r="N69" s="20" t="n">
        <v>0</v>
      </c>
      <c r="O69" s="18" t="n">
        <v>0</v>
      </c>
      <c r="P69" s="20" t="n">
        <v>0</v>
      </c>
      <c r="Q69" s="18" t="n">
        <v>1.59727417</v>
      </c>
      <c r="R69" s="20" t="n">
        <v>0.70998594</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42.74516883</v>
      </c>
      <c r="F74" s="20" t="n">
        <v>2.78116231</v>
      </c>
      <c r="G74" s="18" t="n">
        <v>25.08874972</v>
      </c>
      <c r="H74" s="20" t="n">
        <v>2.47031791</v>
      </c>
      <c r="I74" s="18" t="s">
        <v>431</v>
      </c>
      <c r="J74" s="20" t="s">
        <v>431</v>
      </c>
      <c r="K74" s="18" t="n">
        <v>6.25035457</v>
      </c>
      <c r="L74" s="20" t="n">
        <v>1.34854702</v>
      </c>
      <c r="M74" s="18" t="n">
        <v>0</v>
      </c>
      <c r="N74" s="20" t="n">
        <v>0</v>
      </c>
      <c r="O74" s="18" t="n">
        <v>0</v>
      </c>
      <c r="P74" s="20" t="n">
        <v>0</v>
      </c>
      <c r="Q74" s="18" t="n">
        <v>25.91572688</v>
      </c>
      <c r="R74" s="20" t="n">
        <v>2.56542722</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59.66667679</v>
      </c>
      <c r="F78" s="20" t="n">
        <v>2.31876206</v>
      </c>
      <c r="G78" s="18" t="n">
        <v>39.16578311</v>
      </c>
      <c r="H78" s="20" t="n">
        <v>2.35600036</v>
      </c>
      <c r="I78" s="18" t="s">
        <v>431</v>
      </c>
      <c r="J78" s="20" t="s">
        <v>431</v>
      </c>
      <c r="K78" s="18" t="n">
        <v>0</v>
      </c>
      <c r="L78" s="20" t="n">
        <v>0</v>
      </c>
      <c r="M78" s="18" t="n">
        <v>0</v>
      </c>
      <c r="N78" s="20" t="n">
        <v>0</v>
      </c>
      <c r="O78" s="18" t="n">
        <v>0</v>
      </c>
      <c r="P78" s="20" t="n">
        <v>0</v>
      </c>
      <c r="Q78" s="18" t="n">
        <v>1.1675401</v>
      </c>
      <c r="R78" s="20" t="n">
        <v>0.43032545</v>
      </c>
    </row>
    <row customHeight="1" ht="25" r="79" spans="1:18">
      <c r="A79" s="15" t="s">
        <v>503</v>
      </c>
      <c r="B79" s="17" t="n">
        <v>787</v>
      </c>
      <c r="C79" s="18">
        <f>(657.0/B79*100)</f>
        <v/>
      </c>
      <c r="D79" s="19" t="n">
        <v>130</v>
      </c>
      <c r="E79" s="18" t="n">
        <v>41.97404863</v>
      </c>
      <c r="F79" s="20" t="n">
        <v>5.03373611</v>
      </c>
      <c r="G79" s="18" t="n">
        <v>24.63267475</v>
      </c>
      <c r="H79" s="20" t="n">
        <v>3.42830989</v>
      </c>
      <c r="I79" s="18" t="s">
        <v>431</v>
      </c>
      <c r="J79" s="20" t="s">
        <v>431</v>
      </c>
      <c r="K79" s="18" t="n">
        <v>4.38546922</v>
      </c>
      <c r="L79" s="20" t="n">
        <v>1.11881457</v>
      </c>
      <c r="M79" s="18" t="n">
        <v>0</v>
      </c>
      <c r="N79" s="20" t="n">
        <v>0</v>
      </c>
      <c r="O79" s="18" t="n">
        <v>0</v>
      </c>
      <c r="P79" s="20" t="n">
        <v>0</v>
      </c>
      <c r="Q79" s="18" t="n">
        <v>29.0078074</v>
      </c>
      <c r="R79" s="20" t="n">
        <v>4.41115237</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77.17215471</v>
      </c>
      <c r="F44" s="20" t="n">
        <v>2.40941285</v>
      </c>
      <c r="G44" s="18" t="n">
        <v>9.266950339999999</v>
      </c>
      <c r="H44" s="20" t="n">
        <v>1.8236858</v>
      </c>
      <c r="I44" s="18" t="s">
        <v>431</v>
      </c>
      <c r="J44" s="20" t="s">
        <v>431</v>
      </c>
      <c r="K44" s="18" t="n">
        <v>6.36082063</v>
      </c>
      <c r="L44" s="20" t="n">
        <v>1.39201967</v>
      </c>
      <c r="M44" s="18" t="n">
        <v>0</v>
      </c>
      <c r="N44" s="20" t="n">
        <v>0</v>
      </c>
      <c r="O44" s="18" t="n">
        <v>0</v>
      </c>
      <c r="P44" s="20" t="n">
        <v>0</v>
      </c>
      <c r="Q44" s="18" t="n">
        <v>7.20007433</v>
      </c>
      <c r="R44" s="20" t="n">
        <v>1.58275249</v>
      </c>
    </row>
    <row r="45" spans="1:18">
      <c r="A45" s="15" t="s">
        <v>469</v>
      </c>
      <c r="B45" s="17" t="n">
        <v>2849</v>
      </c>
      <c r="C45" s="18">
        <f>(2364.0/B45*100)</f>
        <v/>
      </c>
      <c r="D45" s="19" t="n">
        <v>485</v>
      </c>
      <c r="E45" s="18" t="n">
        <v>77.6993391</v>
      </c>
      <c r="F45" s="20" t="n">
        <v>2.3899346</v>
      </c>
      <c r="G45" s="18" t="n">
        <v>8.7603455</v>
      </c>
      <c r="H45" s="20" t="n">
        <v>1.17222072</v>
      </c>
      <c r="I45" s="18" t="s">
        <v>431</v>
      </c>
      <c r="J45" s="20" t="s">
        <v>431</v>
      </c>
      <c r="K45" s="18" t="n">
        <v>4.49095833</v>
      </c>
      <c r="L45" s="20" t="n">
        <v>0.96985532</v>
      </c>
      <c r="M45" s="18" t="n">
        <v>0.18095246</v>
      </c>
      <c r="N45" s="20" t="n">
        <v>0.13700082</v>
      </c>
      <c r="O45" s="18" t="n">
        <v>0.20447752</v>
      </c>
      <c r="P45" s="20" t="n">
        <v>0.18164422</v>
      </c>
      <c r="Q45" s="18" t="n">
        <v>8.6639271</v>
      </c>
      <c r="R45" s="20" t="n">
        <v>1.79395791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68.84555564</v>
      </c>
      <c r="F49" s="20" t="n">
        <v>2.82354417</v>
      </c>
      <c r="G49" s="18" t="n">
        <v>23.1586121</v>
      </c>
      <c r="H49" s="20" t="n">
        <v>2.37904537</v>
      </c>
      <c r="I49" s="18" t="s">
        <v>431</v>
      </c>
      <c r="J49" s="20" t="s">
        <v>431</v>
      </c>
      <c r="K49" s="18" t="n">
        <v>2.41970412</v>
      </c>
      <c r="L49" s="20" t="n">
        <v>0.76162387</v>
      </c>
      <c r="M49" s="18" t="n">
        <v>0</v>
      </c>
      <c r="N49" s="20" t="n">
        <v>0</v>
      </c>
      <c r="O49" s="18" t="n">
        <v>0</v>
      </c>
      <c r="P49" s="20" t="n">
        <v>0</v>
      </c>
      <c r="Q49" s="18" t="n">
        <v>5.57612814</v>
      </c>
      <c r="R49" s="20" t="n">
        <v>1.42990392</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80.36825958</v>
      </c>
      <c r="F55" s="20" t="n">
        <v>1.85845587</v>
      </c>
      <c r="G55" s="18" t="n">
        <v>11.18715069</v>
      </c>
      <c r="H55" s="20" t="n">
        <v>1.333476</v>
      </c>
      <c r="I55" s="18" t="s">
        <v>431</v>
      </c>
      <c r="J55" s="20" t="s">
        <v>431</v>
      </c>
      <c r="K55" s="18" t="n">
        <v>2.0823291</v>
      </c>
      <c r="L55" s="20" t="n">
        <v>0.60693924</v>
      </c>
      <c r="M55" s="18" t="n">
        <v>0</v>
      </c>
      <c r="N55" s="20" t="n">
        <v>0</v>
      </c>
      <c r="O55" s="18" t="n">
        <v>0</v>
      </c>
      <c r="P55" s="20" t="n">
        <v>0</v>
      </c>
      <c r="Q55" s="18" t="n">
        <v>6.36226062</v>
      </c>
      <c r="R55" s="20" t="n">
        <v>1.19102351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90.66218506</v>
      </c>
      <c r="F57" s="20" t="n">
        <v>1.4797464</v>
      </c>
      <c r="G57" s="18" t="n">
        <v>5.99875581</v>
      </c>
      <c r="H57" s="20" t="n">
        <v>1.13852128</v>
      </c>
      <c r="I57" s="18" t="s">
        <v>431</v>
      </c>
      <c r="J57" s="20" t="s">
        <v>431</v>
      </c>
      <c r="K57" s="18" t="n">
        <v>1.53377927</v>
      </c>
      <c r="L57" s="20" t="n">
        <v>0.66008819</v>
      </c>
      <c r="M57" s="18" t="n">
        <v>0.17240286</v>
      </c>
      <c r="N57" s="20" t="n">
        <v>0.17174551</v>
      </c>
      <c r="O57" s="18" t="n">
        <v>0</v>
      </c>
      <c r="P57" s="20" t="n">
        <v>0</v>
      </c>
      <c r="Q57" s="18" t="n">
        <v>1.632877</v>
      </c>
      <c r="R57" s="20" t="n">
        <v>0.52104996</v>
      </c>
    </row>
    <row r="58" spans="1:18">
      <c r="A58" s="15" t="s">
        <v>482</v>
      </c>
      <c r="B58" s="17" t="n">
        <v>3530</v>
      </c>
      <c r="C58" s="18">
        <f>(2942.0/B58*100)</f>
        <v/>
      </c>
      <c r="D58" s="19" t="n">
        <v>588</v>
      </c>
      <c r="E58" s="18" t="n">
        <v>85.53929460000001</v>
      </c>
      <c r="F58" s="20" t="n">
        <v>1.7409563</v>
      </c>
      <c r="G58" s="18" t="n">
        <v>8.32444123</v>
      </c>
      <c r="H58" s="20" t="n">
        <v>1.37176376</v>
      </c>
      <c r="I58" s="18" t="s">
        <v>431</v>
      </c>
      <c r="J58" s="20" t="s">
        <v>431</v>
      </c>
      <c r="K58" s="18" t="n">
        <v>3.29142589</v>
      </c>
      <c r="L58" s="20" t="n">
        <v>0.82657081</v>
      </c>
      <c r="M58" s="18" t="n">
        <v>0</v>
      </c>
      <c r="N58" s="20" t="n">
        <v>0</v>
      </c>
      <c r="O58" s="18" t="n">
        <v>0.29039028</v>
      </c>
      <c r="P58" s="20" t="n">
        <v>0.2858549</v>
      </c>
      <c r="Q58" s="18" t="n">
        <v>2.554448</v>
      </c>
      <c r="R58" s="20" t="n">
        <v>0.70531867</v>
      </c>
    </row>
    <row r="59" spans="1:18">
      <c r="A59" s="15" t="s">
        <v>483</v>
      </c>
      <c r="B59" s="17" t="n">
        <v>2548</v>
      </c>
      <c r="C59" s="18">
        <f>(2129.0/B59*100)</f>
        <v/>
      </c>
      <c r="D59" s="19" t="n">
        <v>419</v>
      </c>
      <c r="E59" s="18" t="n">
        <v>90.65353903</v>
      </c>
      <c r="F59" s="20" t="n">
        <v>1.65160185</v>
      </c>
      <c r="G59" s="18" t="n">
        <v>5.40356173</v>
      </c>
      <c r="H59" s="20" t="n">
        <v>1.32303203</v>
      </c>
      <c r="I59" s="18" t="s">
        <v>431</v>
      </c>
      <c r="J59" s="20" t="s">
        <v>431</v>
      </c>
      <c r="K59" s="18" t="n">
        <v>0.36460484</v>
      </c>
      <c r="L59" s="20" t="n">
        <v>0.18932434</v>
      </c>
      <c r="M59" s="18" t="n">
        <v>0</v>
      </c>
      <c r="N59" s="20" t="n">
        <v>0</v>
      </c>
      <c r="O59" s="18" t="n">
        <v>0</v>
      </c>
      <c r="P59" s="20" t="n">
        <v>0</v>
      </c>
      <c r="Q59" s="18" t="n">
        <v>3.5782944</v>
      </c>
      <c r="R59" s="20" t="n">
        <v>1.25634051</v>
      </c>
    </row>
    <row r="60" spans="1:18">
      <c r="A60" s="15" t="s">
        <v>484</v>
      </c>
      <c r="B60" s="17" t="n">
        <v>2095</v>
      </c>
      <c r="C60" s="18">
        <f>(1749.0/B60*100)</f>
        <v/>
      </c>
      <c r="D60" s="19" t="n">
        <v>346</v>
      </c>
      <c r="E60" s="18" t="n">
        <v>82.65152967</v>
      </c>
      <c r="F60" s="20" t="n">
        <v>2.19601886</v>
      </c>
      <c r="G60" s="18" t="n">
        <v>7.23140662</v>
      </c>
      <c r="H60" s="20" t="n">
        <v>1.20997143</v>
      </c>
      <c r="I60" s="18" t="s">
        <v>431</v>
      </c>
      <c r="J60" s="20" t="s">
        <v>431</v>
      </c>
      <c r="K60" s="18" t="n">
        <v>3.99446352</v>
      </c>
      <c r="L60" s="20" t="n">
        <v>1.1136732</v>
      </c>
      <c r="M60" s="18" t="n">
        <v>0</v>
      </c>
      <c r="N60" s="20" t="n">
        <v>0</v>
      </c>
      <c r="O60" s="18" t="n">
        <v>0</v>
      </c>
      <c r="P60" s="20" t="n">
        <v>0</v>
      </c>
      <c r="Q60" s="18" t="n">
        <v>6.1226002</v>
      </c>
      <c r="R60" s="20" t="n">
        <v>1.58244328</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84.94946722</v>
      </c>
      <c r="F63" s="20" t="n">
        <v>1.85167103</v>
      </c>
      <c r="G63" s="18" t="n">
        <v>6.87804784</v>
      </c>
      <c r="H63" s="20" t="n">
        <v>1.31410709</v>
      </c>
      <c r="I63" s="18" t="s">
        <v>431</v>
      </c>
      <c r="J63" s="20" t="s">
        <v>431</v>
      </c>
      <c r="K63" s="18" t="n">
        <v>3.4124096</v>
      </c>
      <c r="L63" s="20" t="n">
        <v>0.97807278</v>
      </c>
      <c r="M63" s="18" t="n">
        <v>0</v>
      </c>
      <c r="N63" s="20" t="n">
        <v>0</v>
      </c>
      <c r="O63" s="18" t="n">
        <v>0.22617488</v>
      </c>
      <c r="P63" s="20" t="n">
        <v>0.23222445</v>
      </c>
      <c r="Q63" s="18" t="n">
        <v>4.53390046</v>
      </c>
      <c r="R63" s="20" t="n">
        <v>1.08922309</v>
      </c>
    </row>
    <row r="64" spans="1:18">
      <c r="A64" s="15" t="s">
        <v>488</v>
      </c>
      <c r="B64" s="17" t="n">
        <v>1844</v>
      </c>
      <c r="C64" s="18">
        <f>(1543.0/B64*100)</f>
        <v/>
      </c>
      <c r="D64" s="19" t="n">
        <v>301</v>
      </c>
      <c r="E64" s="18" t="n">
        <v>80.18550442999999</v>
      </c>
      <c r="F64" s="20" t="n">
        <v>2.44455419</v>
      </c>
      <c r="G64" s="18" t="n">
        <v>10.32550337</v>
      </c>
      <c r="H64" s="20" t="n">
        <v>1.66619709</v>
      </c>
      <c r="I64" s="18" t="s">
        <v>431</v>
      </c>
      <c r="J64" s="20" t="s">
        <v>431</v>
      </c>
      <c r="K64" s="18" t="n">
        <v>4.5606906</v>
      </c>
      <c r="L64" s="20" t="n">
        <v>1.25407169</v>
      </c>
      <c r="M64" s="18" t="n">
        <v>0</v>
      </c>
      <c r="N64" s="20" t="n">
        <v>0</v>
      </c>
      <c r="O64" s="18" t="n">
        <v>0</v>
      </c>
      <c r="P64" s="20" t="n">
        <v>0</v>
      </c>
      <c r="Q64" s="18" t="n">
        <v>4.9283016</v>
      </c>
      <c r="R64" s="20" t="n">
        <v>1.32414925</v>
      </c>
    </row>
    <row r="65" spans="1:18">
      <c r="A65" s="15" t="s">
        <v>489</v>
      </c>
      <c r="B65" s="17" t="n">
        <v>2691</v>
      </c>
      <c r="C65" s="18">
        <f>(2257.0/B65*100)</f>
        <v/>
      </c>
      <c r="D65" s="19" t="n">
        <v>434</v>
      </c>
      <c r="E65" s="18" t="n">
        <v>86.99521253</v>
      </c>
      <c r="F65" s="20" t="n">
        <v>1.65757406</v>
      </c>
      <c r="G65" s="18" t="n">
        <v>5.41455776</v>
      </c>
      <c r="H65" s="20" t="n">
        <v>1.2969095</v>
      </c>
      <c r="I65" s="18" t="s">
        <v>431</v>
      </c>
      <c r="J65" s="20" t="s">
        <v>431</v>
      </c>
      <c r="K65" s="18" t="n">
        <v>3.09686968</v>
      </c>
      <c r="L65" s="20" t="n">
        <v>0.84472857</v>
      </c>
      <c r="M65" s="18" t="n">
        <v>0</v>
      </c>
      <c r="N65" s="20" t="n">
        <v>0</v>
      </c>
      <c r="O65" s="18" t="n">
        <v>0</v>
      </c>
      <c r="P65" s="20" t="n">
        <v>0</v>
      </c>
      <c r="Q65" s="18" t="n">
        <v>4.49336003</v>
      </c>
      <c r="R65" s="20" t="n">
        <v>0.99202863</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94.14913676</v>
      </c>
      <c r="F69" s="20" t="n">
        <v>1.05789722</v>
      </c>
      <c r="G69" s="18" t="n">
        <v>5.85086324</v>
      </c>
      <c r="H69" s="20" t="n">
        <v>1.05789722</v>
      </c>
      <c r="I69" s="18" t="s">
        <v>431</v>
      </c>
      <c r="J69" s="20" t="s">
        <v>431</v>
      </c>
      <c r="K69" s="18" t="n">
        <v>0</v>
      </c>
      <c r="L69" s="20" t="n">
        <v>0</v>
      </c>
      <c r="M69" s="18" t="n">
        <v>0</v>
      </c>
      <c r="N69" s="20" t="n">
        <v>0</v>
      </c>
      <c r="O69" s="18" t="n">
        <v>0</v>
      </c>
      <c r="P69" s="20" t="n">
        <v>0</v>
      </c>
      <c r="Q69" s="18" t="n">
        <v>0</v>
      </c>
      <c r="R69" s="20" t="n">
        <v>0</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79.46359421</v>
      </c>
      <c r="F74" s="20" t="n">
        <v>2.63202019</v>
      </c>
      <c r="G74" s="18" t="n">
        <v>6.88714303</v>
      </c>
      <c r="H74" s="20" t="n">
        <v>1.31197083</v>
      </c>
      <c r="I74" s="18" t="s">
        <v>431</v>
      </c>
      <c r="J74" s="20" t="s">
        <v>431</v>
      </c>
      <c r="K74" s="18" t="n">
        <v>6.25035457</v>
      </c>
      <c r="L74" s="20" t="n">
        <v>1.34854702</v>
      </c>
      <c r="M74" s="18" t="n">
        <v>0</v>
      </c>
      <c r="N74" s="20" t="n">
        <v>0</v>
      </c>
      <c r="O74" s="18" t="n">
        <v>0</v>
      </c>
      <c r="P74" s="20" t="n">
        <v>0</v>
      </c>
      <c r="Q74" s="18" t="n">
        <v>7.39890819</v>
      </c>
      <c r="R74" s="20" t="n">
        <v>1.64594976</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47.09417716</v>
      </c>
      <c r="F78" s="20" t="n">
        <v>2.44344754</v>
      </c>
      <c r="G78" s="18" t="n">
        <v>52.90582284</v>
      </c>
      <c r="H78" s="20" t="n">
        <v>2.44344754</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(657.0/B79*100)</f>
        <v/>
      </c>
      <c r="D79" s="19" t="n">
        <v>130</v>
      </c>
      <c r="E79" s="18" t="n">
        <v>72.62275158999999</v>
      </c>
      <c r="F79" s="20" t="n">
        <v>3.41121601</v>
      </c>
      <c r="G79" s="18" t="n">
        <v>15.35841906</v>
      </c>
      <c r="H79" s="20" t="n">
        <v>2.9312909</v>
      </c>
      <c r="I79" s="18" t="s">
        <v>431</v>
      </c>
      <c r="J79" s="20" t="s">
        <v>431</v>
      </c>
      <c r="K79" s="18" t="n">
        <v>4.38546922</v>
      </c>
      <c r="L79" s="20" t="n">
        <v>1.11881457</v>
      </c>
      <c r="M79" s="18" t="n">
        <v>0</v>
      </c>
      <c r="N79" s="20" t="n">
        <v>0</v>
      </c>
      <c r="O79" s="18" t="n">
        <v>0</v>
      </c>
      <c r="P79" s="20" t="n">
        <v>0</v>
      </c>
      <c r="Q79" s="18" t="n">
        <v>7.63336012</v>
      </c>
      <c r="R79" s="20" t="n">
        <v>2.23298335</v>
      </c>
    </row>
    <row r="80" spans="1:18">
      <c r="A80" s="15" t="s">
        <v>504</v>
      </c>
      <c r="B80" s="17" t="n">
        <v>3798</v>
      </c>
      <c r="C80" s="18">
        <f>(3170.0/B80*100)</f>
        <v/>
      </c>
      <c r="D80" s="19" t="n">
        <v>628</v>
      </c>
      <c r="E80" s="18" t="n">
        <v>87.55491094999999</v>
      </c>
      <c r="F80" s="20" t="n">
        <v>2.03031851</v>
      </c>
      <c r="G80" s="18" t="n">
        <v>12.22314766</v>
      </c>
      <c r="H80" s="20" t="n">
        <v>2.02191471</v>
      </c>
      <c r="I80" s="18" t="s">
        <v>431</v>
      </c>
      <c r="J80" s="20" t="s">
        <v>431</v>
      </c>
      <c r="K80" s="18" t="n">
        <v>0</v>
      </c>
      <c r="L80" s="20" t="n">
        <v>0</v>
      </c>
      <c r="M80" s="18" t="n">
        <v>0</v>
      </c>
      <c r="N80" s="20" t="n">
        <v>0</v>
      </c>
      <c r="O80" s="18" t="n">
        <v>0</v>
      </c>
      <c r="P80" s="20" t="n">
        <v>0</v>
      </c>
      <c r="Q80" s="18" t="n">
        <v>0.22194139</v>
      </c>
      <c r="R80" s="20" t="n">
        <v>0.15677408</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17.90155527</v>
      </c>
      <c r="F44" s="20" t="n">
        <v>2.1252977</v>
      </c>
      <c r="G44" s="18" t="n">
        <v>49.26864436</v>
      </c>
      <c r="H44" s="20" t="n">
        <v>2.89009541</v>
      </c>
      <c r="I44" s="18" t="s">
        <v>431</v>
      </c>
      <c r="J44" s="20" t="s">
        <v>431</v>
      </c>
      <c r="K44" s="18" t="n">
        <v>9.444569850000001</v>
      </c>
      <c r="L44" s="20" t="n">
        <v>1.79907565</v>
      </c>
      <c r="M44" s="18" t="n">
        <v>0</v>
      </c>
      <c r="N44" s="20" t="n">
        <v>0</v>
      </c>
      <c r="O44" s="18" t="n">
        <v>0</v>
      </c>
      <c r="P44" s="20" t="n">
        <v>0</v>
      </c>
      <c r="Q44" s="18" t="n">
        <v>23.38523052</v>
      </c>
      <c r="R44" s="20" t="n">
        <v>2.41478185</v>
      </c>
    </row>
    <row r="45" spans="1:18">
      <c r="A45" s="15" t="s">
        <v>469</v>
      </c>
      <c r="B45" s="17" t="n">
        <v>2849</v>
      </c>
      <c r="C45" s="18">
        <f>(2364.0/B45*100)</f>
        <v/>
      </c>
      <c r="D45" s="19" t="n">
        <v>485</v>
      </c>
      <c r="E45" s="18" t="n">
        <v>43.98588731</v>
      </c>
      <c r="F45" s="20" t="n">
        <v>2.35496994</v>
      </c>
      <c r="G45" s="18" t="n">
        <v>28.51285904</v>
      </c>
      <c r="H45" s="20" t="n">
        <v>2.31976124</v>
      </c>
      <c r="I45" s="18" t="s">
        <v>431</v>
      </c>
      <c r="J45" s="20" t="s">
        <v>431</v>
      </c>
      <c r="K45" s="18" t="n">
        <v>5.29853474</v>
      </c>
      <c r="L45" s="20" t="n">
        <v>1.0412365</v>
      </c>
      <c r="M45" s="18" t="n">
        <v>0.6741449900000001</v>
      </c>
      <c r="N45" s="20" t="n">
        <v>0.37297327</v>
      </c>
      <c r="O45" s="18" t="n">
        <v>0.20447752</v>
      </c>
      <c r="P45" s="20" t="n">
        <v>0.18164422</v>
      </c>
      <c r="Q45" s="18" t="n">
        <v>21.3240964</v>
      </c>
      <c r="R45" s="20" t="n">
        <v>2.16224339</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16.59215496</v>
      </c>
      <c r="F49" s="20" t="n">
        <v>1.79273539</v>
      </c>
      <c r="G49" s="18" t="n">
        <v>59.70960785</v>
      </c>
      <c r="H49" s="20" t="n">
        <v>2.37718668</v>
      </c>
      <c r="I49" s="18" t="s">
        <v>431</v>
      </c>
      <c r="J49" s="20" t="s">
        <v>431</v>
      </c>
      <c r="K49" s="18" t="n">
        <v>2.80759745</v>
      </c>
      <c r="L49" s="20" t="n">
        <v>0.8551948700000001</v>
      </c>
      <c r="M49" s="18" t="n">
        <v>0</v>
      </c>
      <c r="N49" s="20" t="n">
        <v>0</v>
      </c>
      <c r="O49" s="18" t="n">
        <v>0</v>
      </c>
      <c r="P49" s="20" t="n">
        <v>0</v>
      </c>
      <c r="Q49" s="18" t="n">
        <v>20.89063973</v>
      </c>
      <c r="R49" s="20" t="n">
        <v>2.35488253</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26.42468426</v>
      </c>
      <c r="F55" s="20" t="n">
        <v>2.2272226</v>
      </c>
      <c r="G55" s="18" t="n">
        <v>42.77209634</v>
      </c>
      <c r="H55" s="20" t="n">
        <v>2.69798673</v>
      </c>
      <c r="I55" s="18" t="s">
        <v>431</v>
      </c>
      <c r="J55" s="20" t="s">
        <v>431</v>
      </c>
      <c r="K55" s="18" t="n">
        <v>2.7898697</v>
      </c>
      <c r="L55" s="20" t="n">
        <v>0.69262861</v>
      </c>
      <c r="M55" s="18" t="n">
        <v>0</v>
      </c>
      <c r="N55" s="20" t="n">
        <v>0</v>
      </c>
      <c r="O55" s="18" t="n">
        <v>0.1573112</v>
      </c>
      <c r="P55" s="20" t="n">
        <v>0.15743707</v>
      </c>
      <c r="Q55" s="18" t="n">
        <v>27.8560385</v>
      </c>
      <c r="R55" s="20" t="n">
        <v>2.42119539</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41.83781849</v>
      </c>
      <c r="F57" s="20" t="n">
        <v>2.85466567</v>
      </c>
      <c r="G57" s="18" t="n">
        <v>50.41534837</v>
      </c>
      <c r="H57" s="20" t="n">
        <v>2.76490965</v>
      </c>
      <c r="I57" s="18" t="s">
        <v>431</v>
      </c>
      <c r="J57" s="20" t="s">
        <v>431</v>
      </c>
      <c r="K57" s="18" t="n">
        <v>1.91019958</v>
      </c>
      <c r="L57" s="20" t="n">
        <v>0.70928384</v>
      </c>
      <c r="M57" s="18" t="n">
        <v>0.17240286</v>
      </c>
      <c r="N57" s="20" t="n">
        <v>0.17174551</v>
      </c>
      <c r="O57" s="18" t="n">
        <v>0</v>
      </c>
      <c r="P57" s="20" t="n">
        <v>0</v>
      </c>
      <c r="Q57" s="18" t="n">
        <v>5.6642307</v>
      </c>
      <c r="R57" s="20" t="n">
        <v>0.99083049</v>
      </c>
    </row>
    <row r="58" spans="1:18">
      <c r="A58" s="15" t="s">
        <v>482</v>
      </c>
      <c r="B58" s="17" t="n">
        <v>3530</v>
      </c>
      <c r="C58" s="18">
        <f>(2942.0/B58*100)</f>
        <v/>
      </c>
      <c r="D58" s="19" t="n">
        <v>588</v>
      </c>
      <c r="E58" s="18" t="n">
        <v>30.23786277</v>
      </c>
      <c r="F58" s="20" t="n">
        <v>2.03200659</v>
      </c>
      <c r="G58" s="18" t="n">
        <v>44.72757028</v>
      </c>
      <c r="H58" s="20" t="n">
        <v>2.25440119</v>
      </c>
      <c r="I58" s="18" t="s">
        <v>431</v>
      </c>
      <c r="J58" s="20" t="s">
        <v>431</v>
      </c>
      <c r="K58" s="18" t="n">
        <v>5.64240048</v>
      </c>
      <c r="L58" s="20" t="n">
        <v>1.05754717</v>
      </c>
      <c r="M58" s="18" t="n">
        <v>0</v>
      </c>
      <c r="N58" s="20" t="n">
        <v>0</v>
      </c>
      <c r="O58" s="18" t="n">
        <v>0</v>
      </c>
      <c r="P58" s="20" t="n">
        <v>0</v>
      </c>
      <c r="Q58" s="18" t="n">
        <v>19.39216646</v>
      </c>
      <c r="R58" s="20" t="n">
        <v>2.04316196</v>
      </c>
    </row>
    <row r="59" spans="1:18">
      <c r="A59" s="15" t="s">
        <v>483</v>
      </c>
      <c r="B59" s="17" t="n">
        <v>2548</v>
      </c>
      <c r="C59" s="18">
        <f>(2129.0/B59*100)</f>
        <v/>
      </c>
      <c r="D59" s="19" t="n">
        <v>419</v>
      </c>
      <c r="E59" s="18" t="n">
        <v>25.65046232</v>
      </c>
      <c r="F59" s="20" t="n">
        <v>2.96529055</v>
      </c>
      <c r="G59" s="18" t="n">
        <v>45.49907922</v>
      </c>
      <c r="H59" s="20" t="n">
        <v>3.62847974</v>
      </c>
      <c r="I59" s="18" t="s">
        <v>431</v>
      </c>
      <c r="J59" s="20" t="s">
        <v>431</v>
      </c>
      <c r="K59" s="18" t="n">
        <v>1.07164546</v>
      </c>
      <c r="L59" s="20" t="n">
        <v>0.565356</v>
      </c>
      <c r="M59" s="18" t="n">
        <v>0</v>
      </c>
      <c r="N59" s="20" t="n">
        <v>0</v>
      </c>
      <c r="O59" s="18" t="n">
        <v>0</v>
      </c>
      <c r="P59" s="20" t="n">
        <v>0</v>
      </c>
      <c r="Q59" s="18" t="n">
        <v>27.77881299</v>
      </c>
      <c r="R59" s="20" t="n">
        <v>2.794735</v>
      </c>
    </row>
    <row r="60" spans="1:18">
      <c r="A60" s="15" t="s">
        <v>484</v>
      </c>
      <c r="B60" s="17" t="n">
        <v>2095</v>
      </c>
      <c r="C60" s="18">
        <f>(1749.0/B60*100)</f>
        <v/>
      </c>
      <c r="D60" s="19" t="n">
        <v>346</v>
      </c>
      <c r="E60" s="18" t="n">
        <v>25.84345145</v>
      </c>
      <c r="F60" s="20" t="n">
        <v>2.60507097</v>
      </c>
      <c r="G60" s="18" t="n">
        <v>37.29306101</v>
      </c>
      <c r="H60" s="20" t="n">
        <v>2.97339532</v>
      </c>
      <c r="I60" s="18" t="s">
        <v>431</v>
      </c>
      <c r="J60" s="20" t="s">
        <v>431</v>
      </c>
      <c r="K60" s="18" t="n">
        <v>5.79135009</v>
      </c>
      <c r="L60" s="20" t="n">
        <v>1.33964395</v>
      </c>
      <c r="M60" s="18" t="n">
        <v>0</v>
      </c>
      <c r="N60" s="20" t="n">
        <v>0</v>
      </c>
      <c r="O60" s="18" t="n">
        <v>0</v>
      </c>
      <c r="P60" s="20" t="n">
        <v>0</v>
      </c>
      <c r="Q60" s="18" t="n">
        <v>31.07213745</v>
      </c>
      <c r="R60" s="20" t="n">
        <v>3.04447746</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18.0399841</v>
      </c>
      <c r="F63" s="20" t="n">
        <v>1.91080282</v>
      </c>
      <c r="G63" s="18" t="n">
        <v>38.95414663</v>
      </c>
      <c r="H63" s="20" t="n">
        <v>2.63700335</v>
      </c>
      <c r="I63" s="18" t="s">
        <v>431</v>
      </c>
      <c r="J63" s="20" t="s">
        <v>431</v>
      </c>
      <c r="K63" s="18" t="n">
        <v>4.83666907</v>
      </c>
      <c r="L63" s="20" t="n">
        <v>1.12768735</v>
      </c>
      <c r="M63" s="18" t="n">
        <v>0</v>
      </c>
      <c r="N63" s="20" t="n">
        <v>0</v>
      </c>
      <c r="O63" s="18" t="n">
        <v>0</v>
      </c>
      <c r="P63" s="20" t="n">
        <v>0</v>
      </c>
      <c r="Q63" s="18" t="n">
        <v>38.16920021</v>
      </c>
      <c r="R63" s="20" t="n">
        <v>2.87987264</v>
      </c>
    </row>
    <row r="64" spans="1:18">
      <c r="A64" s="15" t="s">
        <v>488</v>
      </c>
      <c r="B64" s="17" t="n">
        <v>1844</v>
      </c>
      <c r="C64" s="18">
        <f>(1543.0/B64*100)</f>
        <v/>
      </c>
      <c r="D64" s="19" t="n">
        <v>301</v>
      </c>
      <c r="E64" s="18" t="n">
        <v>16.79593398</v>
      </c>
      <c r="F64" s="20" t="n">
        <v>2.08763932</v>
      </c>
      <c r="G64" s="18" t="n">
        <v>62.76240789</v>
      </c>
      <c r="H64" s="20" t="n">
        <v>2.96966498</v>
      </c>
      <c r="I64" s="18" t="s">
        <v>431</v>
      </c>
      <c r="J64" s="20" t="s">
        <v>431</v>
      </c>
      <c r="K64" s="18" t="n">
        <v>6.23135364</v>
      </c>
      <c r="L64" s="20" t="n">
        <v>1.48323057</v>
      </c>
      <c r="M64" s="18" t="n">
        <v>0</v>
      </c>
      <c r="N64" s="20" t="n">
        <v>0</v>
      </c>
      <c r="O64" s="18" t="n">
        <v>0</v>
      </c>
      <c r="P64" s="20" t="n">
        <v>0</v>
      </c>
      <c r="Q64" s="18" t="n">
        <v>14.21030448</v>
      </c>
      <c r="R64" s="20" t="n">
        <v>2.24457629</v>
      </c>
    </row>
    <row r="65" spans="1:18">
      <c r="A65" s="15" t="s">
        <v>489</v>
      </c>
      <c r="B65" s="17" t="n">
        <v>2691</v>
      </c>
      <c r="C65" s="18">
        <f>(2257.0/B65*100)</f>
        <v/>
      </c>
      <c r="D65" s="19" t="n">
        <v>434</v>
      </c>
      <c r="E65" s="18" t="n">
        <v>21.57403768</v>
      </c>
      <c r="F65" s="20" t="n">
        <v>1.96802263</v>
      </c>
      <c r="G65" s="18" t="n">
        <v>54.21565635</v>
      </c>
      <c r="H65" s="20" t="n">
        <v>2.32779542</v>
      </c>
      <c r="I65" s="18" t="s">
        <v>431</v>
      </c>
      <c r="J65" s="20" t="s">
        <v>431</v>
      </c>
      <c r="K65" s="18" t="n">
        <v>3.97774419</v>
      </c>
      <c r="L65" s="20" t="n">
        <v>0.9496508299999999</v>
      </c>
      <c r="M65" s="18" t="n">
        <v>0.18984318</v>
      </c>
      <c r="N65" s="20" t="n">
        <v>0.13412409</v>
      </c>
      <c r="O65" s="18" t="n">
        <v>0</v>
      </c>
      <c r="P65" s="20" t="n">
        <v>0</v>
      </c>
      <c r="Q65" s="18" t="n">
        <v>20.04271861</v>
      </c>
      <c r="R65" s="20" t="n">
        <v>1.87269721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29.73850038</v>
      </c>
      <c r="F69" s="20" t="n">
        <v>2.62339205</v>
      </c>
      <c r="G69" s="18" t="n">
        <v>67.28626697</v>
      </c>
      <c r="H69" s="20" t="n">
        <v>2.8806517</v>
      </c>
      <c r="I69" s="18" t="s">
        <v>431</v>
      </c>
      <c r="J69" s="20" t="s">
        <v>431</v>
      </c>
      <c r="K69" s="18" t="n">
        <v>0</v>
      </c>
      <c r="L69" s="20" t="n">
        <v>0</v>
      </c>
      <c r="M69" s="18" t="n">
        <v>0</v>
      </c>
      <c r="N69" s="20" t="n">
        <v>0</v>
      </c>
      <c r="O69" s="18" t="n">
        <v>0</v>
      </c>
      <c r="P69" s="20" t="n">
        <v>0</v>
      </c>
      <c r="Q69" s="18" t="n">
        <v>2.97523264</v>
      </c>
      <c r="R69" s="20" t="n">
        <v>0.8297916</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17.71608904</v>
      </c>
      <c r="F74" s="20" t="n">
        <v>2.42798637</v>
      </c>
      <c r="G74" s="18" t="n">
        <v>51.39628227</v>
      </c>
      <c r="H74" s="20" t="n">
        <v>2.77235036</v>
      </c>
      <c r="I74" s="18" t="s">
        <v>431</v>
      </c>
      <c r="J74" s="20" t="s">
        <v>431</v>
      </c>
      <c r="K74" s="18" t="n">
        <v>8.79203657</v>
      </c>
      <c r="L74" s="20" t="n">
        <v>1.50958787</v>
      </c>
      <c r="M74" s="18" t="n">
        <v>0</v>
      </c>
      <c r="N74" s="20" t="n">
        <v>0</v>
      </c>
      <c r="O74" s="18" t="n">
        <v>0</v>
      </c>
      <c r="P74" s="20" t="n">
        <v>0</v>
      </c>
      <c r="Q74" s="18" t="n">
        <v>22.09559212</v>
      </c>
      <c r="R74" s="20" t="n">
        <v>2.44547138</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21.82594891</v>
      </c>
      <c r="F78" s="20" t="n">
        <v>2.3767656</v>
      </c>
      <c r="G78" s="18" t="n">
        <v>75.93247767</v>
      </c>
      <c r="H78" s="20" t="n">
        <v>2.37968429</v>
      </c>
      <c r="I78" s="18" t="s">
        <v>431</v>
      </c>
      <c r="J78" s="20" t="s">
        <v>431</v>
      </c>
      <c r="K78" s="18" t="n">
        <v>0</v>
      </c>
      <c r="L78" s="20" t="n">
        <v>0</v>
      </c>
      <c r="M78" s="18" t="n">
        <v>0</v>
      </c>
      <c r="N78" s="20" t="n">
        <v>0</v>
      </c>
      <c r="O78" s="18" t="n">
        <v>0</v>
      </c>
      <c r="P78" s="20" t="n">
        <v>0</v>
      </c>
      <c r="Q78" s="18" t="n">
        <v>2.24157342</v>
      </c>
      <c r="R78" s="20" t="n">
        <v>0.65427826</v>
      </c>
    </row>
    <row customHeight="1" ht="25" r="79" spans="1:18">
      <c r="A79" s="15" t="s">
        <v>503</v>
      </c>
      <c r="B79" s="17" t="n">
        <v>787</v>
      </c>
      <c r="C79" s="18">
        <f>(657.0/B79*100)</f>
        <v/>
      </c>
      <c r="D79" s="19" t="n">
        <v>130</v>
      </c>
      <c r="E79" s="18" t="n">
        <v>10.6629876</v>
      </c>
      <c r="F79" s="20" t="n">
        <v>3.00723438</v>
      </c>
      <c r="G79" s="18" t="n">
        <v>69.81575469000001</v>
      </c>
      <c r="H79" s="20" t="n">
        <v>3.67761487</v>
      </c>
      <c r="I79" s="18" t="s">
        <v>431</v>
      </c>
      <c r="J79" s="20" t="s">
        <v>431</v>
      </c>
      <c r="K79" s="18" t="n">
        <v>4.38546922</v>
      </c>
      <c r="L79" s="20" t="n">
        <v>1.11881457</v>
      </c>
      <c r="M79" s="18" t="n">
        <v>0</v>
      </c>
      <c r="N79" s="20" t="n">
        <v>0</v>
      </c>
      <c r="O79" s="18" t="n">
        <v>0</v>
      </c>
      <c r="P79" s="20" t="n">
        <v>0</v>
      </c>
      <c r="Q79" s="18" t="n">
        <v>15.13578849</v>
      </c>
      <c r="R79" s="20" t="n">
        <v>3.53186323</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15.90534321</v>
      </c>
      <c r="F44" s="20" t="n">
        <v>2.24462971</v>
      </c>
      <c r="G44" s="18" t="n">
        <v>64.23116976</v>
      </c>
      <c r="H44" s="20" t="n">
        <v>3.41303181</v>
      </c>
      <c r="I44" s="18" t="s">
        <v>431</v>
      </c>
      <c r="J44" s="20" t="s">
        <v>431</v>
      </c>
      <c r="K44" s="18" t="n">
        <v>9.603641469999999</v>
      </c>
      <c r="L44" s="20" t="n">
        <v>1.80278158</v>
      </c>
      <c r="M44" s="18" t="n">
        <v>0</v>
      </c>
      <c r="N44" s="20" t="n">
        <v>0</v>
      </c>
      <c r="O44" s="18" t="n">
        <v>0</v>
      </c>
      <c r="P44" s="20" t="n">
        <v>0</v>
      </c>
      <c r="Q44" s="18" t="n">
        <v>10.25984556</v>
      </c>
      <c r="R44" s="20" t="n">
        <v>1.83374116</v>
      </c>
    </row>
    <row r="45" spans="1:18">
      <c r="A45" s="15" t="s">
        <v>469</v>
      </c>
      <c r="B45" s="17" t="n">
        <v>2849</v>
      </c>
      <c r="C45" s="18">
        <f>(2364.0/B45*100)</f>
        <v/>
      </c>
      <c r="D45" s="19" t="n">
        <v>485</v>
      </c>
      <c r="E45" s="18" t="n">
        <v>17.65426608</v>
      </c>
      <c r="F45" s="20" t="n">
        <v>1.84564631</v>
      </c>
      <c r="G45" s="18" t="n">
        <v>67.45098101000001</v>
      </c>
      <c r="H45" s="20" t="n">
        <v>1.92418964</v>
      </c>
      <c r="I45" s="18" t="s">
        <v>431</v>
      </c>
      <c r="J45" s="20" t="s">
        <v>431</v>
      </c>
      <c r="K45" s="18" t="n">
        <v>5.85733053</v>
      </c>
      <c r="L45" s="20" t="n">
        <v>1.07081837</v>
      </c>
      <c r="M45" s="18" t="n">
        <v>1.16103524</v>
      </c>
      <c r="N45" s="20" t="n">
        <v>0.45315913</v>
      </c>
      <c r="O45" s="18" t="n">
        <v>0</v>
      </c>
      <c r="P45" s="20" t="n">
        <v>0</v>
      </c>
      <c r="Q45" s="18" t="n">
        <v>7.87638715</v>
      </c>
      <c r="R45" s="20" t="n">
        <v>1.23345912</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16.01420929</v>
      </c>
      <c r="F49" s="20" t="n">
        <v>1.97489961</v>
      </c>
      <c r="G49" s="18" t="n">
        <v>67.69354459</v>
      </c>
      <c r="H49" s="20" t="n">
        <v>2.31892937</v>
      </c>
      <c r="I49" s="18" t="s">
        <v>431</v>
      </c>
      <c r="J49" s="20" t="s">
        <v>431</v>
      </c>
      <c r="K49" s="18" t="n">
        <v>2.96790413</v>
      </c>
      <c r="L49" s="20" t="n">
        <v>0.869059</v>
      </c>
      <c r="M49" s="18" t="n">
        <v>0</v>
      </c>
      <c r="N49" s="20" t="n">
        <v>0</v>
      </c>
      <c r="O49" s="18" t="n">
        <v>0</v>
      </c>
      <c r="P49" s="20" t="n">
        <v>0</v>
      </c>
      <c r="Q49" s="18" t="n">
        <v>13.32434199</v>
      </c>
      <c r="R49" s="20" t="n">
        <v>1.7399516</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16.5243676</v>
      </c>
      <c r="F55" s="20" t="n">
        <v>1.76748959</v>
      </c>
      <c r="G55" s="18" t="n">
        <v>64.61610598999999</v>
      </c>
      <c r="H55" s="20" t="n">
        <v>2.38130427</v>
      </c>
      <c r="I55" s="18" t="s">
        <v>431</v>
      </c>
      <c r="J55" s="20" t="s">
        <v>431</v>
      </c>
      <c r="K55" s="18" t="n">
        <v>2.95314231</v>
      </c>
      <c r="L55" s="20" t="n">
        <v>0.71121774</v>
      </c>
      <c r="M55" s="18" t="n">
        <v>0</v>
      </c>
      <c r="N55" s="20" t="n">
        <v>0</v>
      </c>
      <c r="O55" s="18" t="n">
        <v>0</v>
      </c>
      <c r="P55" s="20" t="n">
        <v>0</v>
      </c>
      <c r="Q55" s="18" t="n">
        <v>15.9063841</v>
      </c>
      <c r="R55" s="20" t="n">
        <v>1.78279177</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19.97976866</v>
      </c>
      <c r="F57" s="20" t="n">
        <v>2.50459287</v>
      </c>
      <c r="G57" s="18" t="n">
        <v>74.98532269</v>
      </c>
      <c r="H57" s="20" t="n">
        <v>2.51925412</v>
      </c>
      <c r="I57" s="18" t="s">
        <v>431</v>
      </c>
      <c r="J57" s="20" t="s">
        <v>431</v>
      </c>
      <c r="K57" s="18" t="n">
        <v>2.27277992</v>
      </c>
      <c r="L57" s="20" t="n">
        <v>0.7559168000000001</v>
      </c>
      <c r="M57" s="18" t="n">
        <v>0</v>
      </c>
      <c r="N57" s="20" t="n">
        <v>0</v>
      </c>
      <c r="O57" s="18" t="n">
        <v>0</v>
      </c>
      <c r="P57" s="20" t="n">
        <v>0</v>
      </c>
      <c r="Q57" s="18" t="n">
        <v>2.76212872</v>
      </c>
      <c r="R57" s="20" t="n">
        <v>0.83862832</v>
      </c>
    </row>
    <row r="58" spans="1:18">
      <c r="A58" s="15" t="s">
        <v>482</v>
      </c>
      <c r="B58" s="17" t="n">
        <v>3530</v>
      </c>
      <c r="C58" s="18">
        <f>(2942.0/B58*100)</f>
        <v/>
      </c>
      <c r="D58" s="19" t="n">
        <v>588</v>
      </c>
      <c r="E58" s="18" t="n">
        <v>18.00591884</v>
      </c>
      <c r="F58" s="20" t="n">
        <v>1.95931162</v>
      </c>
      <c r="G58" s="18" t="n">
        <v>66.27603148</v>
      </c>
      <c r="H58" s="20" t="n">
        <v>2.53268374</v>
      </c>
      <c r="I58" s="18" t="s">
        <v>431</v>
      </c>
      <c r="J58" s="20" t="s">
        <v>431</v>
      </c>
      <c r="K58" s="18" t="n">
        <v>5.66725817</v>
      </c>
      <c r="L58" s="20" t="n">
        <v>1.05201945</v>
      </c>
      <c r="M58" s="18" t="n">
        <v>0</v>
      </c>
      <c r="N58" s="20" t="n">
        <v>0</v>
      </c>
      <c r="O58" s="18" t="n">
        <v>0</v>
      </c>
      <c r="P58" s="20" t="n">
        <v>0</v>
      </c>
      <c r="Q58" s="18" t="n">
        <v>10.05079151</v>
      </c>
      <c r="R58" s="20" t="n">
        <v>1.35091634</v>
      </c>
    </row>
    <row r="59" spans="1:18">
      <c r="A59" s="15" t="s">
        <v>483</v>
      </c>
      <c r="B59" s="17" t="n">
        <v>2548</v>
      </c>
      <c r="C59" s="18">
        <f>(2129.0/B59*100)</f>
        <v/>
      </c>
      <c r="D59" s="19" t="n">
        <v>419</v>
      </c>
      <c r="E59" s="18" t="n">
        <v>25.98644927</v>
      </c>
      <c r="F59" s="20" t="n">
        <v>2.80720139</v>
      </c>
      <c r="G59" s="18" t="n">
        <v>60.43067173</v>
      </c>
      <c r="H59" s="20" t="n">
        <v>3.17185679</v>
      </c>
      <c r="I59" s="18" t="s">
        <v>431</v>
      </c>
      <c r="J59" s="20" t="s">
        <v>431</v>
      </c>
      <c r="K59" s="18" t="n">
        <v>1.07164546</v>
      </c>
      <c r="L59" s="20" t="n">
        <v>0.565356</v>
      </c>
      <c r="M59" s="18" t="n">
        <v>0</v>
      </c>
      <c r="N59" s="20" t="n">
        <v>0</v>
      </c>
      <c r="O59" s="18" t="n">
        <v>0</v>
      </c>
      <c r="P59" s="20" t="n">
        <v>0</v>
      </c>
      <c r="Q59" s="18" t="n">
        <v>12.51123354</v>
      </c>
      <c r="R59" s="20" t="n">
        <v>1.69237092</v>
      </c>
    </row>
    <row r="60" spans="1:18">
      <c r="A60" s="15" t="s">
        <v>484</v>
      </c>
      <c r="B60" s="17" t="n">
        <v>2095</v>
      </c>
      <c r="C60" s="18">
        <f>(1749.0/B60*100)</f>
        <v/>
      </c>
      <c r="D60" s="19" t="n">
        <v>346</v>
      </c>
      <c r="E60" s="18" t="n">
        <v>23.39670837</v>
      </c>
      <c r="F60" s="20" t="n">
        <v>2.38105625</v>
      </c>
      <c r="G60" s="18" t="n">
        <v>55.63610911</v>
      </c>
      <c r="H60" s="20" t="n">
        <v>3.1864645</v>
      </c>
      <c r="I60" s="18" t="s">
        <v>431</v>
      </c>
      <c r="J60" s="20" t="s">
        <v>431</v>
      </c>
      <c r="K60" s="18" t="n">
        <v>5.96097169</v>
      </c>
      <c r="L60" s="20" t="n">
        <v>1.34853691</v>
      </c>
      <c r="M60" s="18" t="n">
        <v>0</v>
      </c>
      <c r="N60" s="20" t="n">
        <v>0</v>
      </c>
      <c r="O60" s="18" t="n">
        <v>0</v>
      </c>
      <c r="P60" s="20" t="n">
        <v>0</v>
      </c>
      <c r="Q60" s="18" t="n">
        <v>15.00621082</v>
      </c>
      <c r="R60" s="20" t="n">
        <v>2.55106577</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28.50101243</v>
      </c>
      <c r="F63" s="20" t="n">
        <v>2.30148114</v>
      </c>
      <c r="G63" s="18" t="n">
        <v>46.32092825</v>
      </c>
      <c r="H63" s="20" t="n">
        <v>2.6259509</v>
      </c>
      <c r="I63" s="18" t="s">
        <v>431</v>
      </c>
      <c r="J63" s="20" t="s">
        <v>431</v>
      </c>
      <c r="K63" s="18" t="n">
        <v>5.00053562</v>
      </c>
      <c r="L63" s="20" t="n">
        <v>1.14074113</v>
      </c>
      <c r="M63" s="18" t="n">
        <v>0</v>
      </c>
      <c r="N63" s="20" t="n">
        <v>0</v>
      </c>
      <c r="O63" s="18" t="n">
        <v>0</v>
      </c>
      <c r="P63" s="20" t="n">
        <v>0</v>
      </c>
      <c r="Q63" s="18" t="n">
        <v>20.1775237</v>
      </c>
      <c r="R63" s="20" t="n">
        <v>2.24290376</v>
      </c>
    </row>
    <row r="64" spans="1:18">
      <c r="A64" s="15" t="s">
        <v>488</v>
      </c>
      <c r="B64" s="17" t="n">
        <v>1844</v>
      </c>
      <c r="C64" s="18">
        <f>(1543.0/B64*100)</f>
        <v/>
      </c>
      <c r="D64" s="19" t="n">
        <v>301</v>
      </c>
      <c r="E64" s="18" t="n">
        <v>6.30315152</v>
      </c>
      <c r="F64" s="20" t="n">
        <v>1.49398394</v>
      </c>
      <c r="G64" s="18" t="n">
        <v>80.70632337000001</v>
      </c>
      <c r="H64" s="20" t="n">
        <v>2.36087762</v>
      </c>
      <c r="I64" s="18" t="s">
        <v>431</v>
      </c>
      <c r="J64" s="20" t="s">
        <v>431</v>
      </c>
      <c r="K64" s="18" t="n">
        <v>6.69761794</v>
      </c>
      <c r="L64" s="20" t="n">
        <v>1.56799104</v>
      </c>
      <c r="M64" s="18" t="n">
        <v>0</v>
      </c>
      <c r="N64" s="20" t="n">
        <v>0</v>
      </c>
      <c r="O64" s="18" t="n">
        <v>0</v>
      </c>
      <c r="P64" s="20" t="n">
        <v>0</v>
      </c>
      <c r="Q64" s="18" t="n">
        <v>6.29290718</v>
      </c>
      <c r="R64" s="20" t="n">
        <v>1.53107258</v>
      </c>
    </row>
    <row r="65" spans="1:18">
      <c r="A65" s="15" t="s">
        <v>489</v>
      </c>
      <c r="B65" s="17" t="n">
        <v>2691</v>
      </c>
      <c r="C65" s="18">
        <f>(2257.0/B65*100)</f>
        <v/>
      </c>
      <c r="D65" s="19" t="n">
        <v>434</v>
      </c>
      <c r="E65" s="18" t="n">
        <v>13.04713888</v>
      </c>
      <c r="F65" s="20" t="n">
        <v>1.60773679</v>
      </c>
      <c r="G65" s="18" t="n">
        <v>71.85972022999999</v>
      </c>
      <c r="H65" s="20" t="n">
        <v>2.2199875</v>
      </c>
      <c r="I65" s="18" t="s">
        <v>431</v>
      </c>
      <c r="J65" s="20" t="s">
        <v>431</v>
      </c>
      <c r="K65" s="18" t="n">
        <v>4.51486558</v>
      </c>
      <c r="L65" s="20" t="n">
        <v>1.04754513</v>
      </c>
      <c r="M65" s="18" t="n">
        <v>0</v>
      </c>
      <c r="N65" s="20" t="n">
        <v>0</v>
      </c>
      <c r="O65" s="18" t="n">
        <v>0</v>
      </c>
      <c r="P65" s="20" t="n">
        <v>0</v>
      </c>
      <c r="Q65" s="18" t="n">
        <v>10.57827532</v>
      </c>
      <c r="R65" s="20" t="n">
        <v>1.5323552</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17.97951301</v>
      </c>
      <c r="F69" s="20" t="n">
        <v>1.95048758</v>
      </c>
      <c r="G69" s="18" t="n">
        <v>81.82069951</v>
      </c>
      <c r="H69" s="20" t="n">
        <v>1.95739552</v>
      </c>
      <c r="I69" s="18" t="s">
        <v>431</v>
      </c>
      <c r="J69" s="20" t="s">
        <v>431</v>
      </c>
      <c r="K69" s="18" t="n">
        <v>0</v>
      </c>
      <c r="L69" s="20" t="n">
        <v>0</v>
      </c>
      <c r="M69" s="18" t="n">
        <v>0</v>
      </c>
      <c r="N69" s="20" t="n">
        <v>0</v>
      </c>
      <c r="O69" s="18" t="n">
        <v>0</v>
      </c>
      <c r="P69" s="20" t="n">
        <v>0</v>
      </c>
      <c r="Q69" s="18" t="n">
        <v>0.19978749</v>
      </c>
      <c r="R69" s="20" t="n">
        <v>0.19740279</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5.36152742</v>
      </c>
      <c r="F74" s="20" t="n">
        <v>1.26945532</v>
      </c>
      <c r="G74" s="18" t="n">
        <v>77.53152369999999</v>
      </c>
      <c r="H74" s="20" t="n">
        <v>2.05359749</v>
      </c>
      <c r="I74" s="18" t="s">
        <v>431</v>
      </c>
      <c r="J74" s="20" t="s">
        <v>431</v>
      </c>
      <c r="K74" s="18" t="n">
        <v>9.29718602</v>
      </c>
      <c r="L74" s="20" t="n">
        <v>1.48002301</v>
      </c>
      <c r="M74" s="18" t="n">
        <v>0</v>
      </c>
      <c r="N74" s="20" t="n">
        <v>0</v>
      </c>
      <c r="O74" s="18" t="n">
        <v>0</v>
      </c>
      <c r="P74" s="20" t="n">
        <v>0</v>
      </c>
      <c r="Q74" s="18" t="n">
        <v>7.80976286</v>
      </c>
      <c r="R74" s="20" t="n">
        <v>1.17596473</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13.64028347</v>
      </c>
      <c r="F78" s="20" t="n">
        <v>1.65716858</v>
      </c>
      <c r="G78" s="18" t="n">
        <v>85.33677111999999</v>
      </c>
      <c r="H78" s="20" t="n">
        <v>1.72698449</v>
      </c>
      <c r="I78" s="18" t="s">
        <v>431</v>
      </c>
      <c r="J78" s="20" t="s">
        <v>431</v>
      </c>
      <c r="K78" s="18" t="n">
        <v>0</v>
      </c>
      <c r="L78" s="20" t="n">
        <v>0</v>
      </c>
      <c r="M78" s="18" t="n">
        <v>0</v>
      </c>
      <c r="N78" s="20" t="n">
        <v>0</v>
      </c>
      <c r="O78" s="18" t="n">
        <v>0</v>
      </c>
      <c r="P78" s="20" t="n">
        <v>0</v>
      </c>
      <c r="Q78" s="18" t="n">
        <v>1.02294541</v>
      </c>
      <c r="R78" s="20" t="n">
        <v>0.43890993</v>
      </c>
    </row>
    <row customHeight="1" ht="25" r="79" spans="1:18">
      <c r="A79" s="15" t="s">
        <v>503</v>
      </c>
      <c r="B79" s="17" t="n">
        <v>787</v>
      </c>
      <c r="C79" s="18">
        <f>(657.0/B79*100)</f>
        <v/>
      </c>
      <c r="D79" s="19" t="n">
        <v>130</v>
      </c>
      <c r="E79" s="18" t="n">
        <v>11.42834391</v>
      </c>
      <c r="F79" s="20" t="n">
        <v>2.55094259</v>
      </c>
      <c r="G79" s="18" t="n">
        <v>75.98274136000001</v>
      </c>
      <c r="H79" s="20" t="n">
        <v>3.69549203</v>
      </c>
      <c r="I79" s="18" t="s">
        <v>431</v>
      </c>
      <c r="J79" s="20" t="s">
        <v>431</v>
      </c>
      <c r="K79" s="18" t="n">
        <v>4.38546922</v>
      </c>
      <c r="L79" s="20" t="n">
        <v>1.11881457</v>
      </c>
      <c r="M79" s="18" t="n">
        <v>0</v>
      </c>
      <c r="N79" s="20" t="n">
        <v>0</v>
      </c>
      <c r="O79" s="18" t="n">
        <v>0</v>
      </c>
      <c r="P79" s="20" t="n">
        <v>0</v>
      </c>
      <c r="Q79" s="18" t="n">
        <v>8.203445500000001</v>
      </c>
      <c r="R79" s="20" t="n">
        <v>2.60432553</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52.00744888</v>
      </c>
      <c r="F44" s="20" t="n">
        <v>2.99385692</v>
      </c>
      <c r="G44" s="18" t="n">
        <v>26.79591235</v>
      </c>
      <c r="H44" s="20" t="n">
        <v>3.05419887</v>
      </c>
      <c r="I44" s="18" t="s">
        <v>431</v>
      </c>
      <c r="J44" s="20" t="s">
        <v>431</v>
      </c>
      <c r="K44" s="18" t="n">
        <v>9.603641469999999</v>
      </c>
      <c r="L44" s="20" t="n">
        <v>1.80278158</v>
      </c>
      <c r="M44" s="18" t="n">
        <v>0</v>
      </c>
      <c r="N44" s="20" t="n">
        <v>0</v>
      </c>
      <c r="O44" s="18" t="n">
        <v>0</v>
      </c>
      <c r="P44" s="20" t="n">
        <v>0</v>
      </c>
      <c r="Q44" s="18" t="n">
        <v>11.59299729</v>
      </c>
      <c r="R44" s="20" t="n">
        <v>1.91903338</v>
      </c>
    </row>
    <row r="45" spans="1:18">
      <c r="A45" s="15" t="s">
        <v>469</v>
      </c>
      <c r="B45" s="17" t="n">
        <v>2849</v>
      </c>
      <c r="C45" s="18">
        <f>(2364.0/B45*100)</f>
        <v/>
      </c>
      <c r="D45" s="19" t="n">
        <v>485</v>
      </c>
      <c r="E45" s="18" t="n">
        <v>69.90136821999999</v>
      </c>
      <c r="F45" s="20" t="n">
        <v>2.41419057</v>
      </c>
      <c r="G45" s="18" t="n">
        <v>14.05412886</v>
      </c>
      <c r="H45" s="20" t="n">
        <v>2.04655309</v>
      </c>
      <c r="I45" s="18" t="s">
        <v>431</v>
      </c>
      <c r="J45" s="20" t="s">
        <v>431</v>
      </c>
      <c r="K45" s="18" t="n">
        <v>6.22918538</v>
      </c>
      <c r="L45" s="20" t="n">
        <v>1.08599361</v>
      </c>
      <c r="M45" s="18" t="n">
        <v>1.0687725</v>
      </c>
      <c r="N45" s="20" t="n">
        <v>0.5085888200000001</v>
      </c>
      <c r="O45" s="18" t="n">
        <v>0.1713007</v>
      </c>
      <c r="P45" s="20" t="n">
        <v>0.17161528</v>
      </c>
      <c r="Q45" s="18" t="n">
        <v>8.575244339999999</v>
      </c>
      <c r="R45" s="20" t="n">
        <v>1.35048145</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32.34892521</v>
      </c>
      <c r="F49" s="20" t="n">
        <v>2.42504795</v>
      </c>
      <c r="G49" s="18" t="n">
        <v>49.57870633</v>
      </c>
      <c r="H49" s="20" t="n">
        <v>2.34491144</v>
      </c>
      <c r="I49" s="18" t="s">
        <v>431</v>
      </c>
      <c r="J49" s="20" t="s">
        <v>431</v>
      </c>
      <c r="K49" s="18" t="n">
        <v>3.22287101</v>
      </c>
      <c r="L49" s="20" t="n">
        <v>0.8486559</v>
      </c>
      <c r="M49" s="18" t="n">
        <v>0</v>
      </c>
      <c r="N49" s="20" t="n">
        <v>0</v>
      </c>
      <c r="O49" s="18" t="n">
        <v>0</v>
      </c>
      <c r="P49" s="20" t="n">
        <v>0</v>
      </c>
      <c r="Q49" s="18" t="n">
        <v>14.84949744</v>
      </c>
      <c r="R49" s="20" t="n">
        <v>2.08023345</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41.5345358</v>
      </c>
      <c r="F55" s="20" t="n">
        <v>2.07574142</v>
      </c>
      <c r="G55" s="18" t="n">
        <v>37.66874763</v>
      </c>
      <c r="H55" s="20" t="n">
        <v>2.20880083</v>
      </c>
      <c r="I55" s="18" t="s">
        <v>431</v>
      </c>
      <c r="J55" s="20" t="s">
        <v>431</v>
      </c>
      <c r="K55" s="18" t="n">
        <v>2.95314231</v>
      </c>
      <c r="L55" s="20" t="n">
        <v>0.71121774</v>
      </c>
      <c r="M55" s="18" t="n">
        <v>0</v>
      </c>
      <c r="N55" s="20" t="n">
        <v>0</v>
      </c>
      <c r="O55" s="18" t="n">
        <v>0</v>
      </c>
      <c r="P55" s="20" t="n">
        <v>0</v>
      </c>
      <c r="Q55" s="18" t="n">
        <v>17.84357425</v>
      </c>
      <c r="R55" s="20" t="n">
        <v>1.99301139</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55.0834028</v>
      </c>
      <c r="F57" s="20" t="n">
        <v>2.44166477</v>
      </c>
      <c r="G57" s="18" t="n">
        <v>39.3175292</v>
      </c>
      <c r="H57" s="20" t="n">
        <v>2.35376465</v>
      </c>
      <c r="I57" s="18" t="s">
        <v>431</v>
      </c>
      <c r="J57" s="20" t="s">
        <v>431</v>
      </c>
      <c r="K57" s="18" t="n">
        <v>2.27277992</v>
      </c>
      <c r="L57" s="20" t="n">
        <v>0.7559168000000001</v>
      </c>
      <c r="M57" s="18" t="n">
        <v>0</v>
      </c>
      <c r="N57" s="20" t="n">
        <v>0</v>
      </c>
      <c r="O57" s="18" t="n">
        <v>0</v>
      </c>
      <c r="P57" s="20" t="n">
        <v>0</v>
      </c>
      <c r="Q57" s="18" t="n">
        <v>3.32628808</v>
      </c>
      <c r="R57" s="20" t="n">
        <v>0.79288568</v>
      </c>
    </row>
    <row r="58" spans="1:18">
      <c r="A58" s="15" t="s">
        <v>482</v>
      </c>
      <c r="B58" s="17" t="n">
        <v>3530</v>
      </c>
      <c r="C58" s="18">
        <f>(2942.0/B58*100)</f>
        <v/>
      </c>
      <c r="D58" s="19" t="n">
        <v>588</v>
      </c>
      <c r="E58" s="18" t="n">
        <v>41.32206573</v>
      </c>
      <c r="F58" s="20" t="n">
        <v>2.39640203</v>
      </c>
      <c r="G58" s="18" t="n">
        <v>42.47309984</v>
      </c>
      <c r="H58" s="20" t="n">
        <v>2.5946957</v>
      </c>
      <c r="I58" s="18" t="s">
        <v>431</v>
      </c>
      <c r="J58" s="20" t="s">
        <v>431</v>
      </c>
      <c r="K58" s="18" t="n">
        <v>5.90701631</v>
      </c>
      <c r="L58" s="20" t="n">
        <v>1.0315798</v>
      </c>
      <c r="M58" s="18" t="n">
        <v>0</v>
      </c>
      <c r="N58" s="20" t="n">
        <v>0</v>
      </c>
      <c r="O58" s="18" t="n">
        <v>0</v>
      </c>
      <c r="P58" s="20" t="n">
        <v>0</v>
      </c>
      <c r="Q58" s="18" t="n">
        <v>10.29781811</v>
      </c>
      <c r="R58" s="20" t="n">
        <v>1.38121642</v>
      </c>
    </row>
    <row r="59" spans="1:18">
      <c r="A59" s="15" t="s">
        <v>483</v>
      </c>
      <c r="B59" s="17" t="n">
        <v>2548</v>
      </c>
      <c r="C59" s="18">
        <f>(2129.0/B59*100)</f>
        <v/>
      </c>
      <c r="D59" s="19" t="n">
        <v>419</v>
      </c>
      <c r="E59" s="18" t="n">
        <v>60.36587819</v>
      </c>
      <c r="F59" s="20" t="n">
        <v>3.27787674</v>
      </c>
      <c r="G59" s="18" t="n">
        <v>24.3876846</v>
      </c>
      <c r="H59" s="20" t="n">
        <v>2.82170621</v>
      </c>
      <c r="I59" s="18" t="s">
        <v>431</v>
      </c>
      <c r="J59" s="20" t="s">
        <v>431</v>
      </c>
      <c r="K59" s="18" t="n">
        <v>1.31905615</v>
      </c>
      <c r="L59" s="20" t="n">
        <v>0.61370631</v>
      </c>
      <c r="M59" s="18" t="n">
        <v>0</v>
      </c>
      <c r="N59" s="20" t="n">
        <v>0</v>
      </c>
      <c r="O59" s="18" t="n">
        <v>0</v>
      </c>
      <c r="P59" s="20" t="n">
        <v>0</v>
      </c>
      <c r="Q59" s="18" t="n">
        <v>13.92738106</v>
      </c>
      <c r="R59" s="20" t="n">
        <v>1.78150886</v>
      </c>
    </row>
    <row r="60" spans="1:18">
      <c r="A60" s="15" t="s">
        <v>484</v>
      </c>
      <c r="B60" s="17" t="n">
        <v>2095</v>
      </c>
      <c r="C60" s="18">
        <f>(1749.0/B60*100)</f>
        <v/>
      </c>
      <c r="D60" s="19" t="n">
        <v>346</v>
      </c>
      <c r="E60" s="18" t="n">
        <v>35.99021142</v>
      </c>
      <c r="F60" s="20" t="n">
        <v>3.03692241</v>
      </c>
      <c r="G60" s="18" t="n">
        <v>37.49618838</v>
      </c>
      <c r="H60" s="20" t="n">
        <v>3.09419632</v>
      </c>
      <c r="I60" s="18" t="s">
        <v>431</v>
      </c>
      <c r="J60" s="20" t="s">
        <v>431</v>
      </c>
      <c r="K60" s="18" t="n">
        <v>7.14600013</v>
      </c>
      <c r="L60" s="20" t="n">
        <v>1.5953938</v>
      </c>
      <c r="M60" s="18" t="n">
        <v>0</v>
      </c>
      <c r="N60" s="20" t="n">
        <v>0</v>
      </c>
      <c r="O60" s="18" t="n">
        <v>0</v>
      </c>
      <c r="P60" s="20" t="n">
        <v>0</v>
      </c>
      <c r="Q60" s="18" t="n">
        <v>19.36760006</v>
      </c>
      <c r="R60" s="20" t="n">
        <v>2.90816232</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45.42771429</v>
      </c>
      <c r="F63" s="20" t="n">
        <v>2.45351979</v>
      </c>
      <c r="G63" s="18" t="n">
        <v>24.85485327</v>
      </c>
      <c r="H63" s="20" t="n">
        <v>2.36437114</v>
      </c>
      <c r="I63" s="18" t="s">
        <v>431</v>
      </c>
      <c r="J63" s="20" t="s">
        <v>431</v>
      </c>
      <c r="K63" s="18" t="n">
        <v>5.00053562</v>
      </c>
      <c r="L63" s="20" t="n">
        <v>1.14074113</v>
      </c>
      <c r="M63" s="18" t="n">
        <v>0</v>
      </c>
      <c r="N63" s="20" t="n">
        <v>0</v>
      </c>
      <c r="O63" s="18" t="n">
        <v>0</v>
      </c>
      <c r="P63" s="20" t="n">
        <v>0</v>
      </c>
      <c r="Q63" s="18" t="n">
        <v>24.71689681</v>
      </c>
      <c r="R63" s="20" t="n">
        <v>2.32718204</v>
      </c>
    </row>
    <row r="64" spans="1:18">
      <c r="A64" s="15" t="s">
        <v>488</v>
      </c>
      <c r="B64" s="17" t="n">
        <v>1844</v>
      </c>
      <c r="C64" s="18">
        <f>(1543.0/B64*100)</f>
        <v/>
      </c>
      <c r="D64" s="19" t="n">
        <v>301</v>
      </c>
      <c r="E64" s="18" t="n">
        <v>23.56955195</v>
      </c>
      <c r="F64" s="20" t="n">
        <v>2.15385699</v>
      </c>
      <c r="G64" s="18" t="n">
        <v>61.8140302</v>
      </c>
      <c r="H64" s="20" t="n">
        <v>2.64347077</v>
      </c>
      <c r="I64" s="18" t="s">
        <v>431</v>
      </c>
      <c r="J64" s="20" t="s">
        <v>431</v>
      </c>
      <c r="K64" s="18" t="n">
        <v>6.69761794</v>
      </c>
      <c r="L64" s="20" t="n">
        <v>1.56799104</v>
      </c>
      <c r="M64" s="18" t="n">
        <v>0</v>
      </c>
      <c r="N64" s="20" t="n">
        <v>0</v>
      </c>
      <c r="O64" s="18" t="n">
        <v>0</v>
      </c>
      <c r="P64" s="20" t="n">
        <v>0</v>
      </c>
      <c r="Q64" s="18" t="n">
        <v>7.91879991</v>
      </c>
      <c r="R64" s="20" t="n">
        <v>1.5884274</v>
      </c>
    </row>
    <row r="65" spans="1:18">
      <c r="A65" s="15" t="s">
        <v>489</v>
      </c>
      <c r="B65" s="17" t="n">
        <v>2691</v>
      </c>
      <c r="C65" s="18">
        <f>(2257.0/B65*100)</f>
        <v/>
      </c>
      <c r="D65" s="19" t="n">
        <v>434</v>
      </c>
      <c r="E65" s="18" t="n">
        <v>39.39215906</v>
      </c>
      <c r="F65" s="20" t="n">
        <v>2.35657712</v>
      </c>
      <c r="G65" s="18" t="n">
        <v>43.63584216</v>
      </c>
      <c r="H65" s="20" t="n">
        <v>2.33745466</v>
      </c>
      <c r="I65" s="18" t="s">
        <v>431</v>
      </c>
      <c r="J65" s="20" t="s">
        <v>431</v>
      </c>
      <c r="K65" s="18" t="n">
        <v>5.49720218</v>
      </c>
      <c r="L65" s="20" t="n">
        <v>1.07487418</v>
      </c>
      <c r="M65" s="18" t="n">
        <v>0</v>
      </c>
      <c r="N65" s="20" t="n">
        <v>0</v>
      </c>
      <c r="O65" s="18" t="n">
        <v>0</v>
      </c>
      <c r="P65" s="20" t="n">
        <v>0</v>
      </c>
      <c r="Q65" s="18" t="n">
        <v>11.4747966</v>
      </c>
      <c r="R65" s="20" t="n">
        <v>1.81928154</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40.24165559</v>
      </c>
      <c r="F69" s="20" t="n">
        <v>3.01364587</v>
      </c>
      <c r="G69" s="18" t="n">
        <v>59.34962081</v>
      </c>
      <c r="H69" s="20" t="n">
        <v>3.00434284</v>
      </c>
      <c r="I69" s="18" t="s">
        <v>431</v>
      </c>
      <c r="J69" s="20" t="s">
        <v>431</v>
      </c>
      <c r="K69" s="18" t="n">
        <v>0</v>
      </c>
      <c r="L69" s="20" t="n">
        <v>0</v>
      </c>
      <c r="M69" s="18" t="n">
        <v>0</v>
      </c>
      <c r="N69" s="20" t="n">
        <v>0</v>
      </c>
      <c r="O69" s="18" t="n">
        <v>0</v>
      </c>
      <c r="P69" s="20" t="n">
        <v>0</v>
      </c>
      <c r="Q69" s="18" t="n">
        <v>0.40872361</v>
      </c>
      <c r="R69" s="20" t="n">
        <v>0.28619965</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19.37154239</v>
      </c>
      <c r="F74" s="20" t="n">
        <v>2.62532708</v>
      </c>
      <c r="G74" s="18" t="n">
        <v>59.30512885</v>
      </c>
      <c r="H74" s="20" t="n">
        <v>3.0336331</v>
      </c>
      <c r="I74" s="18" t="s">
        <v>431</v>
      </c>
      <c r="J74" s="20" t="s">
        <v>431</v>
      </c>
      <c r="K74" s="18" t="n">
        <v>10.02005534</v>
      </c>
      <c r="L74" s="20" t="n">
        <v>1.50023508</v>
      </c>
      <c r="M74" s="18" t="n">
        <v>0</v>
      </c>
      <c r="N74" s="20" t="n">
        <v>0</v>
      </c>
      <c r="O74" s="18" t="n">
        <v>0</v>
      </c>
      <c r="P74" s="20" t="n">
        <v>0</v>
      </c>
      <c r="Q74" s="18" t="n">
        <v>11.30327342</v>
      </c>
      <c r="R74" s="20" t="n">
        <v>1.7714984</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28.30387603</v>
      </c>
      <c r="F78" s="20" t="n">
        <v>2.17861517</v>
      </c>
      <c r="G78" s="18" t="n">
        <v>70.67317856</v>
      </c>
      <c r="H78" s="20" t="n">
        <v>2.20223893</v>
      </c>
      <c r="I78" s="18" t="s">
        <v>431</v>
      </c>
      <c r="J78" s="20" t="s">
        <v>431</v>
      </c>
      <c r="K78" s="18" t="n">
        <v>0</v>
      </c>
      <c r="L78" s="20" t="n">
        <v>0</v>
      </c>
      <c r="M78" s="18" t="n">
        <v>0</v>
      </c>
      <c r="N78" s="20" t="n">
        <v>0</v>
      </c>
      <c r="O78" s="18" t="n">
        <v>0</v>
      </c>
      <c r="P78" s="20" t="n">
        <v>0</v>
      </c>
      <c r="Q78" s="18" t="n">
        <v>1.02294541</v>
      </c>
      <c r="R78" s="20" t="n">
        <v>0.43890993</v>
      </c>
    </row>
    <row customHeight="1" ht="25" r="79" spans="1:18">
      <c r="A79" s="15" t="s">
        <v>503</v>
      </c>
      <c r="B79" s="17" t="n">
        <v>787</v>
      </c>
      <c r="C79" s="18">
        <f>(657.0/B79*100)</f>
        <v/>
      </c>
      <c r="D79" s="19" t="n">
        <v>130</v>
      </c>
      <c r="E79" s="18" t="n">
        <v>23.76873845</v>
      </c>
      <c r="F79" s="20" t="n">
        <v>3.89447958</v>
      </c>
      <c r="G79" s="18" t="n">
        <v>63.1364274</v>
      </c>
      <c r="H79" s="20" t="n">
        <v>4.88344865</v>
      </c>
      <c r="I79" s="18" t="s">
        <v>431</v>
      </c>
      <c r="J79" s="20" t="s">
        <v>431</v>
      </c>
      <c r="K79" s="18" t="n">
        <v>5.78262879</v>
      </c>
      <c r="L79" s="20" t="n">
        <v>1.54879991</v>
      </c>
      <c r="M79" s="18" t="n">
        <v>0</v>
      </c>
      <c r="N79" s="20" t="n">
        <v>0</v>
      </c>
      <c r="O79" s="18" t="n">
        <v>0</v>
      </c>
      <c r="P79" s="20" t="n">
        <v>0</v>
      </c>
      <c r="Q79" s="18" t="n">
        <v>7.31220536</v>
      </c>
      <c r="R79" s="20" t="n">
        <v>2.31279337</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6.5926264</v>
      </c>
      <c r="F44" s="20" t="n">
        <v>1.36052676</v>
      </c>
      <c r="G44" s="18" t="n">
        <v>75.12908249</v>
      </c>
      <c r="H44" s="20" t="n">
        <v>2.91231187</v>
      </c>
      <c r="I44" s="18" t="s">
        <v>431</v>
      </c>
      <c r="J44" s="20" t="s">
        <v>431</v>
      </c>
      <c r="K44" s="18" t="n">
        <v>10.01745562</v>
      </c>
      <c r="L44" s="20" t="n">
        <v>1.83894349</v>
      </c>
      <c r="M44" s="18" t="n">
        <v>0</v>
      </c>
      <c r="N44" s="20" t="n">
        <v>0</v>
      </c>
      <c r="O44" s="18" t="n">
        <v>0</v>
      </c>
      <c r="P44" s="20" t="n">
        <v>0</v>
      </c>
      <c r="Q44" s="18" t="n">
        <v>8.26083549</v>
      </c>
      <c r="R44" s="20" t="n">
        <v>1.70237805</v>
      </c>
    </row>
    <row r="45" spans="1:18">
      <c r="A45" s="15" t="s">
        <v>469</v>
      </c>
      <c r="B45" s="17" t="n">
        <v>2849</v>
      </c>
      <c r="C45" s="18">
        <f>(2364.0/B45*100)</f>
        <v/>
      </c>
      <c r="D45" s="19" t="n">
        <v>485</v>
      </c>
      <c r="E45" s="18" t="n">
        <v>41.39745397</v>
      </c>
      <c r="F45" s="20" t="n">
        <v>2.24015163</v>
      </c>
      <c r="G45" s="18" t="n">
        <v>34.25797422</v>
      </c>
      <c r="H45" s="20" t="n">
        <v>2.11175327</v>
      </c>
      <c r="I45" s="18" t="s">
        <v>431</v>
      </c>
      <c r="J45" s="20" t="s">
        <v>431</v>
      </c>
      <c r="K45" s="18" t="n">
        <v>7.58048933</v>
      </c>
      <c r="L45" s="20" t="n">
        <v>1.11948983</v>
      </c>
      <c r="M45" s="18" t="n">
        <v>1.94279634</v>
      </c>
      <c r="N45" s="20" t="n">
        <v>0.509302</v>
      </c>
      <c r="O45" s="18" t="n">
        <v>0.29492165</v>
      </c>
      <c r="P45" s="20" t="n">
        <v>0.2138175</v>
      </c>
      <c r="Q45" s="18" t="n">
        <v>14.52636449</v>
      </c>
      <c r="R45" s="20" t="n">
        <v>1.66743922</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32.73033335</v>
      </c>
      <c r="F49" s="20" t="n">
        <v>2.85394622</v>
      </c>
      <c r="G49" s="18" t="n">
        <v>54.40190307</v>
      </c>
      <c r="H49" s="20" t="n">
        <v>2.66318179</v>
      </c>
      <c r="I49" s="18" t="s">
        <v>431</v>
      </c>
      <c r="J49" s="20" t="s">
        <v>431</v>
      </c>
      <c r="K49" s="18" t="n">
        <v>3.55515969</v>
      </c>
      <c r="L49" s="20" t="n">
        <v>0.90471362</v>
      </c>
      <c r="M49" s="18" t="n">
        <v>0</v>
      </c>
      <c r="N49" s="20" t="n">
        <v>0</v>
      </c>
      <c r="O49" s="18" t="n">
        <v>0</v>
      </c>
      <c r="P49" s="20" t="n">
        <v>0</v>
      </c>
      <c r="Q49" s="18" t="n">
        <v>9.31260389</v>
      </c>
      <c r="R49" s="20" t="n">
        <v>1.68981714</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21.48906941</v>
      </c>
      <c r="F55" s="20" t="n">
        <v>1.98398048</v>
      </c>
      <c r="G55" s="18" t="n">
        <v>55.83249053</v>
      </c>
      <c r="H55" s="20" t="n">
        <v>2.71678986</v>
      </c>
      <c r="I55" s="18" t="s">
        <v>431</v>
      </c>
      <c r="J55" s="20" t="s">
        <v>431</v>
      </c>
      <c r="K55" s="18" t="n">
        <v>3.61774511</v>
      </c>
      <c r="L55" s="20" t="n">
        <v>0.79384509</v>
      </c>
      <c r="M55" s="18" t="n">
        <v>0</v>
      </c>
      <c r="N55" s="20" t="n">
        <v>0</v>
      </c>
      <c r="O55" s="18" t="n">
        <v>0</v>
      </c>
      <c r="P55" s="20" t="n">
        <v>0</v>
      </c>
      <c r="Q55" s="18" t="n">
        <v>19.06069495</v>
      </c>
      <c r="R55" s="20" t="n">
        <v>1.89251332</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45.74504009</v>
      </c>
      <c r="F57" s="20" t="n">
        <v>2.60718988</v>
      </c>
      <c r="G57" s="18" t="n">
        <v>48.50557211</v>
      </c>
      <c r="H57" s="20" t="n">
        <v>2.61099642</v>
      </c>
      <c r="I57" s="18" t="s">
        <v>431</v>
      </c>
      <c r="J57" s="20" t="s">
        <v>431</v>
      </c>
      <c r="K57" s="18" t="n">
        <v>2.5439518</v>
      </c>
      <c r="L57" s="20" t="n">
        <v>0.74287516</v>
      </c>
      <c r="M57" s="18" t="n">
        <v>0</v>
      </c>
      <c r="N57" s="20" t="n">
        <v>0</v>
      </c>
      <c r="O57" s="18" t="n">
        <v>0</v>
      </c>
      <c r="P57" s="20" t="n">
        <v>0</v>
      </c>
      <c r="Q57" s="18" t="n">
        <v>3.20543601</v>
      </c>
      <c r="R57" s="20" t="n">
        <v>0.9191027899999999</v>
      </c>
    </row>
    <row r="58" spans="1:18">
      <c r="A58" s="15" t="s">
        <v>482</v>
      </c>
      <c r="B58" s="17" t="n">
        <v>3530</v>
      </c>
      <c r="C58" s="18">
        <f>(2942.0/B58*100)</f>
        <v/>
      </c>
      <c r="D58" s="19" t="n">
        <v>588</v>
      </c>
      <c r="E58" s="18" t="n">
        <v>31.38047219</v>
      </c>
      <c r="F58" s="20" t="n">
        <v>2.38753959</v>
      </c>
      <c r="G58" s="18" t="n">
        <v>52.20781151</v>
      </c>
      <c r="H58" s="20" t="n">
        <v>2.6336763</v>
      </c>
      <c r="I58" s="18" t="s">
        <v>431</v>
      </c>
      <c r="J58" s="20" t="s">
        <v>431</v>
      </c>
      <c r="K58" s="18" t="n">
        <v>6.39114148</v>
      </c>
      <c r="L58" s="20" t="n">
        <v>1.12128938</v>
      </c>
      <c r="M58" s="18" t="n">
        <v>0</v>
      </c>
      <c r="N58" s="20" t="n">
        <v>0</v>
      </c>
      <c r="O58" s="18" t="n">
        <v>0</v>
      </c>
      <c r="P58" s="20" t="n">
        <v>0</v>
      </c>
      <c r="Q58" s="18" t="n">
        <v>10.02057483</v>
      </c>
      <c r="R58" s="20" t="n">
        <v>1.57945599</v>
      </c>
    </row>
    <row r="59" spans="1:18">
      <c r="A59" s="15" t="s">
        <v>483</v>
      </c>
      <c r="B59" s="17" t="n">
        <v>2548</v>
      </c>
      <c r="C59" s="18">
        <f>(2129.0/B59*100)</f>
        <v/>
      </c>
      <c r="D59" s="19" t="n">
        <v>419</v>
      </c>
      <c r="E59" s="18" t="n">
        <v>13.64526101</v>
      </c>
      <c r="F59" s="20" t="n">
        <v>1.78696145</v>
      </c>
      <c r="G59" s="18" t="n">
        <v>74.42069373</v>
      </c>
      <c r="H59" s="20" t="n">
        <v>2.3990351</v>
      </c>
      <c r="I59" s="18" t="s">
        <v>431</v>
      </c>
      <c r="J59" s="20" t="s">
        <v>431</v>
      </c>
      <c r="K59" s="18" t="n">
        <v>1.31905615</v>
      </c>
      <c r="L59" s="20" t="n">
        <v>0.61370631</v>
      </c>
      <c r="M59" s="18" t="n">
        <v>0.09735241</v>
      </c>
      <c r="N59" s="20" t="n">
        <v>0.09832355</v>
      </c>
      <c r="O59" s="18" t="n">
        <v>0</v>
      </c>
      <c r="P59" s="20" t="n">
        <v>0</v>
      </c>
      <c r="Q59" s="18" t="n">
        <v>10.5176367</v>
      </c>
      <c r="R59" s="20" t="n">
        <v>1.74697234</v>
      </c>
    </row>
    <row r="60" spans="1:18">
      <c r="A60" s="15" t="s">
        <v>484</v>
      </c>
      <c r="B60" s="17" t="n">
        <v>2095</v>
      </c>
      <c r="C60" s="18">
        <f>(1749.0/B60*100)</f>
        <v/>
      </c>
      <c r="D60" s="19" t="n">
        <v>346</v>
      </c>
      <c r="E60" s="18" t="n">
        <v>47.33103772</v>
      </c>
      <c r="F60" s="20" t="n">
        <v>2.69666096</v>
      </c>
      <c r="G60" s="18" t="n">
        <v>33.26054676</v>
      </c>
      <c r="H60" s="20" t="n">
        <v>2.62548847</v>
      </c>
      <c r="I60" s="18" t="s">
        <v>431</v>
      </c>
      <c r="J60" s="20" t="s">
        <v>431</v>
      </c>
      <c r="K60" s="18" t="n">
        <v>7.76988994</v>
      </c>
      <c r="L60" s="20" t="n">
        <v>1.63743581</v>
      </c>
      <c r="M60" s="18" t="n">
        <v>0</v>
      </c>
      <c r="N60" s="20" t="n">
        <v>0</v>
      </c>
      <c r="O60" s="18" t="n">
        <v>0.26985622</v>
      </c>
      <c r="P60" s="20" t="n">
        <v>0.27139259</v>
      </c>
      <c r="Q60" s="18" t="n">
        <v>11.36866935</v>
      </c>
      <c r="R60" s="20" t="n">
        <v>1.81801417</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19.85137439</v>
      </c>
      <c r="F63" s="20" t="n">
        <v>1.8096126</v>
      </c>
      <c r="G63" s="18" t="n">
        <v>50.6192689</v>
      </c>
      <c r="H63" s="20" t="n">
        <v>2.10681648</v>
      </c>
      <c r="I63" s="18" t="s">
        <v>431</v>
      </c>
      <c r="J63" s="20" t="s">
        <v>431</v>
      </c>
      <c r="K63" s="18" t="n">
        <v>7.44521471</v>
      </c>
      <c r="L63" s="20" t="n">
        <v>1.38117018</v>
      </c>
      <c r="M63" s="18" t="n">
        <v>0</v>
      </c>
      <c r="N63" s="20" t="n">
        <v>0</v>
      </c>
      <c r="O63" s="18" t="n">
        <v>0</v>
      </c>
      <c r="P63" s="20" t="n">
        <v>0</v>
      </c>
      <c r="Q63" s="18" t="n">
        <v>22.084142</v>
      </c>
      <c r="R63" s="20" t="n">
        <v>2.22021037</v>
      </c>
    </row>
    <row r="64" spans="1:18">
      <c r="A64" s="15" t="s">
        <v>488</v>
      </c>
      <c r="B64" s="17" t="n">
        <v>1844</v>
      </c>
      <c r="C64" s="18">
        <f>(1543.0/B64*100)</f>
        <v/>
      </c>
      <c r="D64" s="19" t="n">
        <v>301</v>
      </c>
      <c r="E64" s="18" t="n">
        <v>19.57016379</v>
      </c>
      <c r="F64" s="20" t="n">
        <v>2.54657227</v>
      </c>
      <c r="G64" s="18" t="n">
        <v>66.10147627000001</v>
      </c>
      <c r="H64" s="20" t="n">
        <v>2.94625773</v>
      </c>
      <c r="I64" s="18" t="s">
        <v>431</v>
      </c>
      <c r="J64" s="20" t="s">
        <v>431</v>
      </c>
      <c r="K64" s="18" t="n">
        <v>8.09147209</v>
      </c>
      <c r="L64" s="20" t="n">
        <v>1.69464345</v>
      </c>
      <c r="M64" s="18" t="n">
        <v>0</v>
      </c>
      <c r="N64" s="20" t="n">
        <v>0</v>
      </c>
      <c r="O64" s="18" t="n">
        <v>0</v>
      </c>
      <c r="P64" s="20" t="n">
        <v>0</v>
      </c>
      <c r="Q64" s="18" t="n">
        <v>6.23688784</v>
      </c>
      <c r="R64" s="20" t="n">
        <v>1.37795396</v>
      </c>
    </row>
    <row r="65" spans="1:18">
      <c r="A65" s="15" t="s">
        <v>489</v>
      </c>
      <c r="B65" s="17" t="n">
        <v>2691</v>
      </c>
      <c r="C65" s="18">
        <f>(2257.0/B65*100)</f>
        <v/>
      </c>
      <c r="D65" s="19" t="n">
        <v>434</v>
      </c>
      <c r="E65" s="18" t="n">
        <v>23.06386605</v>
      </c>
      <c r="F65" s="20" t="n">
        <v>1.95292743</v>
      </c>
      <c r="G65" s="18" t="n">
        <v>59.69848414</v>
      </c>
      <c r="H65" s="20" t="n">
        <v>2.10403035</v>
      </c>
      <c r="I65" s="18" t="s">
        <v>431</v>
      </c>
      <c r="J65" s="20" t="s">
        <v>431</v>
      </c>
      <c r="K65" s="18" t="n">
        <v>6.9413622</v>
      </c>
      <c r="L65" s="20" t="n">
        <v>1.11024177</v>
      </c>
      <c r="M65" s="18" t="n">
        <v>0</v>
      </c>
      <c r="N65" s="20" t="n">
        <v>0</v>
      </c>
      <c r="O65" s="18" t="n">
        <v>0</v>
      </c>
      <c r="P65" s="20" t="n">
        <v>0</v>
      </c>
      <c r="Q65" s="18" t="n">
        <v>10.29628761</v>
      </c>
      <c r="R65" s="20" t="n">
        <v>1.57763108</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24.63969865</v>
      </c>
      <c r="F69" s="20" t="n">
        <v>2.3761362</v>
      </c>
      <c r="G69" s="18" t="n">
        <v>74.17525547</v>
      </c>
      <c r="H69" s="20" t="n">
        <v>2.36120017</v>
      </c>
      <c r="I69" s="18" t="s">
        <v>431</v>
      </c>
      <c r="J69" s="20" t="s">
        <v>431</v>
      </c>
      <c r="K69" s="18" t="n">
        <v>0</v>
      </c>
      <c r="L69" s="20" t="n">
        <v>0</v>
      </c>
      <c r="M69" s="18" t="n">
        <v>0</v>
      </c>
      <c r="N69" s="20" t="n">
        <v>0</v>
      </c>
      <c r="O69" s="18" t="n">
        <v>0</v>
      </c>
      <c r="P69" s="20" t="n">
        <v>0</v>
      </c>
      <c r="Q69" s="18" t="n">
        <v>1.18504588</v>
      </c>
      <c r="R69" s="20" t="n">
        <v>0.62034117</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33.58676556</v>
      </c>
      <c r="F74" s="20" t="n">
        <v>3.00151542</v>
      </c>
      <c r="G74" s="18" t="n">
        <v>43.78143754</v>
      </c>
      <c r="H74" s="20" t="n">
        <v>2.77504085</v>
      </c>
      <c r="I74" s="18" t="s">
        <v>431</v>
      </c>
      <c r="J74" s="20" t="s">
        <v>431</v>
      </c>
      <c r="K74" s="18" t="n">
        <v>11.62458635</v>
      </c>
      <c r="L74" s="20" t="n">
        <v>1.69509819</v>
      </c>
      <c r="M74" s="18" t="n">
        <v>0</v>
      </c>
      <c r="N74" s="20" t="n">
        <v>0</v>
      </c>
      <c r="O74" s="18" t="n">
        <v>0</v>
      </c>
      <c r="P74" s="20" t="n">
        <v>0</v>
      </c>
      <c r="Q74" s="18" t="n">
        <v>11.00721055</v>
      </c>
      <c r="R74" s="20" t="n">
        <v>1.99612609</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20.83019239</v>
      </c>
      <c r="F78" s="20" t="n">
        <v>2.25603818</v>
      </c>
      <c r="G78" s="18" t="n">
        <v>78.9426421</v>
      </c>
      <c r="H78" s="20" t="n">
        <v>2.26803608</v>
      </c>
      <c r="I78" s="18" t="s">
        <v>431</v>
      </c>
      <c r="J78" s="20" t="s">
        <v>431</v>
      </c>
      <c r="K78" s="18" t="n">
        <v>0</v>
      </c>
      <c r="L78" s="20" t="n">
        <v>0</v>
      </c>
      <c r="M78" s="18" t="n">
        <v>0</v>
      </c>
      <c r="N78" s="20" t="n">
        <v>0</v>
      </c>
      <c r="O78" s="18" t="n">
        <v>0</v>
      </c>
      <c r="P78" s="20" t="n">
        <v>0</v>
      </c>
      <c r="Q78" s="18" t="n">
        <v>0.22716551</v>
      </c>
      <c r="R78" s="20" t="n">
        <v>0.22681341</v>
      </c>
    </row>
    <row customHeight="1" ht="25" r="79" spans="1:18">
      <c r="A79" s="15" t="s">
        <v>503</v>
      </c>
      <c r="B79" s="17" t="n">
        <v>787</v>
      </c>
      <c r="C79" s="18">
        <f>(657.0/B79*100)</f>
        <v/>
      </c>
      <c r="D79" s="19" t="n">
        <v>130</v>
      </c>
      <c r="E79" s="18" t="n">
        <v>23.34153617</v>
      </c>
      <c r="F79" s="20" t="n">
        <v>3.52499872</v>
      </c>
      <c r="G79" s="18" t="n">
        <v>62.45786203</v>
      </c>
      <c r="H79" s="20" t="n">
        <v>4.08956346</v>
      </c>
      <c r="I79" s="18" t="s">
        <v>431</v>
      </c>
      <c r="J79" s="20" t="s">
        <v>431</v>
      </c>
      <c r="K79" s="18" t="n">
        <v>7.89695584</v>
      </c>
      <c r="L79" s="20" t="n">
        <v>1.96683349</v>
      </c>
      <c r="M79" s="18" t="n">
        <v>0</v>
      </c>
      <c r="N79" s="20" t="n">
        <v>0</v>
      </c>
      <c r="O79" s="18" t="n">
        <v>0</v>
      </c>
      <c r="P79" s="20" t="n">
        <v>0</v>
      </c>
      <c r="Q79" s="18" t="n">
        <v>6.30364597</v>
      </c>
      <c r="R79" s="20" t="n">
        <v>2.26029152</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35.88714041</v>
      </c>
      <c r="F44" s="20" t="n">
        <v>2.4817187</v>
      </c>
      <c r="G44" s="18" t="n">
        <v>37.02425323</v>
      </c>
      <c r="H44" s="20" t="n">
        <v>3.44106433</v>
      </c>
      <c r="I44" s="18" t="s">
        <v>431</v>
      </c>
      <c r="J44" s="20" t="s">
        <v>431</v>
      </c>
      <c r="K44" s="18" t="n">
        <v>10.62924762</v>
      </c>
      <c r="L44" s="20" t="n">
        <v>1.86909338</v>
      </c>
      <c r="M44" s="18" t="n">
        <v>0</v>
      </c>
      <c r="N44" s="20" t="n">
        <v>0</v>
      </c>
      <c r="O44" s="18" t="n">
        <v>0</v>
      </c>
      <c r="P44" s="20" t="n">
        <v>0</v>
      </c>
      <c r="Q44" s="18" t="n">
        <v>16.45935874</v>
      </c>
      <c r="R44" s="20" t="n">
        <v>2.14948819</v>
      </c>
    </row>
    <row r="45" spans="1:18">
      <c r="A45" s="15" t="s">
        <v>469</v>
      </c>
      <c r="B45" s="17" t="n">
        <v>2849</v>
      </c>
      <c r="C45" s="18">
        <f>(2364.0/B45*100)</f>
        <v/>
      </c>
      <c r="D45" s="19" t="n">
        <v>485</v>
      </c>
      <c r="E45" s="18" t="n">
        <v>67.88543242999999</v>
      </c>
      <c r="F45" s="20" t="n">
        <v>2.39449297</v>
      </c>
      <c r="G45" s="18" t="n">
        <v>12.65462954</v>
      </c>
      <c r="H45" s="20" t="n">
        <v>1.77425248</v>
      </c>
      <c r="I45" s="18" t="s">
        <v>431</v>
      </c>
      <c r="J45" s="20" t="s">
        <v>431</v>
      </c>
      <c r="K45" s="18" t="n">
        <v>8.05402336</v>
      </c>
      <c r="L45" s="20" t="n">
        <v>1.1837252</v>
      </c>
      <c r="M45" s="18" t="n">
        <v>0.57652786</v>
      </c>
      <c r="N45" s="20" t="n">
        <v>0.35415587</v>
      </c>
      <c r="O45" s="18" t="n">
        <v>0</v>
      </c>
      <c r="P45" s="20" t="n">
        <v>0</v>
      </c>
      <c r="Q45" s="18" t="n">
        <v>10.82938681</v>
      </c>
      <c r="R45" s="20" t="n">
        <v>1.47740096</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40.19034861</v>
      </c>
      <c r="F49" s="20" t="n">
        <v>2.72810743</v>
      </c>
      <c r="G49" s="18" t="n">
        <v>44.05185675</v>
      </c>
      <c r="H49" s="20" t="n">
        <v>2.66022684</v>
      </c>
      <c r="I49" s="18" t="s">
        <v>431</v>
      </c>
      <c r="J49" s="20" t="s">
        <v>431</v>
      </c>
      <c r="K49" s="18" t="n">
        <v>3.89483296</v>
      </c>
      <c r="L49" s="20" t="n">
        <v>0.9560758</v>
      </c>
      <c r="M49" s="18" t="n">
        <v>0</v>
      </c>
      <c r="N49" s="20" t="n">
        <v>0</v>
      </c>
      <c r="O49" s="18" t="n">
        <v>0</v>
      </c>
      <c r="P49" s="20" t="n">
        <v>0</v>
      </c>
      <c r="Q49" s="18" t="n">
        <v>11.86296169</v>
      </c>
      <c r="R49" s="20" t="n">
        <v>1.81204729</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44.01270333</v>
      </c>
      <c r="F55" s="20" t="n">
        <v>2.16235387</v>
      </c>
      <c r="G55" s="18" t="n">
        <v>30.13860224</v>
      </c>
      <c r="H55" s="20" t="n">
        <v>2.04578615</v>
      </c>
      <c r="I55" s="18" t="s">
        <v>431</v>
      </c>
      <c r="J55" s="20" t="s">
        <v>431</v>
      </c>
      <c r="K55" s="18" t="n">
        <v>4.08784597</v>
      </c>
      <c r="L55" s="20" t="n">
        <v>0.86024003</v>
      </c>
      <c r="M55" s="18" t="n">
        <v>0</v>
      </c>
      <c r="N55" s="20" t="n">
        <v>0</v>
      </c>
      <c r="O55" s="18" t="n">
        <v>0</v>
      </c>
      <c r="P55" s="20" t="n">
        <v>0</v>
      </c>
      <c r="Q55" s="18" t="n">
        <v>21.76084846</v>
      </c>
      <c r="R55" s="20" t="n">
        <v>2.08640973</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64.11555276999999</v>
      </c>
      <c r="F57" s="20" t="n">
        <v>2.41256427</v>
      </c>
      <c r="G57" s="18" t="n">
        <v>28.27988084</v>
      </c>
      <c r="H57" s="20" t="n">
        <v>2.41401386</v>
      </c>
      <c r="I57" s="18" t="s">
        <v>431</v>
      </c>
      <c r="J57" s="20" t="s">
        <v>431</v>
      </c>
      <c r="K57" s="18" t="n">
        <v>2.5439518</v>
      </c>
      <c r="L57" s="20" t="n">
        <v>0.74287516</v>
      </c>
      <c r="M57" s="18" t="n">
        <v>0</v>
      </c>
      <c r="N57" s="20" t="n">
        <v>0</v>
      </c>
      <c r="O57" s="18" t="n">
        <v>0</v>
      </c>
      <c r="P57" s="20" t="n">
        <v>0</v>
      </c>
      <c r="Q57" s="18" t="n">
        <v>5.0606146</v>
      </c>
      <c r="R57" s="20" t="n">
        <v>1.02519452</v>
      </c>
    </row>
    <row r="58" spans="1:18">
      <c r="A58" s="15" t="s">
        <v>482</v>
      </c>
      <c r="B58" s="17" t="n">
        <v>3530</v>
      </c>
      <c r="C58" s="18">
        <f>(2942.0/B58*100)</f>
        <v/>
      </c>
      <c r="D58" s="19" t="n">
        <v>588</v>
      </c>
      <c r="E58" s="18" t="n">
        <v>51.73989102</v>
      </c>
      <c r="F58" s="20" t="n">
        <v>2.42050633</v>
      </c>
      <c r="G58" s="18" t="n">
        <v>30.96709949</v>
      </c>
      <c r="H58" s="20" t="n">
        <v>2.62001463</v>
      </c>
      <c r="I58" s="18" t="s">
        <v>431</v>
      </c>
      <c r="J58" s="20" t="s">
        <v>431</v>
      </c>
      <c r="K58" s="18" t="n">
        <v>7.06844069</v>
      </c>
      <c r="L58" s="20" t="n">
        <v>1.15013459</v>
      </c>
      <c r="M58" s="18" t="n">
        <v>0</v>
      </c>
      <c r="N58" s="20" t="n">
        <v>0</v>
      </c>
      <c r="O58" s="18" t="n">
        <v>0</v>
      </c>
      <c r="P58" s="20" t="n">
        <v>0</v>
      </c>
      <c r="Q58" s="18" t="n">
        <v>10.2245688</v>
      </c>
      <c r="R58" s="20" t="n">
        <v>1.46955082</v>
      </c>
    </row>
    <row r="59" spans="1:18">
      <c r="A59" s="15" t="s">
        <v>483</v>
      </c>
      <c r="B59" s="17" t="n">
        <v>2548</v>
      </c>
      <c r="C59" s="18">
        <f>(2129.0/B59*100)</f>
        <v/>
      </c>
      <c r="D59" s="19" t="n">
        <v>419</v>
      </c>
      <c r="E59" s="18" t="n">
        <v>65.81716482</v>
      </c>
      <c r="F59" s="20" t="n">
        <v>3.06661912</v>
      </c>
      <c r="G59" s="18" t="n">
        <v>13.76476248</v>
      </c>
      <c r="H59" s="20" t="n">
        <v>2.03399981</v>
      </c>
      <c r="I59" s="18" t="s">
        <v>431</v>
      </c>
      <c r="J59" s="20" t="s">
        <v>431</v>
      </c>
      <c r="K59" s="18" t="n">
        <v>1.31905615</v>
      </c>
      <c r="L59" s="20" t="n">
        <v>0.61370631</v>
      </c>
      <c r="M59" s="18" t="n">
        <v>0.09735241</v>
      </c>
      <c r="N59" s="20" t="n">
        <v>0.09832355</v>
      </c>
      <c r="O59" s="18" t="n">
        <v>0</v>
      </c>
      <c r="P59" s="20" t="n">
        <v>0</v>
      </c>
      <c r="Q59" s="18" t="n">
        <v>19.00166413</v>
      </c>
      <c r="R59" s="20" t="n">
        <v>2.18333266</v>
      </c>
    </row>
    <row r="60" spans="1:18">
      <c r="A60" s="15" t="s">
        <v>484</v>
      </c>
      <c r="B60" s="17" t="n">
        <v>2095</v>
      </c>
      <c r="C60" s="18">
        <f>(1749.0/B60*100)</f>
        <v/>
      </c>
      <c r="D60" s="19" t="n">
        <v>346</v>
      </c>
      <c r="E60" s="18" t="n">
        <v>46.58497534</v>
      </c>
      <c r="F60" s="20" t="n">
        <v>2.7781942</v>
      </c>
      <c r="G60" s="18" t="n">
        <v>29.19424849</v>
      </c>
      <c r="H60" s="20" t="n">
        <v>2.95843062</v>
      </c>
      <c r="I60" s="18" t="s">
        <v>431</v>
      </c>
      <c r="J60" s="20" t="s">
        <v>431</v>
      </c>
      <c r="K60" s="18" t="n">
        <v>7.88412811</v>
      </c>
      <c r="L60" s="20" t="n">
        <v>1.64431631</v>
      </c>
      <c r="M60" s="18" t="n">
        <v>0</v>
      </c>
      <c r="N60" s="20" t="n">
        <v>0</v>
      </c>
      <c r="O60" s="18" t="n">
        <v>0</v>
      </c>
      <c r="P60" s="20" t="n">
        <v>0</v>
      </c>
      <c r="Q60" s="18" t="n">
        <v>16.33664806</v>
      </c>
      <c r="R60" s="20" t="n">
        <v>2.17546071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49.13600145</v>
      </c>
      <c r="F63" s="20" t="n">
        <v>2.76230564</v>
      </c>
      <c r="G63" s="18" t="n">
        <v>16.92351013</v>
      </c>
      <c r="H63" s="20" t="n">
        <v>1.76419139</v>
      </c>
      <c r="I63" s="18" t="s">
        <v>431</v>
      </c>
      <c r="J63" s="20" t="s">
        <v>431</v>
      </c>
      <c r="K63" s="18" t="n">
        <v>8.229275879999999</v>
      </c>
      <c r="L63" s="20" t="n">
        <v>1.47097556</v>
      </c>
      <c r="M63" s="18" t="n">
        <v>0</v>
      </c>
      <c r="N63" s="20" t="n">
        <v>0</v>
      </c>
      <c r="O63" s="18" t="n">
        <v>0</v>
      </c>
      <c r="P63" s="20" t="n">
        <v>0</v>
      </c>
      <c r="Q63" s="18" t="n">
        <v>25.71121254</v>
      </c>
      <c r="R63" s="20" t="n">
        <v>2.21392464</v>
      </c>
    </row>
    <row r="64" spans="1:18">
      <c r="A64" s="15" t="s">
        <v>488</v>
      </c>
      <c r="B64" s="17" t="n">
        <v>1844</v>
      </c>
      <c r="C64" s="18">
        <f>(1543.0/B64*100)</f>
        <v/>
      </c>
      <c r="D64" s="19" t="n">
        <v>301</v>
      </c>
      <c r="E64" s="18" t="n">
        <v>22.40741465</v>
      </c>
      <c r="F64" s="20" t="n">
        <v>2.30775638</v>
      </c>
      <c r="G64" s="18" t="n">
        <v>61.14874911</v>
      </c>
      <c r="H64" s="20" t="n">
        <v>2.94540961</v>
      </c>
      <c r="I64" s="18" t="s">
        <v>431</v>
      </c>
      <c r="J64" s="20" t="s">
        <v>431</v>
      </c>
      <c r="K64" s="18" t="n">
        <v>9.084986969999999</v>
      </c>
      <c r="L64" s="20" t="n">
        <v>1.7994861</v>
      </c>
      <c r="M64" s="18" t="n">
        <v>0</v>
      </c>
      <c r="N64" s="20" t="n">
        <v>0</v>
      </c>
      <c r="O64" s="18" t="n">
        <v>0</v>
      </c>
      <c r="P64" s="20" t="n">
        <v>0</v>
      </c>
      <c r="Q64" s="18" t="n">
        <v>7.35884927</v>
      </c>
      <c r="R64" s="20" t="n">
        <v>1.48406173</v>
      </c>
    </row>
    <row r="65" spans="1:18">
      <c r="A65" s="15" t="s">
        <v>489</v>
      </c>
      <c r="B65" s="17" t="n">
        <v>2691</v>
      </c>
      <c r="C65" s="18">
        <f>(2257.0/B65*100)</f>
        <v/>
      </c>
      <c r="D65" s="19" t="n">
        <v>434</v>
      </c>
      <c r="E65" s="18" t="n">
        <v>29.54362389</v>
      </c>
      <c r="F65" s="20" t="n">
        <v>2.72809772</v>
      </c>
      <c r="G65" s="18" t="n">
        <v>49.06842907</v>
      </c>
      <c r="H65" s="20" t="n">
        <v>2.43060862</v>
      </c>
      <c r="I65" s="18" t="s">
        <v>431</v>
      </c>
      <c r="J65" s="20" t="s">
        <v>431</v>
      </c>
      <c r="K65" s="18" t="n">
        <v>7.18034342</v>
      </c>
      <c r="L65" s="20" t="n">
        <v>1.12625705</v>
      </c>
      <c r="M65" s="18" t="n">
        <v>0</v>
      </c>
      <c r="N65" s="20" t="n">
        <v>0</v>
      </c>
      <c r="O65" s="18" t="n">
        <v>0</v>
      </c>
      <c r="P65" s="20" t="n">
        <v>0</v>
      </c>
      <c r="Q65" s="18" t="n">
        <v>14.20760362</v>
      </c>
      <c r="R65" s="20" t="n">
        <v>1.68100222</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55.29921981</v>
      </c>
      <c r="F69" s="20" t="n">
        <v>2.74995263</v>
      </c>
      <c r="G69" s="18" t="n">
        <v>44.47661304</v>
      </c>
      <c r="H69" s="20" t="n">
        <v>2.81842213</v>
      </c>
      <c r="I69" s="18" t="s">
        <v>431</v>
      </c>
      <c r="J69" s="20" t="s">
        <v>431</v>
      </c>
      <c r="K69" s="18" t="n">
        <v>0</v>
      </c>
      <c r="L69" s="20" t="n">
        <v>0</v>
      </c>
      <c r="M69" s="18" t="n">
        <v>0</v>
      </c>
      <c r="N69" s="20" t="n">
        <v>0</v>
      </c>
      <c r="O69" s="18" t="n">
        <v>0</v>
      </c>
      <c r="P69" s="20" t="n">
        <v>0</v>
      </c>
      <c r="Q69" s="18" t="n">
        <v>0.22416715</v>
      </c>
      <c r="R69" s="20" t="n">
        <v>0.22278401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32.1882749</v>
      </c>
      <c r="F74" s="20" t="n">
        <v>2.84271168</v>
      </c>
      <c r="G74" s="18" t="n">
        <v>43.43496239</v>
      </c>
      <c r="H74" s="20" t="n">
        <v>2.75687749</v>
      </c>
      <c r="I74" s="18" t="s">
        <v>431</v>
      </c>
      <c r="J74" s="20" t="s">
        <v>431</v>
      </c>
      <c r="K74" s="18" t="n">
        <v>12.03083061</v>
      </c>
      <c r="L74" s="20" t="n">
        <v>1.69545352</v>
      </c>
      <c r="M74" s="18" t="n">
        <v>0</v>
      </c>
      <c r="N74" s="20" t="n">
        <v>0</v>
      </c>
      <c r="O74" s="18" t="n">
        <v>0</v>
      </c>
      <c r="P74" s="20" t="n">
        <v>0</v>
      </c>
      <c r="Q74" s="18" t="n">
        <v>12.3459321</v>
      </c>
      <c r="R74" s="20" t="n">
        <v>1.83274831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42.01481377</v>
      </c>
      <c r="F78" s="20" t="n">
        <v>2.54785126</v>
      </c>
      <c r="G78" s="18" t="n">
        <v>57.75802072</v>
      </c>
      <c r="H78" s="20" t="n">
        <v>2.55412834</v>
      </c>
      <c r="I78" s="18" t="s">
        <v>431</v>
      </c>
      <c r="J78" s="20" t="s">
        <v>431</v>
      </c>
      <c r="K78" s="18" t="n">
        <v>0</v>
      </c>
      <c r="L78" s="20" t="n">
        <v>0</v>
      </c>
      <c r="M78" s="18" t="n">
        <v>0</v>
      </c>
      <c r="N78" s="20" t="n">
        <v>0</v>
      </c>
      <c r="O78" s="18" t="n">
        <v>0</v>
      </c>
      <c r="P78" s="20" t="n">
        <v>0</v>
      </c>
      <c r="Q78" s="18" t="n">
        <v>0.22716551</v>
      </c>
      <c r="R78" s="20" t="n">
        <v>0.22681341</v>
      </c>
    </row>
    <row customHeight="1" ht="25" r="79" spans="1:18">
      <c r="A79" s="15" t="s">
        <v>503</v>
      </c>
      <c r="B79" s="17" t="n">
        <v>787</v>
      </c>
      <c r="C79" s="18">
        <f>(657.0/B79*100)</f>
        <v/>
      </c>
      <c r="D79" s="19" t="n">
        <v>130</v>
      </c>
      <c r="E79" s="18" t="n">
        <v>35.36788065</v>
      </c>
      <c r="F79" s="20" t="n">
        <v>4.23652669</v>
      </c>
      <c r="G79" s="18" t="n">
        <v>49.92065358</v>
      </c>
      <c r="H79" s="20" t="n">
        <v>3.64754926</v>
      </c>
      <c r="I79" s="18" t="s">
        <v>431</v>
      </c>
      <c r="J79" s="20" t="s">
        <v>431</v>
      </c>
      <c r="K79" s="18" t="n">
        <v>8.24304635</v>
      </c>
      <c r="L79" s="20" t="n">
        <v>1.98107302</v>
      </c>
      <c r="M79" s="18" t="n">
        <v>0</v>
      </c>
      <c r="N79" s="20" t="n">
        <v>0</v>
      </c>
      <c r="O79" s="18" t="n">
        <v>0</v>
      </c>
      <c r="P79" s="20" t="n">
        <v>0</v>
      </c>
      <c r="Q79" s="18" t="n">
        <v>6.46841943</v>
      </c>
      <c r="R79" s="20" t="n">
        <v>2.20773801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66.73524874</v>
      </c>
      <c r="F44" s="20" t="n">
        <v>2.54540269</v>
      </c>
      <c r="G44" s="18" t="n">
        <v>1.8157378</v>
      </c>
      <c r="H44" s="20" t="n">
        <v>0.44277938</v>
      </c>
      <c r="I44" s="18" t="s">
        <v>431</v>
      </c>
      <c r="J44" s="20" t="s">
        <v>431</v>
      </c>
      <c r="K44" s="18" t="n">
        <v>11.51989878</v>
      </c>
      <c r="L44" s="20" t="n">
        <v>1.96871548</v>
      </c>
      <c r="M44" s="18" t="n">
        <v>0</v>
      </c>
      <c r="N44" s="20" t="n">
        <v>0</v>
      </c>
      <c r="O44" s="18" t="n">
        <v>0.38587208</v>
      </c>
      <c r="P44" s="20" t="n">
        <v>0.28577661</v>
      </c>
      <c r="Q44" s="18" t="n">
        <v>19.54324261</v>
      </c>
      <c r="R44" s="20" t="n">
        <v>2.17194085</v>
      </c>
    </row>
    <row r="45" spans="1:18">
      <c r="A45" s="15" t="s">
        <v>469</v>
      </c>
      <c r="B45" s="17" t="n">
        <v>2849</v>
      </c>
      <c r="C45" s="18">
        <f>(2364.0/B45*100)</f>
        <v/>
      </c>
      <c r="D45" s="19" t="n">
        <v>485</v>
      </c>
      <c r="E45" s="18" t="n">
        <v>69.04749893</v>
      </c>
      <c r="F45" s="20" t="n">
        <v>2.19202233</v>
      </c>
      <c r="G45" s="18" t="n">
        <v>0.68822902</v>
      </c>
      <c r="H45" s="20" t="n">
        <v>0.41469254</v>
      </c>
      <c r="I45" s="18" t="s">
        <v>431</v>
      </c>
      <c r="J45" s="20" t="s">
        <v>431</v>
      </c>
      <c r="K45" s="18" t="n">
        <v>9.070626969999999</v>
      </c>
      <c r="L45" s="20" t="n">
        <v>1.17634949</v>
      </c>
      <c r="M45" s="18" t="n">
        <v>0</v>
      </c>
      <c r="N45" s="20" t="n">
        <v>0</v>
      </c>
      <c r="O45" s="18" t="n">
        <v>0</v>
      </c>
      <c r="P45" s="20" t="n">
        <v>0</v>
      </c>
      <c r="Q45" s="18" t="n">
        <v>21.19364507</v>
      </c>
      <c r="R45" s="20" t="n">
        <v>1.96632408</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67.20469762</v>
      </c>
      <c r="F49" s="20" t="n">
        <v>2.59108816</v>
      </c>
      <c r="G49" s="18" t="n">
        <v>11.0673027</v>
      </c>
      <c r="H49" s="20" t="n">
        <v>1.51567211</v>
      </c>
      <c r="I49" s="18" t="s">
        <v>431</v>
      </c>
      <c r="J49" s="20" t="s">
        <v>431</v>
      </c>
      <c r="K49" s="18" t="n">
        <v>4.31490878</v>
      </c>
      <c r="L49" s="20" t="n">
        <v>1.02055158</v>
      </c>
      <c r="M49" s="18" t="n">
        <v>0</v>
      </c>
      <c r="N49" s="20" t="n">
        <v>0</v>
      </c>
      <c r="O49" s="18" t="n">
        <v>1.97200308</v>
      </c>
      <c r="P49" s="20" t="n">
        <v>0.94369495</v>
      </c>
      <c r="Q49" s="18" t="n">
        <v>15.44108782</v>
      </c>
      <c r="R49" s="20" t="n">
        <v>2.34210002</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65.45057867</v>
      </c>
      <c r="F55" s="20" t="n">
        <v>2.5057349</v>
      </c>
      <c r="G55" s="18" t="n">
        <v>4.27686077</v>
      </c>
      <c r="H55" s="20" t="n">
        <v>0.88117928</v>
      </c>
      <c r="I55" s="18" t="s">
        <v>431</v>
      </c>
      <c r="J55" s="20" t="s">
        <v>431</v>
      </c>
      <c r="K55" s="18" t="n">
        <v>5.12291735</v>
      </c>
      <c r="L55" s="20" t="n">
        <v>0.98590491</v>
      </c>
      <c r="M55" s="18" t="n">
        <v>0</v>
      </c>
      <c r="N55" s="20" t="n">
        <v>0</v>
      </c>
      <c r="O55" s="18" t="n">
        <v>0.73535501</v>
      </c>
      <c r="P55" s="20" t="n">
        <v>0.37619308</v>
      </c>
      <c r="Q55" s="18" t="n">
        <v>24.41428821</v>
      </c>
      <c r="R55" s="20" t="n">
        <v>2.28356001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67.37500195</v>
      </c>
      <c r="F57" s="20" t="n">
        <v>2.73491275</v>
      </c>
      <c r="G57" s="18" t="n">
        <v>2.18400427</v>
      </c>
      <c r="H57" s="20" t="n">
        <v>0.71199356</v>
      </c>
      <c r="I57" s="18" t="s">
        <v>431</v>
      </c>
      <c r="J57" s="20" t="s">
        <v>431</v>
      </c>
      <c r="K57" s="18" t="n">
        <v>2.5439518</v>
      </c>
      <c r="L57" s="20" t="n">
        <v>0.74287516</v>
      </c>
      <c r="M57" s="18" t="n">
        <v>0.01445499</v>
      </c>
      <c r="N57" s="20" t="n">
        <v>0.01478492</v>
      </c>
      <c r="O57" s="18" t="n">
        <v>0.17190447</v>
      </c>
      <c r="P57" s="20" t="n">
        <v>0.174535</v>
      </c>
      <c r="Q57" s="18" t="n">
        <v>27.71068253</v>
      </c>
      <c r="R57" s="20" t="n">
        <v>2.53179016</v>
      </c>
    </row>
    <row r="58" spans="1:18">
      <c r="A58" s="15" t="s">
        <v>482</v>
      </c>
      <c r="B58" s="17" t="n">
        <v>3530</v>
      </c>
      <c r="C58" s="18">
        <f>(2942.0/B58*100)</f>
        <v/>
      </c>
      <c r="D58" s="19" t="n">
        <v>588</v>
      </c>
      <c r="E58" s="18" t="n">
        <v>78.33297876</v>
      </c>
      <c r="F58" s="20" t="n">
        <v>2.32056142</v>
      </c>
      <c r="G58" s="18" t="n">
        <v>1.77169002</v>
      </c>
      <c r="H58" s="20" t="n">
        <v>0.63613273</v>
      </c>
      <c r="I58" s="18" t="s">
        <v>431</v>
      </c>
      <c r="J58" s="20" t="s">
        <v>431</v>
      </c>
      <c r="K58" s="18" t="n">
        <v>7.84722057</v>
      </c>
      <c r="L58" s="20" t="n">
        <v>1.28760578</v>
      </c>
      <c r="M58" s="18" t="n">
        <v>0</v>
      </c>
      <c r="N58" s="20" t="n">
        <v>0</v>
      </c>
      <c r="O58" s="18" t="n">
        <v>0.52102616</v>
      </c>
      <c r="P58" s="20" t="n">
        <v>0.36277652</v>
      </c>
      <c r="Q58" s="18" t="n">
        <v>11.5270845</v>
      </c>
      <c r="R58" s="20" t="n">
        <v>1.63630994</v>
      </c>
    </row>
    <row r="59" spans="1:18">
      <c r="A59" s="15" t="s">
        <v>483</v>
      </c>
      <c r="B59" s="17" t="n">
        <v>2548</v>
      </c>
      <c r="C59" s="18">
        <f>(2129.0/B59*100)</f>
        <v/>
      </c>
      <c r="D59" s="19" t="n">
        <v>419</v>
      </c>
      <c r="E59" s="18" t="n">
        <v>73.42295532999999</v>
      </c>
      <c r="F59" s="20" t="n">
        <v>2.41484672</v>
      </c>
      <c r="G59" s="18" t="n">
        <v>0.25724525</v>
      </c>
      <c r="H59" s="20" t="n">
        <v>0.18428835</v>
      </c>
      <c r="I59" s="18" t="s">
        <v>431</v>
      </c>
      <c r="J59" s="20" t="s">
        <v>431</v>
      </c>
      <c r="K59" s="18" t="n">
        <v>1.80110935</v>
      </c>
      <c r="L59" s="20" t="n">
        <v>0.76993927</v>
      </c>
      <c r="M59" s="18" t="n">
        <v>0.55609078</v>
      </c>
      <c r="N59" s="20" t="n">
        <v>0.46639999</v>
      </c>
      <c r="O59" s="18" t="n">
        <v>0</v>
      </c>
      <c r="P59" s="20" t="n">
        <v>0</v>
      </c>
      <c r="Q59" s="18" t="n">
        <v>23.9625993</v>
      </c>
      <c r="R59" s="20" t="n">
        <v>2.58014901</v>
      </c>
    </row>
    <row r="60" spans="1:18">
      <c r="A60" s="15" t="s">
        <v>484</v>
      </c>
      <c r="B60" s="17" t="n">
        <v>2095</v>
      </c>
      <c r="C60" s="18">
        <f>(1749.0/B60*100)</f>
        <v/>
      </c>
      <c r="D60" s="19" t="n">
        <v>346</v>
      </c>
      <c r="E60" s="18" t="n">
        <v>71.64532642</v>
      </c>
      <c r="F60" s="20" t="n">
        <v>3.02609288</v>
      </c>
      <c r="G60" s="18" t="n">
        <v>4.72493218</v>
      </c>
      <c r="H60" s="20" t="n">
        <v>1.04483545</v>
      </c>
      <c r="I60" s="18" t="s">
        <v>431</v>
      </c>
      <c r="J60" s="20" t="s">
        <v>431</v>
      </c>
      <c r="K60" s="18" t="n">
        <v>8.58535389</v>
      </c>
      <c r="L60" s="20" t="n">
        <v>1.70735773</v>
      </c>
      <c r="M60" s="18" t="n">
        <v>0</v>
      </c>
      <c r="N60" s="20" t="n">
        <v>0</v>
      </c>
      <c r="O60" s="18" t="n">
        <v>0.47254036</v>
      </c>
      <c r="P60" s="20" t="n">
        <v>0.32659895</v>
      </c>
      <c r="Q60" s="18" t="n">
        <v>14.57184714</v>
      </c>
      <c r="R60" s="20" t="n">
        <v>2.14814612</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64.49035066</v>
      </c>
      <c r="F63" s="20" t="n">
        <v>2.31531424</v>
      </c>
      <c r="G63" s="18" t="n">
        <v>3.17755259</v>
      </c>
      <c r="H63" s="20" t="n">
        <v>0.79745984</v>
      </c>
      <c r="I63" s="18" t="s">
        <v>431</v>
      </c>
      <c r="J63" s="20" t="s">
        <v>431</v>
      </c>
      <c r="K63" s="18" t="n">
        <v>8.959100340000001</v>
      </c>
      <c r="L63" s="20" t="n">
        <v>1.46126074</v>
      </c>
      <c r="M63" s="18" t="n">
        <v>0</v>
      </c>
      <c r="N63" s="20" t="n">
        <v>0</v>
      </c>
      <c r="O63" s="18" t="n">
        <v>0.51069468</v>
      </c>
      <c r="P63" s="20" t="n">
        <v>0.36542773</v>
      </c>
      <c r="Q63" s="18" t="n">
        <v>22.86230173</v>
      </c>
      <c r="R63" s="20" t="n">
        <v>1.69910149</v>
      </c>
    </row>
    <row r="64" spans="1:18">
      <c r="A64" s="15" t="s">
        <v>488</v>
      </c>
      <c r="B64" s="17" t="n">
        <v>1844</v>
      </c>
      <c r="C64" s="18">
        <f>(1543.0/B64*100)</f>
        <v/>
      </c>
      <c r="D64" s="19" t="n">
        <v>301</v>
      </c>
      <c r="E64" s="18" t="n">
        <v>73.59895717000001</v>
      </c>
      <c r="F64" s="20" t="n">
        <v>2.63230746</v>
      </c>
      <c r="G64" s="18" t="n">
        <v>10.2000624</v>
      </c>
      <c r="H64" s="20" t="n">
        <v>1.83325781</v>
      </c>
      <c r="I64" s="18" t="s">
        <v>431</v>
      </c>
      <c r="J64" s="20" t="s">
        <v>431</v>
      </c>
      <c r="K64" s="18" t="n">
        <v>10.72719445</v>
      </c>
      <c r="L64" s="20" t="n">
        <v>1.86140334</v>
      </c>
      <c r="M64" s="18" t="n">
        <v>0</v>
      </c>
      <c r="N64" s="20" t="n">
        <v>0</v>
      </c>
      <c r="O64" s="18" t="n">
        <v>0.65513835</v>
      </c>
      <c r="P64" s="20" t="n">
        <v>0.45824047</v>
      </c>
      <c r="Q64" s="18" t="n">
        <v>4.81864764</v>
      </c>
      <c r="R64" s="20" t="n">
        <v>1.31010741</v>
      </c>
    </row>
    <row r="65" spans="1:18">
      <c r="A65" s="15" t="s">
        <v>489</v>
      </c>
      <c r="B65" s="17" t="n">
        <v>2691</v>
      </c>
      <c r="C65" s="18">
        <f>(2257.0/B65*100)</f>
        <v/>
      </c>
      <c r="D65" s="19" t="n">
        <v>434</v>
      </c>
      <c r="E65" s="18" t="n">
        <v>69.86272029</v>
      </c>
      <c r="F65" s="20" t="n">
        <v>2.37038873</v>
      </c>
      <c r="G65" s="18" t="n">
        <v>4.18738577</v>
      </c>
      <c r="H65" s="20" t="n">
        <v>1.0136723</v>
      </c>
      <c r="I65" s="18" t="s">
        <v>431</v>
      </c>
      <c r="J65" s="20" t="s">
        <v>431</v>
      </c>
      <c r="K65" s="18" t="n">
        <v>9.124827529999999</v>
      </c>
      <c r="L65" s="20" t="n">
        <v>1.33571574</v>
      </c>
      <c r="M65" s="18" t="n">
        <v>0</v>
      </c>
      <c r="N65" s="20" t="n">
        <v>0</v>
      </c>
      <c r="O65" s="18" t="n">
        <v>0</v>
      </c>
      <c r="P65" s="20" t="n">
        <v>0</v>
      </c>
      <c r="Q65" s="18" t="n">
        <v>16.82506641</v>
      </c>
      <c r="R65" s="20" t="n">
        <v>1.99585128</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94.33315358999999</v>
      </c>
      <c r="F69" s="20" t="n">
        <v>1.04964228</v>
      </c>
      <c r="G69" s="18" t="n">
        <v>5.43764838</v>
      </c>
      <c r="H69" s="20" t="n">
        <v>1.02376973</v>
      </c>
      <c r="I69" s="18" t="s">
        <v>431</v>
      </c>
      <c r="J69" s="20" t="s">
        <v>431</v>
      </c>
      <c r="K69" s="18" t="n">
        <v>0</v>
      </c>
      <c r="L69" s="20" t="n">
        <v>0</v>
      </c>
      <c r="M69" s="18" t="n">
        <v>0</v>
      </c>
      <c r="N69" s="20" t="n">
        <v>0</v>
      </c>
      <c r="O69" s="18" t="n">
        <v>0</v>
      </c>
      <c r="P69" s="20" t="n">
        <v>0</v>
      </c>
      <c r="Q69" s="18" t="n">
        <v>0.22919804</v>
      </c>
      <c r="R69" s="20" t="n">
        <v>0.22944469</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61.06647243</v>
      </c>
      <c r="F74" s="20" t="n">
        <v>2.85389784</v>
      </c>
      <c r="G74" s="18" t="n">
        <v>9.36413381</v>
      </c>
      <c r="H74" s="20" t="n">
        <v>1.72860349</v>
      </c>
      <c r="I74" s="18" t="s">
        <v>431</v>
      </c>
      <c r="J74" s="20" t="s">
        <v>431</v>
      </c>
      <c r="K74" s="18" t="n">
        <v>13.93108162</v>
      </c>
      <c r="L74" s="20" t="n">
        <v>1.7710754</v>
      </c>
      <c r="M74" s="18" t="n">
        <v>0</v>
      </c>
      <c r="N74" s="20" t="n">
        <v>0</v>
      </c>
      <c r="O74" s="18" t="n">
        <v>0.36660284</v>
      </c>
      <c r="P74" s="20" t="n">
        <v>0.36947655</v>
      </c>
      <c r="Q74" s="18" t="n">
        <v>15.2717093</v>
      </c>
      <c r="R74" s="20" t="n">
        <v>2.02737347</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87.9486134</v>
      </c>
      <c r="F78" s="20" t="n">
        <v>1.72771874</v>
      </c>
      <c r="G78" s="18" t="n">
        <v>10.88682595</v>
      </c>
      <c r="H78" s="20" t="n">
        <v>1.57068371</v>
      </c>
      <c r="I78" s="18" t="s">
        <v>431</v>
      </c>
      <c r="J78" s="20" t="s">
        <v>431</v>
      </c>
      <c r="K78" s="18" t="n">
        <v>0</v>
      </c>
      <c r="L78" s="20" t="n">
        <v>0</v>
      </c>
      <c r="M78" s="18" t="n">
        <v>0</v>
      </c>
      <c r="N78" s="20" t="n">
        <v>0</v>
      </c>
      <c r="O78" s="18" t="n">
        <v>0</v>
      </c>
      <c r="P78" s="20" t="n">
        <v>0</v>
      </c>
      <c r="Q78" s="18" t="n">
        <v>1.16456066</v>
      </c>
      <c r="R78" s="20" t="n">
        <v>0.54979027</v>
      </c>
    </row>
    <row customHeight="1" ht="25" r="79" spans="1:18">
      <c r="A79" s="15" t="s">
        <v>503</v>
      </c>
      <c r="B79" s="17" t="n">
        <v>787</v>
      </c>
      <c r="C79" s="18">
        <f>(657.0/B79*100)</f>
        <v/>
      </c>
      <c r="D79" s="19" t="n">
        <v>130</v>
      </c>
      <c r="E79" s="18" t="n">
        <v>66.41589216</v>
      </c>
      <c r="F79" s="20" t="n">
        <v>4.14475925</v>
      </c>
      <c r="G79" s="18" t="n">
        <v>12.48338999</v>
      </c>
      <c r="H79" s="20" t="n">
        <v>3.14854582</v>
      </c>
      <c r="I79" s="18" t="s">
        <v>431</v>
      </c>
      <c r="J79" s="20" t="s">
        <v>431</v>
      </c>
      <c r="K79" s="18" t="n">
        <v>9.853121789999999</v>
      </c>
      <c r="L79" s="20" t="n">
        <v>1.92821069</v>
      </c>
      <c r="M79" s="18" t="n">
        <v>0</v>
      </c>
      <c r="N79" s="20" t="n">
        <v>0</v>
      </c>
      <c r="O79" s="18" t="n">
        <v>0</v>
      </c>
      <c r="P79" s="20" t="n">
        <v>0</v>
      </c>
      <c r="Q79" s="18" t="n">
        <v>11.24759607</v>
      </c>
      <c r="R79" s="20" t="n">
        <v>2.84466715</v>
      </c>
    </row>
    <row r="80" spans="1:18">
      <c r="A80" s="15" t="s">
        <v>504</v>
      </c>
      <c r="B80" s="17" t="n">
        <v>3798</v>
      </c>
      <c r="C80" s="18">
        <f>(3170.0/B80*100)</f>
        <v/>
      </c>
      <c r="D80" s="19" t="n">
        <v>628</v>
      </c>
      <c r="E80" s="18" t="n">
        <v>97.72451155</v>
      </c>
      <c r="F80" s="20" t="n">
        <v>1.18139649</v>
      </c>
      <c r="G80" s="18" t="n">
        <v>0.83301078</v>
      </c>
      <c r="H80" s="20" t="n">
        <v>0.37972301</v>
      </c>
      <c r="I80" s="18" t="s">
        <v>431</v>
      </c>
      <c r="J80" s="20" t="s">
        <v>431</v>
      </c>
      <c r="K80" s="18" t="n">
        <v>0.22194139</v>
      </c>
      <c r="L80" s="20" t="n">
        <v>0.15677408</v>
      </c>
      <c r="M80" s="18" t="n">
        <v>0</v>
      </c>
      <c r="N80" s="20" t="n">
        <v>0</v>
      </c>
      <c r="O80" s="18" t="n">
        <v>0</v>
      </c>
      <c r="P80" s="20" t="n">
        <v>0</v>
      </c>
      <c r="Q80" s="18" t="n">
        <v>1.22053629</v>
      </c>
      <c r="R80" s="20" t="n">
        <v>1.10124283</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22.54628321</v>
      </c>
      <c r="F44" s="20" t="n">
        <v>2.41098304</v>
      </c>
      <c r="G44" s="18" t="n">
        <v>55.50751216</v>
      </c>
      <c r="H44" s="20" t="n">
        <v>3.09748146</v>
      </c>
      <c r="I44" s="18" t="s">
        <v>431</v>
      </c>
      <c r="J44" s="20" t="s">
        <v>431</v>
      </c>
      <c r="K44" s="18" t="n">
        <v>14.68641887</v>
      </c>
      <c r="L44" s="20" t="n">
        <v>2.10289808</v>
      </c>
      <c r="M44" s="18" t="n">
        <v>0</v>
      </c>
      <c r="N44" s="20" t="n">
        <v>0</v>
      </c>
      <c r="O44" s="18" t="n">
        <v>0</v>
      </c>
      <c r="P44" s="20" t="n">
        <v>0</v>
      </c>
      <c r="Q44" s="18" t="n">
        <v>7.25978576</v>
      </c>
      <c r="R44" s="20" t="n">
        <v>1.48399352</v>
      </c>
    </row>
    <row r="45" spans="1:18">
      <c r="A45" s="15" t="s">
        <v>469</v>
      </c>
      <c r="B45" s="17" t="n">
        <v>2849</v>
      </c>
      <c r="C45" s="18">
        <f>(2364.0/B45*100)</f>
        <v/>
      </c>
      <c r="D45" s="19" t="n">
        <v>485</v>
      </c>
      <c r="E45" s="18" t="n">
        <v>43.66571153</v>
      </c>
      <c r="F45" s="20" t="n">
        <v>2.5236919</v>
      </c>
      <c r="G45" s="18" t="n">
        <v>30.89775064</v>
      </c>
      <c r="H45" s="20" t="n">
        <v>2.13824961</v>
      </c>
      <c r="I45" s="18" t="s">
        <v>431</v>
      </c>
      <c r="J45" s="20" t="s">
        <v>431</v>
      </c>
      <c r="K45" s="18" t="n">
        <v>13.37153729</v>
      </c>
      <c r="L45" s="20" t="n">
        <v>1.51502306</v>
      </c>
      <c r="M45" s="18" t="n">
        <v>0.39743249</v>
      </c>
      <c r="N45" s="20" t="n">
        <v>0.27985936</v>
      </c>
      <c r="O45" s="18" t="n">
        <v>0</v>
      </c>
      <c r="P45" s="20" t="n">
        <v>0</v>
      </c>
      <c r="Q45" s="18" t="n">
        <v>11.66756805</v>
      </c>
      <c r="R45" s="20" t="n">
        <v>1.40324564</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34.68875082</v>
      </c>
      <c r="F49" s="20" t="n">
        <v>2.3650706</v>
      </c>
      <c r="G49" s="18" t="n">
        <v>45.27396302</v>
      </c>
      <c r="H49" s="20" t="n">
        <v>2.60529647</v>
      </c>
      <c r="I49" s="18" t="s">
        <v>431</v>
      </c>
      <c r="J49" s="20" t="s">
        <v>431</v>
      </c>
      <c r="K49" s="18" t="n">
        <v>6.11640718</v>
      </c>
      <c r="L49" s="20" t="n">
        <v>1.37779609</v>
      </c>
      <c r="M49" s="18" t="n">
        <v>0</v>
      </c>
      <c r="N49" s="20" t="n">
        <v>0</v>
      </c>
      <c r="O49" s="18" t="n">
        <v>0</v>
      </c>
      <c r="P49" s="20" t="n">
        <v>0</v>
      </c>
      <c r="Q49" s="18" t="n">
        <v>13.92087898</v>
      </c>
      <c r="R49" s="20" t="n">
        <v>1.90604402</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33.51054638</v>
      </c>
      <c r="F55" s="20" t="n">
        <v>2.49337806</v>
      </c>
      <c r="G55" s="18" t="n">
        <v>32.22076782</v>
      </c>
      <c r="H55" s="20" t="n">
        <v>2.46805609</v>
      </c>
      <c r="I55" s="18" t="s">
        <v>431</v>
      </c>
      <c r="J55" s="20" t="s">
        <v>431</v>
      </c>
      <c r="K55" s="18" t="n">
        <v>6.07915593</v>
      </c>
      <c r="L55" s="20" t="n">
        <v>1.01986115</v>
      </c>
      <c r="M55" s="18" t="n">
        <v>0</v>
      </c>
      <c r="N55" s="20" t="n">
        <v>0</v>
      </c>
      <c r="O55" s="18" t="n">
        <v>0.15988392</v>
      </c>
      <c r="P55" s="20" t="n">
        <v>0.159845</v>
      </c>
      <c r="Q55" s="18" t="n">
        <v>28.02964594</v>
      </c>
      <c r="R55" s="20" t="n">
        <v>2.30322805</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44.06996523</v>
      </c>
      <c r="F57" s="20" t="n">
        <v>2.68552297</v>
      </c>
      <c r="G57" s="18" t="n">
        <v>51.23412791</v>
      </c>
      <c r="H57" s="20" t="n">
        <v>2.70249041</v>
      </c>
      <c r="I57" s="18" t="s">
        <v>431</v>
      </c>
      <c r="J57" s="20" t="s">
        <v>431</v>
      </c>
      <c r="K57" s="18" t="n">
        <v>2.63097017</v>
      </c>
      <c r="L57" s="20" t="n">
        <v>0.74798013</v>
      </c>
      <c r="M57" s="18" t="n">
        <v>0</v>
      </c>
      <c r="N57" s="20" t="n">
        <v>0</v>
      </c>
      <c r="O57" s="18" t="n">
        <v>0</v>
      </c>
      <c r="P57" s="20" t="n">
        <v>0</v>
      </c>
      <c r="Q57" s="18" t="n">
        <v>2.06493669</v>
      </c>
      <c r="R57" s="20" t="n">
        <v>0.57842477</v>
      </c>
    </row>
    <row r="58" spans="1:18">
      <c r="A58" s="15" t="s">
        <v>482</v>
      </c>
      <c r="B58" s="17" t="n">
        <v>3530</v>
      </c>
      <c r="C58" s="18">
        <f>(2942.0/B58*100)</f>
        <v/>
      </c>
      <c r="D58" s="19" t="n">
        <v>588</v>
      </c>
      <c r="E58" s="18" t="n">
        <v>27.20372994</v>
      </c>
      <c r="F58" s="20" t="n">
        <v>2.1164376</v>
      </c>
      <c r="G58" s="18" t="n">
        <v>52.19557825</v>
      </c>
      <c r="H58" s="20" t="n">
        <v>2.51192504</v>
      </c>
      <c r="I58" s="18" t="s">
        <v>431</v>
      </c>
      <c r="J58" s="20" t="s">
        <v>431</v>
      </c>
      <c r="K58" s="18" t="n">
        <v>9.347815779999999</v>
      </c>
      <c r="L58" s="20" t="n">
        <v>1.23732477</v>
      </c>
      <c r="M58" s="18" t="n">
        <v>0</v>
      </c>
      <c r="N58" s="20" t="n">
        <v>0</v>
      </c>
      <c r="O58" s="18" t="n">
        <v>0</v>
      </c>
      <c r="P58" s="20" t="n">
        <v>0</v>
      </c>
      <c r="Q58" s="18" t="n">
        <v>11.25287603</v>
      </c>
      <c r="R58" s="20" t="n">
        <v>1.70451566</v>
      </c>
    </row>
    <row r="59" spans="1:18">
      <c r="A59" s="15" t="s">
        <v>483</v>
      </c>
      <c r="B59" s="17" t="n">
        <v>2548</v>
      </c>
      <c r="C59" s="18">
        <f>(2129.0/B59*100)</f>
        <v/>
      </c>
      <c r="D59" s="19" t="n">
        <v>419</v>
      </c>
      <c r="E59" s="18" t="n">
        <v>54.41431027</v>
      </c>
      <c r="F59" s="20" t="n">
        <v>3.20460718</v>
      </c>
      <c r="G59" s="18" t="n">
        <v>30.84374372</v>
      </c>
      <c r="H59" s="20" t="n">
        <v>2.93579721</v>
      </c>
      <c r="I59" s="18" t="s">
        <v>431</v>
      </c>
      <c r="J59" s="20" t="s">
        <v>431</v>
      </c>
      <c r="K59" s="18" t="n">
        <v>3.13734097</v>
      </c>
      <c r="L59" s="20" t="n">
        <v>1.09865958</v>
      </c>
      <c r="M59" s="18" t="n">
        <v>0.09735241</v>
      </c>
      <c r="N59" s="20" t="n">
        <v>0.09832355</v>
      </c>
      <c r="O59" s="18" t="n">
        <v>0</v>
      </c>
      <c r="P59" s="20" t="n">
        <v>0</v>
      </c>
      <c r="Q59" s="18" t="n">
        <v>11.50725262</v>
      </c>
      <c r="R59" s="20" t="n">
        <v>1.43634274</v>
      </c>
    </row>
    <row r="60" spans="1:18">
      <c r="A60" s="15" t="s">
        <v>484</v>
      </c>
      <c r="B60" s="17" t="n">
        <v>2095</v>
      </c>
      <c r="C60" s="18">
        <f>(1749.0/B60*100)</f>
        <v/>
      </c>
      <c r="D60" s="19" t="n">
        <v>346</v>
      </c>
      <c r="E60" s="18" t="n">
        <v>27.11573418</v>
      </c>
      <c r="F60" s="20" t="n">
        <v>2.55672886</v>
      </c>
      <c r="G60" s="18" t="n">
        <v>31.6227083</v>
      </c>
      <c r="H60" s="20" t="n">
        <v>2.7129439</v>
      </c>
      <c r="I60" s="18" t="s">
        <v>431</v>
      </c>
      <c r="J60" s="20" t="s">
        <v>431</v>
      </c>
      <c r="K60" s="18" t="n">
        <v>14.5671978</v>
      </c>
      <c r="L60" s="20" t="n">
        <v>2.26486884</v>
      </c>
      <c r="M60" s="18" t="n">
        <v>0</v>
      </c>
      <c r="N60" s="20" t="n">
        <v>0</v>
      </c>
      <c r="O60" s="18" t="n">
        <v>0.21724133</v>
      </c>
      <c r="P60" s="20" t="n">
        <v>0.20282654</v>
      </c>
      <c r="Q60" s="18" t="n">
        <v>26.47711839</v>
      </c>
      <c r="R60" s="20" t="n">
        <v>2.38066367</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32.22214177</v>
      </c>
      <c r="F63" s="20" t="n">
        <v>2.53601494</v>
      </c>
      <c r="G63" s="18" t="n">
        <v>27.3581506</v>
      </c>
      <c r="H63" s="20" t="n">
        <v>1.97364079</v>
      </c>
      <c r="I63" s="18" t="s">
        <v>431</v>
      </c>
      <c r="J63" s="20" t="s">
        <v>431</v>
      </c>
      <c r="K63" s="18" t="n">
        <v>11.8244504</v>
      </c>
      <c r="L63" s="20" t="n">
        <v>1.72788721</v>
      </c>
      <c r="M63" s="18" t="n">
        <v>0</v>
      </c>
      <c r="N63" s="20" t="n">
        <v>0</v>
      </c>
      <c r="O63" s="18" t="n">
        <v>0</v>
      </c>
      <c r="P63" s="20" t="n">
        <v>0</v>
      </c>
      <c r="Q63" s="18" t="n">
        <v>28.59525723</v>
      </c>
      <c r="R63" s="20" t="n">
        <v>2.03398162</v>
      </c>
    </row>
    <row r="64" spans="1:18">
      <c r="A64" s="15" t="s">
        <v>488</v>
      </c>
      <c r="B64" s="17" t="n">
        <v>1844</v>
      </c>
      <c r="C64" s="18">
        <f>(1543.0/B64*100)</f>
        <v/>
      </c>
      <c r="D64" s="19" t="n">
        <v>301</v>
      </c>
      <c r="E64" s="18" t="n">
        <v>28.70312138</v>
      </c>
      <c r="F64" s="20" t="n">
        <v>2.71244549</v>
      </c>
      <c r="G64" s="18" t="n">
        <v>45.62499868</v>
      </c>
      <c r="H64" s="20" t="n">
        <v>3.0677333</v>
      </c>
      <c r="I64" s="18" t="s">
        <v>431</v>
      </c>
      <c r="J64" s="20" t="s">
        <v>431</v>
      </c>
      <c r="K64" s="18" t="n">
        <v>12.81492355</v>
      </c>
      <c r="L64" s="20" t="n">
        <v>1.93147905</v>
      </c>
      <c r="M64" s="18" t="n">
        <v>0</v>
      </c>
      <c r="N64" s="20" t="n">
        <v>0</v>
      </c>
      <c r="O64" s="18" t="n">
        <v>0</v>
      </c>
      <c r="P64" s="20" t="n">
        <v>0</v>
      </c>
      <c r="Q64" s="18" t="n">
        <v>12.85695639</v>
      </c>
      <c r="R64" s="20" t="n">
        <v>1.78224033</v>
      </c>
    </row>
    <row r="65" spans="1:18">
      <c r="A65" s="15" t="s">
        <v>489</v>
      </c>
      <c r="B65" s="17" t="n">
        <v>2691</v>
      </c>
      <c r="C65" s="18">
        <f>(2257.0/B65*100)</f>
        <v/>
      </c>
      <c r="D65" s="19" t="n">
        <v>434</v>
      </c>
      <c r="E65" s="18" t="n">
        <v>34.26945422</v>
      </c>
      <c r="F65" s="20" t="n">
        <v>2.37508471</v>
      </c>
      <c r="G65" s="18" t="n">
        <v>39.48130853</v>
      </c>
      <c r="H65" s="20" t="n">
        <v>2.3005679</v>
      </c>
      <c r="I65" s="18" t="s">
        <v>431</v>
      </c>
      <c r="J65" s="20" t="s">
        <v>431</v>
      </c>
      <c r="K65" s="18" t="n">
        <v>11.46971963</v>
      </c>
      <c r="L65" s="20" t="n">
        <v>1.48960811</v>
      </c>
      <c r="M65" s="18" t="n">
        <v>0</v>
      </c>
      <c r="N65" s="20" t="n">
        <v>0</v>
      </c>
      <c r="O65" s="18" t="n">
        <v>0</v>
      </c>
      <c r="P65" s="20" t="n">
        <v>0</v>
      </c>
      <c r="Q65" s="18" t="n">
        <v>14.77951762</v>
      </c>
      <c r="R65" s="20" t="n">
        <v>1.62368755</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40.94283259</v>
      </c>
      <c r="F69" s="20" t="n">
        <v>2.83136694</v>
      </c>
      <c r="G69" s="18" t="n">
        <v>57.90498549</v>
      </c>
      <c r="H69" s="20" t="n">
        <v>2.81841164</v>
      </c>
      <c r="I69" s="18" t="s">
        <v>431</v>
      </c>
      <c r="J69" s="20" t="s">
        <v>431</v>
      </c>
      <c r="K69" s="18" t="n">
        <v>0.4828156</v>
      </c>
      <c r="L69" s="20" t="n">
        <v>0.5002441</v>
      </c>
      <c r="M69" s="18" t="n">
        <v>0</v>
      </c>
      <c r="N69" s="20" t="n">
        <v>0</v>
      </c>
      <c r="O69" s="18" t="n">
        <v>0</v>
      </c>
      <c r="P69" s="20" t="n">
        <v>0</v>
      </c>
      <c r="Q69" s="18" t="n">
        <v>0.66936632</v>
      </c>
      <c r="R69" s="20" t="n">
        <v>0.49454553</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27.55209345</v>
      </c>
      <c r="F74" s="20" t="n">
        <v>3.11900292</v>
      </c>
      <c r="G74" s="18" t="n">
        <v>41.87735726</v>
      </c>
      <c r="H74" s="20" t="n">
        <v>2.84725651</v>
      </c>
      <c r="I74" s="18" t="s">
        <v>431</v>
      </c>
      <c r="J74" s="20" t="s">
        <v>431</v>
      </c>
      <c r="K74" s="18" t="n">
        <v>16.79378186</v>
      </c>
      <c r="L74" s="20" t="n">
        <v>1.88624247</v>
      </c>
      <c r="M74" s="18" t="n">
        <v>0</v>
      </c>
      <c r="N74" s="20" t="n">
        <v>0</v>
      </c>
      <c r="O74" s="18" t="n">
        <v>0</v>
      </c>
      <c r="P74" s="20" t="n">
        <v>0</v>
      </c>
      <c r="Q74" s="18" t="n">
        <v>13.77676743</v>
      </c>
      <c r="R74" s="20" t="n">
        <v>2.10081599</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33.98561248</v>
      </c>
      <c r="F78" s="20" t="n">
        <v>1.90201549</v>
      </c>
      <c r="G78" s="18" t="n">
        <v>65.47795857</v>
      </c>
      <c r="H78" s="20" t="n">
        <v>1.93689371</v>
      </c>
      <c r="I78" s="18" t="s">
        <v>431</v>
      </c>
      <c r="J78" s="20" t="s">
        <v>431</v>
      </c>
      <c r="K78" s="18" t="n">
        <v>0</v>
      </c>
      <c r="L78" s="20" t="n">
        <v>0</v>
      </c>
      <c r="M78" s="18" t="n">
        <v>0</v>
      </c>
      <c r="N78" s="20" t="n">
        <v>0</v>
      </c>
      <c r="O78" s="18" t="n">
        <v>0</v>
      </c>
      <c r="P78" s="20" t="n">
        <v>0</v>
      </c>
      <c r="Q78" s="18" t="n">
        <v>0.53642895</v>
      </c>
      <c r="R78" s="20" t="n">
        <v>0.33847871</v>
      </c>
    </row>
    <row customHeight="1" ht="25" r="79" spans="1:18">
      <c r="A79" s="15" t="s">
        <v>503</v>
      </c>
      <c r="B79" s="17" t="n">
        <v>787</v>
      </c>
      <c r="C79" s="18">
        <f>(657.0/B79*100)</f>
        <v/>
      </c>
      <c r="D79" s="19" t="n">
        <v>130</v>
      </c>
      <c r="E79" s="18" t="n">
        <v>33.25920156</v>
      </c>
      <c r="F79" s="20" t="n">
        <v>5.32728827</v>
      </c>
      <c r="G79" s="18" t="n">
        <v>48.48862548</v>
      </c>
      <c r="H79" s="20" t="n">
        <v>5.17767616</v>
      </c>
      <c r="I79" s="18" t="s">
        <v>431</v>
      </c>
      <c r="J79" s="20" t="s">
        <v>431</v>
      </c>
      <c r="K79" s="18" t="n">
        <v>10.40885339</v>
      </c>
      <c r="L79" s="20" t="n">
        <v>2.0047228</v>
      </c>
      <c r="M79" s="18" t="n">
        <v>0</v>
      </c>
      <c r="N79" s="20" t="n">
        <v>0</v>
      </c>
      <c r="O79" s="18" t="n">
        <v>0</v>
      </c>
      <c r="P79" s="20" t="n">
        <v>0</v>
      </c>
      <c r="Q79" s="18" t="n">
        <v>7.84331957</v>
      </c>
      <c r="R79" s="20" t="n">
        <v>3.371082</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26.3513342</v>
      </c>
      <c r="F44" s="20" t="n">
        <v>2.36108332</v>
      </c>
      <c r="G44" s="18" t="n">
        <v>56.13466025</v>
      </c>
      <c r="H44" s="20" t="n">
        <v>3.02123594</v>
      </c>
      <c r="I44" s="18" t="s">
        <v>431</v>
      </c>
      <c r="J44" s="20" t="s">
        <v>431</v>
      </c>
      <c r="K44" s="18" t="n">
        <v>17.12559371</v>
      </c>
      <c r="L44" s="20" t="n">
        <v>2.18263135</v>
      </c>
      <c r="M44" s="18" t="n">
        <v>0</v>
      </c>
      <c r="N44" s="20" t="n">
        <v>0</v>
      </c>
      <c r="O44" s="18" t="n">
        <v>0.38841185</v>
      </c>
      <c r="P44" s="20" t="n">
        <v>0.26583405</v>
      </c>
      <c r="Q44" s="18" t="n">
        <v>0</v>
      </c>
      <c r="R44" s="20" t="n">
        <v>0</v>
      </c>
    </row>
    <row r="45" spans="1:18">
      <c r="A45" s="15" t="s">
        <v>469</v>
      </c>
      <c r="B45" s="17" t="n">
        <v>2849</v>
      </c>
      <c r="C45" s="18">
        <f>(2364.0/B45*100)</f>
        <v/>
      </c>
      <c r="D45" s="19" t="n">
        <v>485</v>
      </c>
      <c r="E45" s="18" t="n">
        <v>27.55477891</v>
      </c>
      <c r="F45" s="20" t="n">
        <v>2.15804035</v>
      </c>
      <c r="G45" s="18" t="n">
        <v>50.48706739</v>
      </c>
      <c r="H45" s="20" t="n">
        <v>2.46557848</v>
      </c>
      <c r="I45" s="18" t="s">
        <v>431</v>
      </c>
      <c r="J45" s="20" t="s">
        <v>431</v>
      </c>
      <c r="K45" s="18" t="n">
        <v>16.8599017</v>
      </c>
      <c r="L45" s="20" t="n">
        <v>1.80251007</v>
      </c>
      <c r="M45" s="18" t="n">
        <v>0.19152203</v>
      </c>
      <c r="N45" s="20" t="n">
        <v>0.18339192</v>
      </c>
      <c r="O45" s="18" t="n">
        <v>2.72075683</v>
      </c>
      <c r="P45" s="20" t="n">
        <v>0.64042416</v>
      </c>
      <c r="Q45" s="18" t="n">
        <v>2.18597314</v>
      </c>
      <c r="R45" s="20" t="n">
        <v>0.72815977</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19.61840591</v>
      </c>
      <c r="F49" s="20" t="n">
        <v>2.02902628</v>
      </c>
      <c r="G49" s="18" t="n">
        <v>72.56660218</v>
      </c>
      <c r="H49" s="20" t="n">
        <v>2.28607413</v>
      </c>
      <c r="I49" s="18" t="s">
        <v>431</v>
      </c>
      <c r="J49" s="20" t="s">
        <v>431</v>
      </c>
      <c r="K49" s="18" t="n">
        <v>6.87530562</v>
      </c>
      <c r="L49" s="20" t="n">
        <v>1.52516764</v>
      </c>
      <c r="M49" s="18" t="n">
        <v>0</v>
      </c>
      <c r="N49" s="20" t="n">
        <v>0</v>
      </c>
      <c r="O49" s="18" t="n">
        <v>0</v>
      </c>
      <c r="P49" s="20" t="n">
        <v>0</v>
      </c>
      <c r="Q49" s="18" t="n">
        <v>0.93968628</v>
      </c>
      <c r="R49" s="20" t="n">
        <v>0.47494043</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35.38845084</v>
      </c>
      <c r="F55" s="20" t="n">
        <v>2.40053087</v>
      </c>
      <c r="G55" s="18" t="n">
        <v>55.80873713</v>
      </c>
      <c r="H55" s="20" t="n">
        <v>2.71908497</v>
      </c>
      <c r="I55" s="18" t="s">
        <v>431</v>
      </c>
      <c r="J55" s="20" t="s">
        <v>431</v>
      </c>
      <c r="K55" s="18" t="n">
        <v>6.7832678</v>
      </c>
      <c r="L55" s="20" t="n">
        <v>1.1128266</v>
      </c>
      <c r="M55" s="18" t="n">
        <v>0</v>
      </c>
      <c r="N55" s="20" t="n">
        <v>0</v>
      </c>
      <c r="O55" s="18" t="n">
        <v>0.38458765</v>
      </c>
      <c r="P55" s="20" t="n">
        <v>0.2689473</v>
      </c>
      <c r="Q55" s="18" t="n">
        <v>1.63495658</v>
      </c>
      <c r="R55" s="20" t="n">
        <v>0.60659522</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31.35650727</v>
      </c>
      <c r="F57" s="20" t="n">
        <v>2.2475741</v>
      </c>
      <c r="G57" s="18" t="n">
        <v>64.48711962</v>
      </c>
      <c r="H57" s="20" t="n">
        <v>2.26440354</v>
      </c>
      <c r="I57" s="18" t="s">
        <v>431</v>
      </c>
      <c r="J57" s="20" t="s">
        <v>431</v>
      </c>
      <c r="K57" s="18" t="n">
        <v>3.63217803</v>
      </c>
      <c r="L57" s="20" t="n">
        <v>0.92378961</v>
      </c>
      <c r="M57" s="18" t="n">
        <v>0.188448</v>
      </c>
      <c r="N57" s="20" t="n">
        <v>0.1808015</v>
      </c>
      <c r="O57" s="18" t="n">
        <v>0</v>
      </c>
      <c r="P57" s="20" t="n">
        <v>0</v>
      </c>
      <c r="Q57" s="18" t="n">
        <v>0.33574708</v>
      </c>
      <c r="R57" s="20" t="n">
        <v>0.01690405</v>
      </c>
    </row>
    <row r="58" spans="1:18">
      <c r="A58" s="15" t="s">
        <v>482</v>
      </c>
      <c r="B58" s="17" t="n">
        <v>3530</v>
      </c>
      <c r="C58" s="18">
        <f>(2942.0/B58*100)</f>
        <v/>
      </c>
      <c r="D58" s="19" t="n">
        <v>588</v>
      </c>
      <c r="E58" s="18" t="n">
        <v>35.03396761</v>
      </c>
      <c r="F58" s="20" t="n">
        <v>2.53800458</v>
      </c>
      <c r="G58" s="18" t="n">
        <v>52.63925563</v>
      </c>
      <c r="H58" s="20" t="n">
        <v>2.561595</v>
      </c>
      <c r="I58" s="18" t="s">
        <v>431</v>
      </c>
      <c r="J58" s="20" t="s">
        <v>431</v>
      </c>
      <c r="K58" s="18" t="n">
        <v>10.29215361</v>
      </c>
      <c r="L58" s="20" t="n">
        <v>1.3166778</v>
      </c>
      <c r="M58" s="18" t="n">
        <v>0</v>
      </c>
      <c r="N58" s="20" t="n">
        <v>0</v>
      </c>
      <c r="O58" s="18" t="n">
        <v>0.91823568</v>
      </c>
      <c r="P58" s="20" t="n">
        <v>0.62798862</v>
      </c>
      <c r="Q58" s="18" t="n">
        <v>1.11638747</v>
      </c>
      <c r="R58" s="20" t="n">
        <v>0.43109345</v>
      </c>
    </row>
    <row r="59" spans="1:18">
      <c r="A59" s="15" t="s">
        <v>483</v>
      </c>
      <c r="B59" s="17" t="n">
        <v>2548</v>
      </c>
      <c r="C59" s="18">
        <f>(2129.0/B59*100)</f>
        <v/>
      </c>
      <c r="D59" s="19" t="n">
        <v>419</v>
      </c>
      <c r="E59" s="18" t="n">
        <v>48.20326031</v>
      </c>
      <c r="F59" s="20" t="n">
        <v>2.88087823</v>
      </c>
      <c r="G59" s="18" t="n">
        <v>46.2394866</v>
      </c>
      <c r="H59" s="20" t="n">
        <v>2.85006933</v>
      </c>
      <c r="I59" s="18" t="s">
        <v>431</v>
      </c>
      <c r="J59" s="20" t="s">
        <v>431</v>
      </c>
      <c r="K59" s="18" t="n">
        <v>3.27230269</v>
      </c>
      <c r="L59" s="20" t="n">
        <v>1.10508535</v>
      </c>
      <c r="M59" s="18" t="n">
        <v>0.09944973999999999</v>
      </c>
      <c r="N59" s="20" t="n">
        <v>0.10035664</v>
      </c>
      <c r="O59" s="18" t="n">
        <v>1.39628893</v>
      </c>
      <c r="P59" s="20" t="n">
        <v>0.71993039</v>
      </c>
      <c r="Q59" s="18" t="n">
        <v>0.78921173</v>
      </c>
      <c r="R59" s="20" t="n">
        <v>0.40301978</v>
      </c>
    </row>
    <row r="60" spans="1:18">
      <c r="A60" s="15" t="s">
        <v>484</v>
      </c>
      <c r="B60" s="17" t="n">
        <v>2095</v>
      </c>
      <c r="C60" s="18">
        <f>(1749.0/B60*100)</f>
        <v/>
      </c>
      <c r="D60" s="19" t="n">
        <v>346</v>
      </c>
      <c r="E60" s="18" t="n">
        <v>40.99441272</v>
      </c>
      <c r="F60" s="20" t="n">
        <v>3.26869028</v>
      </c>
      <c r="G60" s="18" t="n">
        <v>38.32983946</v>
      </c>
      <c r="H60" s="20" t="n">
        <v>3.00280705</v>
      </c>
      <c r="I60" s="18" t="s">
        <v>431</v>
      </c>
      <c r="J60" s="20" t="s">
        <v>431</v>
      </c>
      <c r="K60" s="18" t="n">
        <v>15.7327916</v>
      </c>
      <c r="L60" s="20" t="n">
        <v>2.29893892</v>
      </c>
      <c r="M60" s="18" t="n">
        <v>0</v>
      </c>
      <c r="N60" s="20" t="n">
        <v>0</v>
      </c>
      <c r="O60" s="18" t="n">
        <v>2.80202894</v>
      </c>
      <c r="P60" s="20" t="n">
        <v>1.14884601</v>
      </c>
      <c r="Q60" s="18" t="n">
        <v>2.14092728</v>
      </c>
      <c r="R60" s="20" t="n">
        <v>0.82898424</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39.76845754</v>
      </c>
      <c r="F63" s="20" t="n">
        <v>2.41818529</v>
      </c>
      <c r="G63" s="18" t="n">
        <v>44.54401518</v>
      </c>
      <c r="H63" s="20" t="n">
        <v>2.27917849</v>
      </c>
      <c r="I63" s="18" t="s">
        <v>431</v>
      </c>
      <c r="J63" s="20" t="s">
        <v>431</v>
      </c>
      <c r="K63" s="18" t="n">
        <v>13.32170155</v>
      </c>
      <c r="L63" s="20" t="n">
        <v>1.87942081</v>
      </c>
      <c r="M63" s="18" t="n">
        <v>0</v>
      </c>
      <c r="N63" s="20" t="n">
        <v>0</v>
      </c>
      <c r="O63" s="18" t="n">
        <v>0.6151628099999999</v>
      </c>
      <c r="P63" s="20" t="n">
        <v>0.43259532</v>
      </c>
      <c r="Q63" s="18" t="n">
        <v>1.75066293</v>
      </c>
      <c r="R63" s="20" t="n">
        <v>0.667774</v>
      </c>
    </row>
    <row r="64" spans="1:18">
      <c r="A64" s="15" t="s">
        <v>488</v>
      </c>
      <c r="B64" s="17" t="n">
        <v>1844</v>
      </c>
      <c r="C64" s="18">
        <f>(1543.0/B64*100)</f>
        <v/>
      </c>
      <c r="D64" s="19" t="n">
        <v>301</v>
      </c>
      <c r="E64" s="18" t="n">
        <v>27.793088</v>
      </c>
      <c r="F64" s="20" t="n">
        <v>2.51102828</v>
      </c>
      <c r="G64" s="18" t="n">
        <v>57.67136519</v>
      </c>
      <c r="H64" s="20" t="n">
        <v>2.33778157</v>
      </c>
      <c r="I64" s="18" t="s">
        <v>431</v>
      </c>
      <c r="J64" s="20" t="s">
        <v>431</v>
      </c>
      <c r="K64" s="18" t="n">
        <v>12.81492355</v>
      </c>
      <c r="L64" s="20" t="n">
        <v>1.93147905</v>
      </c>
      <c r="M64" s="18" t="n">
        <v>0</v>
      </c>
      <c r="N64" s="20" t="n">
        <v>0</v>
      </c>
      <c r="O64" s="18" t="n">
        <v>0.32281811</v>
      </c>
      <c r="P64" s="20" t="n">
        <v>0.32656584</v>
      </c>
      <c r="Q64" s="18" t="n">
        <v>1.39780514</v>
      </c>
      <c r="R64" s="20" t="n">
        <v>0.68048382</v>
      </c>
    </row>
    <row r="65" spans="1:18">
      <c r="A65" s="15" t="s">
        <v>489</v>
      </c>
      <c r="B65" s="17" t="n">
        <v>2691</v>
      </c>
      <c r="C65" s="18">
        <f>(2257.0/B65*100)</f>
        <v/>
      </c>
      <c r="D65" s="19" t="n">
        <v>434</v>
      </c>
      <c r="E65" s="18" t="n">
        <v>20.99102133</v>
      </c>
      <c r="F65" s="20" t="n">
        <v>1.91948463</v>
      </c>
      <c r="G65" s="18" t="n">
        <v>62.91332382</v>
      </c>
      <c r="H65" s="20" t="n">
        <v>2.29106514</v>
      </c>
      <c r="I65" s="18" t="s">
        <v>431</v>
      </c>
      <c r="J65" s="20" t="s">
        <v>431</v>
      </c>
      <c r="K65" s="18" t="n">
        <v>12.53431584</v>
      </c>
      <c r="L65" s="20" t="n">
        <v>1.59856848</v>
      </c>
      <c r="M65" s="18" t="n">
        <v>2.65091168</v>
      </c>
      <c r="N65" s="20" t="n">
        <v>0.93020407</v>
      </c>
      <c r="O65" s="18" t="n">
        <v>0</v>
      </c>
      <c r="P65" s="20" t="n">
        <v>0</v>
      </c>
      <c r="Q65" s="18" t="n">
        <v>0.91042733</v>
      </c>
      <c r="R65" s="20" t="n">
        <v>0.41878738</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28.34934619</v>
      </c>
      <c r="F69" s="20" t="n">
        <v>2.43807087</v>
      </c>
      <c r="G69" s="18" t="n">
        <v>71.16783820000001</v>
      </c>
      <c r="H69" s="20" t="n">
        <v>2.45524002</v>
      </c>
      <c r="I69" s="18" t="s">
        <v>431</v>
      </c>
      <c r="J69" s="20" t="s">
        <v>431</v>
      </c>
      <c r="K69" s="18" t="n">
        <v>0.4828156</v>
      </c>
      <c r="L69" s="20" t="n">
        <v>0.5002441</v>
      </c>
      <c r="M69" s="18" t="n">
        <v>0</v>
      </c>
      <c r="N69" s="20" t="n">
        <v>0</v>
      </c>
      <c r="O69" s="18" t="n">
        <v>0</v>
      </c>
      <c r="P69" s="20" t="n">
        <v>0</v>
      </c>
      <c r="Q69" s="18" t="n">
        <v>0</v>
      </c>
      <c r="R69" s="20" t="n">
        <v>0</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20.47550131</v>
      </c>
      <c r="F74" s="20" t="n">
        <v>2.3609558</v>
      </c>
      <c r="G74" s="18" t="n">
        <v>60.39687646</v>
      </c>
      <c r="H74" s="20" t="n">
        <v>2.67356503</v>
      </c>
      <c r="I74" s="18" t="s">
        <v>431</v>
      </c>
      <c r="J74" s="20" t="s">
        <v>431</v>
      </c>
      <c r="K74" s="18" t="n">
        <v>18.58576706</v>
      </c>
      <c r="L74" s="20" t="n">
        <v>1.99970582</v>
      </c>
      <c r="M74" s="18" t="n">
        <v>0</v>
      </c>
      <c r="N74" s="20" t="n">
        <v>0</v>
      </c>
      <c r="O74" s="18" t="n">
        <v>0</v>
      </c>
      <c r="P74" s="20" t="n">
        <v>0</v>
      </c>
      <c r="Q74" s="18" t="n">
        <v>0.54185516</v>
      </c>
      <c r="R74" s="20" t="n">
        <v>0.33614103</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4.72692925</v>
      </c>
      <c r="F78" s="20" t="n">
        <v>0.82623342</v>
      </c>
      <c r="G78" s="18" t="n">
        <v>95.05398799</v>
      </c>
      <c r="H78" s="20" t="n">
        <v>0.84571059</v>
      </c>
      <c r="I78" s="18" t="s">
        <v>431</v>
      </c>
      <c r="J78" s="20" t="s">
        <v>431</v>
      </c>
      <c r="K78" s="18" t="n">
        <v>0.21908276</v>
      </c>
      <c r="L78" s="20" t="n">
        <v>0.21736115</v>
      </c>
      <c r="M78" s="18" t="n">
        <v>0</v>
      </c>
      <c r="N78" s="20" t="n">
        <v>0</v>
      </c>
      <c r="O78" s="18" t="n">
        <v>0</v>
      </c>
      <c r="P78" s="20" t="n">
        <v>0</v>
      </c>
      <c r="Q78" s="18" t="n">
        <v>0</v>
      </c>
      <c r="R78" s="20" t="n">
        <v>0</v>
      </c>
    </row>
    <row customHeight="1" ht="25" r="79" spans="1:18">
      <c r="A79" s="15" t="s">
        <v>503</v>
      </c>
      <c r="B79" s="17" t="n">
        <v>787</v>
      </c>
      <c r="C79" s="18">
        <f>(657.0/B79*100)</f>
        <v/>
      </c>
      <c r="D79" s="19" t="n">
        <v>130</v>
      </c>
      <c r="E79" s="18" t="n">
        <v>20.02455154</v>
      </c>
      <c r="F79" s="20" t="n">
        <v>3.7055052</v>
      </c>
      <c r="G79" s="18" t="n">
        <v>67.08157924</v>
      </c>
      <c r="H79" s="20" t="n">
        <v>3.91905232</v>
      </c>
      <c r="I79" s="18" t="s">
        <v>431</v>
      </c>
      <c r="J79" s="20" t="s">
        <v>431</v>
      </c>
      <c r="K79" s="18" t="n">
        <v>12.89386922</v>
      </c>
      <c r="L79" s="20" t="n">
        <v>2.26553691</v>
      </c>
      <c r="M79" s="18" t="n">
        <v>0</v>
      </c>
      <c r="N79" s="20" t="n">
        <v>0</v>
      </c>
      <c r="O79" s="18" t="n">
        <v>0</v>
      </c>
      <c r="P79" s="20" t="n">
        <v>0</v>
      </c>
      <c r="Q79" s="18" t="n">
        <v>0</v>
      </c>
      <c r="R79" s="20" t="n">
        <v>0</v>
      </c>
    </row>
    <row r="80" spans="1:18">
      <c r="A80" s="15" t="s">
        <v>504</v>
      </c>
      <c r="B80" s="17" t="n">
        <v>3798</v>
      </c>
      <c r="C80" s="18">
        <f>(3170.0/B80*100)</f>
        <v/>
      </c>
      <c r="D80" s="19" t="n">
        <v>628</v>
      </c>
      <c r="E80" s="18" t="n">
        <v>30.23345323</v>
      </c>
      <c r="F80" s="20" t="n">
        <v>2.57767661</v>
      </c>
      <c r="G80" s="18" t="n">
        <v>69.16891855</v>
      </c>
      <c r="H80" s="20" t="n">
        <v>2.60116304</v>
      </c>
      <c r="I80" s="18" t="s">
        <v>431</v>
      </c>
      <c r="J80" s="20" t="s">
        <v>431</v>
      </c>
      <c r="K80" s="18" t="n">
        <v>0.59762823</v>
      </c>
      <c r="L80" s="20" t="n">
        <v>0.28046178</v>
      </c>
      <c r="M80" s="18" t="n">
        <v>0</v>
      </c>
      <c r="N80" s="20" t="n">
        <v>0</v>
      </c>
      <c r="O80" s="18" t="n">
        <v>0</v>
      </c>
      <c r="P80" s="20" t="n">
        <v>0</v>
      </c>
      <c r="Q80" s="18" t="n">
        <v>0</v>
      </c>
      <c r="R80" s="20" t="n">
        <v>0</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(2122.0/B44*100)</f>
        <v/>
      </c>
      <c r="D44" s="19" t="n">
        <v>402</v>
      </c>
      <c r="E44" s="18" t="n">
        <v>39.32551404</v>
      </c>
      <c r="F44" s="20" t="n">
        <v>2.96781726</v>
      </c>
      <c r="G44" s="18" t="n">
        <v>41.50098616</v>
      </c>
      <c r="H44" s="20" t="n">
        <v>3.38534524</v>
      </c>
      <c r="I44" s="18" t="s">
        <v>431</v>
      </c>
      <c r="J44" s="20" t="s">
        <v>431</v>
      </c>
      <c r="K44" s="18" t="n">
        <v>17.86091619</v>
      </c>
      <c r="L44" s="20" t="n">
        <v>2.22966269</v>
      </c>
      <c r="M44" s="18" t="n">
        <v>0</v>
      </c>
      <c r="N44" s="20" t="n">
        <v>0</v>
      </c>
      <c r="O44" s="18" t="n">
        <v>1.31258361</v>
      </c>
      <c r="P44" s="20" t="n">
        <v>0.65552183</v>
      </c>
      <c r="Q44" s="18" t="n">
        <v>0</v>
      </c>
      <c r="R44" s="20" t="n">
        <v>0</v>
      </c>
    </row>
    <row r="45" spans="1:18">
      <c r="A45" s="15" t="s">
        <v>469</v>
      </c>
      <c r="B45" s="17" t="n">
        <v>2849</v>
      </c>
      <c r="C45" s="18">
        <f>(2364.0/B45*100)</f>
        <v/>
      </c>
      <c r="D45" s="19" t="n">
        <v>485</v>
      </c>
      <c r="E45" s="18" t="n">
        <v>55.10361331</v>
      </c>
      <c r="F45" s="20" t="n">
        <v>2.42847394</v>
      </c>
      <c r="G45" s="18" t="n">
        <v>24.24059994</v>
      </c>
      <c r="H45" s="20" t="n">
        <v>1.98390021</v>
      </c>
      <c r="I45" s="18" t="s">
        <v>431</v>
      </c>
      <c r="J45" s="20" t="s">
        <v>431</v>
      </c>
      <c r="K45" s="18" t="n">
        <v>18.36510375</v>
      </c>
      <c r="L45" s="20" t="n">
        <v>1.84806804</v>
      </c>
      <c r="M45" s="18" t="n">
        <v>0</v>
      </c>
      <c r="N45" s="20" t="n">
        <v>0</v>
      </c>
      <c r="O45" s="18" t="n">
        <v>2.29068299</v>
      </c>
      <c r="P45" s="20" t="n">
        <v>0.69047417</v>
      </c>
      <c r="Q45" s="18" t="n">
        <v>0</v>
      </c>
      <c r="R45" s="20" t="n">
        <v>0</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(2517.0/B49*100)</f>
        <v/>
      </c>
      <c r="D49" s="19" t="n">
        <v>501</v>
      </c>
      <c r="E49" s="18" t="n">
        <v>42.88602402</v>
      </c>
      <c r="F49" s="20" t="n">
        <v>2.1506846</v>
      </c>
      <c r="G49" s="18" t="n">
        <v>49.42286543</v>
      </c>
      <c r="H49" s="20" t="n">
        <v>2.52038764</v>
      </c>
      <c r="I49" s="18" t="s">
        <v>431</v>
      </c>
      <c r="J49" s="20" t="s">
        <v>431</v>
      </c>
      <c r="K49" s="18" t="n">
        <v>7.19617838</v>
      </c>
      <c r="L49" s="20" t="n">
        <v>1.54434759</v>
      </c>
      <c r="M49" s="18" t="n">
        <v>0</v>
      </c>
      <c r="N49" s="20" t="n">
        <v>0</v>
      </c>
      <c r="O49" s="18" t="n">
        <v>0.49493217</v>
      </c>
      <c r="P49" s="20" t="n">
        <v>0.32842881</v>
      </c>
      <c r="Q49" s="18" t="n">
        <v>0</v>
      </c>
      <c r="R49" s="20" t="n">
        <v>0</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(2271.0/B55*100)</f>
        <v/>
      </c>
      <c r="D55" s="19" t="n">
        <v>488</v>
      </c>
      <c r="E55" s="18" t="n">
        <v>51.38309987</v>
      </c>
      <c r="F55" s="20" t="n">
        <v>2.51326696</v>
      </c>
      <c r="G55" s="18" t="n">
        <v>40.84292158</v>
      </c>
      <c r="H55" s="20" t="n">
        <v>2.47859971</v>
      </c>
      <c r="I55" s="18" t="s">
        <v>431</v>
      </c>
      <c r="J55" s="20" t="s">
        <v>431</v>
      </c>
      <c r="K55" s="18" t="n">
        <v>7.40515515</v>
      </c>
      <c r="L55" s="20" t="n">
        <v>1.14069295</v>
      </c>
      <c r="M55" s="18" t="n">
        <v>0</v>
      </c>
      <c r="N55" s="20" t="n">
        <v>0</v>
      </c>
      <c r="O55" s="18" t="n">
        <v>0.36882341</v>
      </c>
      <c r="P55" s="20" t="n">
        <v>0.26061678</v>
      </c>
      <c r="Q55" s="18" t="n">
        <v>0</v>
      </c>
      <c r="R55" s="20" t="n">
        <v>0</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(2644.0/B57*100)</f>
        <v/>
      </c>
      <c r="D57" s="19" t="n">
        <v>526</v>
      </c>
      <c r="E57" s="18" t="n">
        <v>58.41612645</v>
      </c>
      <c r="F57" s="20" t="n">
        <v>2.07624754</v>
      </c>
      <c r="G57" s="18" t="n">
        <v>37.567929</v>
      </c>
      <c r="H57" s="20" t="n">
        <v>2.09349546</v>
      </c>
      <c r="I57" s="18" t="s">
        <v>431</v>
      </c>
      <c r="J57" s="20" t="s">
        <v>431</v>
      </c>
      <c r="K57" s="18" t="n">
        <v>3.82749655</v>
      </c>
      <c r="L57" s="20" t="n">
        <v>0.93535305</v>
      </c>
      <c r="M57" s="18" t="n">
        <v>0.188448</v>
      </c>
      <c r="N57" s="20" t="n">
        <v>0.1808015</v>
      </c>
      <c r="O57" s="18" t="n">
        <v>0</v>
      </c>
      <c r="P57" s="20" t="n">
        <v>0</v>
      </c>
      <c r="Q57" s="18" t="n">
        <v>0</v>
      </c>
      <c r="R57" s="20" t="n">
        <v>0</v>
      </c>
    </row>
    <row r="58" spans="1:18">
      <c r="A58" s="15" t="s">
        <v>482</v>
      </c>
      <c r="B58" s="17" t="n">
        <v>3530</v>
      </c>
      <c r="C58" s="18">
        <f>(2942.0/B58*100)</f>
        <v/>
      </c>
      <c r="D58" s="19" t="n">
        <v>588</v>
      </c>
      <c r="E58" s="18" t="n">
        <v>56.95306994</v>
      </c>
      <c r="F58" s="20" t="n">
        <v>2.61491962</v>
      </c>
      <c r="G58" s="18" t="n">
        <v>29.74166664</v>
      </c>
      <c r="H58" s="20" t="n">
        <v>2.07472626</v>
      </c>
      <c r="I58" s="18" t="s">
        <v>431</v>
      </c>
      <c r="J58" s="20" t="s">
        <v>431</v>
      </c>
      <c r="K58" s="18" t="n">
        <v>11.42207981</v>
      </c>
      <c r="L58" s="20" t="n">
        <v>1.3728336</v>
      </c>
      <c r="M58" s="18" t="n">
        <v>0</v>
      </c>
      <c r="N58" s="20" t="n">
        <v>0</v>
      </c>
      <c r="O58" s="18" t="n">
        <v>1.88318361</v>
      </c>
      <c r="P58" s="20" t="n">
        <v>0.76760935</v>
      </c>
      <c r="Q58" s="18" t="n">
        <v>0</v>
      </c>
      <c r="R58" s="20" t="n">
        <v>0</v>
      </c>
    </row>
    <row r="59" spans="1:18">
      <c r="A59" s="15" t="s">
        <v>483</v>
      </c>
      <c r="B59" s="17" t="n">
        <v>2548</v>
      </c>
      <c r="C59" s="18">
        <f>(2129.0/B59*100)</f>
        <v/>
      </c>
      <c r="D59" s="19" t="n">
        <v>419</v>
      </c>
      <c r="E59" s="18" t="n">
        <v>59.78733309</v>
      </c>
      <c r="F59" s="20" t="n">
        <v>3.01828479</v>
      </c>
      <c r="G59" s="18" t="n">
        <v>33.69257319</v>
      </c>
      <c r="H59" s="20" t="n">
        <v>2.76979791</v>
      </c>
      <c r="I59" s="18" t="s">
        <v>431</v>
      </c>
      <c r="J59" s="20" t="s">
        <v>431</v>
      </c>
      <c r="K59" s="18" t="n">
        <v>4.30526886</v>
      </c>
      <c r="L59" s="20" t="n">
        <v>1.25444395</v>
      </c>
      <c r="M59" s="18" t="n">
        <v>1.14484569</v>
      </c>
      <c r="N59" s="20" t="n">
        <v>0.64971444</v>
      </c>
      <c r="O59" s="18" t="n">
        <v>1.06997918</v>
      </c>
      <c r="P59" s="20" t="n">
        <v>0.42441036</v>
      </c>
      <c r="Q59" s="18" t="n">
        <v>0</v>
      </c>
      <c r="R59" s="20" t="n">
        <v>0</v>
      </c>
    </row>
    <row r="60" spans="1:18">
      <c r="A60" s="15" t="s">
        <v>484</v>
      </c>
      <c r="B60" s="17" t="n">
        <v>2095</v>
      </c>
      <c r="C60" s="18">
        <f>(1749.0/B60*100)</f>
        <v/>
      </c>
      <c r="D60" s="19" t="n">
        <v>346</v>
      </c>
      <c r="E60" s="18" t="n">
        <v>53.81190331</v>
      </c>
      <c r="F60" s="20" t="n">
        <v>3.3923786</v>
      </c>
      <c r="G60" s="18" t="n">
        <v>26.60708258</v>
      </c>
      <c r="H60" s="20" t="n">
        <v>2.8136675</v>
      </c>
      <c r="I60" s="18" t="s">
        <v>431</v>
      </c>
      <c r="J60" s="20" t="s">
        <v>431</v>
      </c>
      <c r="K60" s="18" t="n">
        <v>16.39128368</v>
      </c>
      <c r="L60" s="20" t="n">
        <v>2.3760924</v>
      </c>
      <c r="M60" s="18" t="n">
        <v>0</v>
      </c>
      <c r="N60" s="20" t="n">
        <v>0</v>
      </c>
      <c r="O60" s="18" t="n">
        <v>3.18973043</v>
      </c>
      <c r="P60" s="20" t="n">
        <v>1.31857507</v>
      </c>
      <c r="Q60" s="18" t="n">
        <v>0</v>
      </c>
      <c r="R60" s="20" t="n">
        <v>0</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53.82107041</v>
      </c>
      <c r="F63" s="20" t="n">
        <v>2.11357136</v>
      </c>
      <c r="G63" s="18" t="n">
        <v>30.88192719</v>
      </c>
      <c r="H63" s="20" t="n">
        <v>2.1643467</v>
      </c>
      <c r="I63" s="18" t="s">
        <v>431</v>
      </c>
      <c r="J63" s="20" t="s">
        <v>431</v>
      </c>
      <c r="K63" s="18" t="n">
        <v>14.42513386</v>
      </c>
      <c r="L63" s="20" t="n">
        <v>1.86611068</v>
      </c>
      <c r="M63" s="18" t="n">
        <v>0</v>
      </c>
      <c r="N63" s="20" t="n">
        <v>0</v>
      </c>
      <c r="O63" s="18" t="n">
        <v>0.87186855</v>
      </c>
      <c r="P63" s="20" t="n">
        <v>0.2477323</v>
      </c>
      <c r="Q63" s="18" t="n">
        <v>0</v>
      </c>
      <c r="R63" s="20" t="n">
        <v>0</v>
      </c>
    </row>
    <row r="64" spans="1:18">
      <c r="A64" s="15" t="s">
        <v>488</v>
      </c>
      <c r="B64" s="17" t="n">
        <v>1844</v>
      </c>
      <c r="C64" s="18">
        <f>(1543.0/B64*100)</f>
        <v/>
      </c>
      <c r="D64" s="19" t="n">
        <v>301</v>
      </c>
      <c r="E64" s="18" t="n">
        <v>41.8501789</v>
      </c>
      <c r="F64" s="20" t="n">
        <v>2.84640446</v>
      </c>
      <c r="G64" s="18" t="n">
        <v>44.35734465</v>
      </c>
      <c r="H64" s="20" t="n">
        <v>3.06750083</v>
      </c>
      <c r="I64" s="18" t="s">
        <v>431</v>
      </c>
      <c r="J64" s="20" t="s">
        <v>431</v>
      </c>
      <c r="K64" s="18" t="n">
        <v>13.46965833</v>
      </c>
      <c r="L64" s="20" t="n">
        <v>1.92797753</v>
      </c>
      <c r="M64" s="18" t="n">
        <v>0</v>
      </c>
      <c r="N64" s="20" t="n">
        <v>0</v>
      </c>
      <c r="O64" s="18" t="n">
        <v>0.32281811</v>
      </c>
      <c r="P64" s="20" t="n">
        <v>0.32260963</v>
      </c>
      <c r="Q64" s="18" t="n">
        <v>0</v>
      </c>
      <c r="R64" s="20" t="n">
        <v>0</v>
      </c>
    </row>
    <row r="65" spans="1:18">
      <c r="A65" s="15" t="s">
        <v>489</v>
      </c>
      <c r="B65" s="17" t="n">
        <v>2691</v>
      </c>
      <c r="C65" s="18">
        <f>(2257.0/B65*100)</f>
        <v/>
      </c>
      <c r="D65" s="19" t="n">
        <v>434</v>
      </c>
      <c r="E65" s="18" t="n">
        <v>46.5455876</v>
      </c>
      <c r="F65" s="20" t="n">
        <v>2.7528347</v>
      </c>
      <c r="G65" s="18" t="n">
        <v>36.90326041</v>
      </c>
      <c r="H65" s="20" t="n">
        <v>2.71695874</v>
      </c>
      <c r="I65" s="18" t="s">
        <v>431</v>
      </c>
      <c r="J65" s="20" t="s">
        <v>431</v>
      </c>
      <c r="K65" s="18" t="n">
        <v>13.8526424</v>
      </c>
      <c r="L65" s="20" t="n">
        <v>1.6569696</v>
      </c>
      <c r="M65" s="18" t="n">
        <v>2.6985096</v>
      </c>
      <c r="N65" s="20" t="n">
        <v>0.62920389</v>
      </c>
      <c r="O65" s="18" t="n">
        <v>0</v>
      </c>
      <c r="P65" s="20" t="n">
        <v>0</v>
      </c>
      <c r="Q65" s="18" t="n">
        <v>0</v>
      </c>
      <c r="R65" s="20" t="n">
        <v>0</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(1990.0/B69*100)</f>
        <v/>
      </c>
      <c r="D69" s="19" t="n">
        <v>420</v>
      </c>
      <c r="E69" s="18" t="n">
        <v>49.86736762</v>
      </c>
      <c r="F69" s="20" t="n">
        <v>2.68487668</v>
      </c>
      <c r="G69" s="18" t="n">
        <v>49.42061874</v>
      </c>
      <c r="H69" s="20" t="n">
        <v>2.69377882</v>
      </c>
      <c r="I69" s="18" t="s">
        <v>431</v>
      </c>
      <c r="J69" s="20" t="s">
        <v>431</v>
      </c>
      <c r="K69" s="18" t="n">
        <v>0.71201364</v>
      </c>
      <c r="L69" s="20" t="n">
        <v>0.55234677</v>
      </c>
      <c r="M69" s="18" t="n">
        <v>0</v>
      </c>
      <c r="N69" s="20" t="n">
        <v>0</v>
      </c>
      <c r="O69" s="18" t="n">
        <v>0</v>
      </c>
      <c r="P69" s="20" t="n">
        <v>0</v>
      </c>
      <c r="Q69" s="18" t="n">
        <v>0</v>
      </c>
      <c r="R69" s="20" t="n">
        <v>0</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(1873.0/B74*100)</f>
        <v/>
      </c>
      <c r="D74" s="19" t="n">
        <v>366</v>
      </c>
      <c r="E74" s="18" t="n">
        <v>39.96562603</v>
      </c>
      <c r="F74" s="20" t="n">
        <v>3.39168626</v>
      </c>
      <c r="G74" s="18" t="n">
        <v>40.70802419</v>
      </c>
      <c r="H74" s="20" t="n">
        <v>3.00549127</v>
      </c>
      <c r="I74" s="18" t="s">
        <v>431</v>
      </c>
      <c r="J74" s="20" t="s">
        <v>431</v>
      </c>
      <c r="K74" s="18" t="n">
        <v>19.32634978</v>
      </c>
      <c r="L74" s="20" t="n">
        <v>2.07230494</v>
      </c>
      <c r="M74" s="18" t="n">
        <v>0</v>
      </c>
      <c r="N74" s="20" t="n">
        <v>0</v>
      </c>
      <c r="O74" s="18" t="n">
        <v>0</v>
      </c>
      <c r="P74" s="20" t="n">
        <v>0</v>
      </c>
      <c r="Q74" s="18" t="n">
        <v>0</v>
      </c>
      <c r="R74" s="20" t="n">
        <v>0</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(2309.0/B78*100)</f>
        <v/>
      </c>
      <c r="D78" s="19" t="n">
        <v>477</v>
      </c>
      <c r="E78" s="18" t="n">
        <v>19.96402428</v>
      </c>
      <c r="F78" s="20" t="n">
        <v>1.97642704</v>
      </c>
      <c r="G78" s="18" t="n">
        <v>79.81689296</v>
      </c>
      <c r="H78" s="20" t="n">
        <v>1.96724507</v>
      </c>
      <c r="I78" s="18" t="s">
        <v>431</v>
      </c>
      <c r="J78" s="20" t="s">
        <v>431</v>
      </c>
      <c r="K78" s="18" t="n">
        <v>0.21908276</v>
      </c>
      <c r="L78" s="20" t="n">
        <v>0.21736115</v>
      </c>
      <c r="M78" s="18" t="n">
        <v>0</v>
      </c>
      <c r="N78" s="20" t="n">
        <v>0</v>
      </c>
      <c r="O78" s="18" t="n">
        <v>0</v>
      </c>
      <c r="P78" s="20" t="n">
        <v>0</v>
      </c>
      <c r="Q78" s="18" t="n">
        <v>0</v>
      </c>
      <c r="R78" s="20" t="n">
        <v>0</v>
      </c>
    </row>
    <row customHeight="1" ht="25" r="79" spans="1:18">
      <c r="A79" s="15" t="s">
        <v>503</v>
      </c>
      <c r="B79" s="17" t="n">
        <v>787</v>
      </c>
      <c r="C79" s="18">
        <f>(657.0/B79*100)</f>
        <v/>
      </c>
      <c r="D79" s="19" t="n">
        <v>130</v>
      </c>
      <c r="E79" s="18" t="n">
        <v>32.08923166</v>
      </c>
      <c r="F79" s="20" t="n">
        <v>4.05131096</v>
      </c>
      <c r="G79" s="18" t="n">
        <v>54.05665107</v>
      </c>
      <c r="H79" s="20" t="n">
        <v>4.64067333</v>
      </c>
      <c r="I79" s="18" t="s">
        <v>431</v>
      </c>
      <c r="J79" s="20" t="s">
        <v>431</v>
      </c>
      <c r="K79" s="18" t="n">
        <v>12.89386922</v>
      </c>
      <c r="L79" s="20" t="n">
        <v>2.26553691</v>
      </c>
      <c r="M79" s="18" t="n">
        <v>0</v>
      </c>
      <c r="N79" s="20" t="n">
        <v>0</v>
      </c>
      <c r="O79" s="18" t="n">
        <v>0.96024804</v>
      </c>
      <c r="P79" s="20" t="n">
        <v>0.89477617</v>
      </c>
      <c r="Q79" s="18" t="n">
        <v>0</v>
      </c>
      <c r="R79" s="20" t="n">
        <v>0</v>
      </c>
    </row>
    <row r="80" spans="1:18">
      <c r="A80" s="15" t="s">
        <v>504</v>
      </c>
      <c r="B80" s="17" t="n">
        <v>3798</v>
      </c>
      <c r="C80" s="18">
        <f>(3170.0/B80*100)</f>
        <v/>
      </c>
      <c r="D80" s="19" t="n">
        <v>628</v>
      </c>
      <c r="E80" s="18" t="n">
        <v>51.04751707</v>
      </c>
      <c r="F80" s="20" t="n">
        <v>2.85836698</v>
      </c>
      <c r="G80" s="18" t="n">
        <v>48.3548547</v>
      </c>
      <c r="H80" s="20" t="n">
        <v>2.85745381</v>
      </c>
      <c r="I80" s="18" t="s">
        <v>431</v>
      </c>
      <c r="J80" s="20" t="s">
        <v>431</v>
      </c>
      <c r="K80" s="18" t="n">
        <v>0.59762823</v>
      </c>
      <c r="L80" s="20" t="n">
        <v>0.28046178</v>
      </c>
      <c r="M80" s="18" t="n">
        <v>0</v>
      </c>
      <c r="N80" s="20" t="n">
        <v>0</v>
      </c>
      <c r="O80" s="18" t="n">
        <v>0</v>
      </c>
      <c r="P80" s="20" t="n">
        <v>0</v>
      </c>
      <c r="Q80" s="18" t="n">
        <v>0</v>
      </c>
      <c r="R80" s="20" t="n">
        <v>0</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59.86853813</v>
      </c>
      <c r="F44" s="20" t="n">
        <v>3.02324876</v>
      </c>
      <c r="G44" s="18" t="n">
        <v>24.68939334</v>
      </c>
      <c r="H44" s="20" t="n">
        <v>2.69963419</v>
      </c>
      <c r="I44" s="18" t="s">
        <v>431</v>
      </c>
      <c r="J44" s="20" t="s">
        <v>431</v>
      </c>
      <c r="K44" s="18" t="n">
        <v>3.74382436</v>
      </c>
      <c r="L44" s="20" t="n">
        <v>0.97592652</v>
      </c>
      <c r="M44" s="18" t="n">
        <v>0</v>
      </c>
      <c r="N44" s="20" t="n">
        <v>0</v>
      </c>
      <c r="O44" s="18" t="n">
        <v>0.23608693</v>
      </c>
      <c r="P44" s="20" t="n">
        <v>0.23255289</v>
      </c>
      <c r="Q44" s="18" t="n">
        <v>11.46215724</v>
      </c>
      <c r="R44" s="20" t="n">
        <v>2.11495312</v>
      </c>
    </row>
    <row r="45" spans="1:18">
      <c r="A45" s="15" t="s">
        <v>469</v>
      </c>
      <c r="B45" s="17" t="n">
        <v>2849</v>
      </c>
      <c r="C45" s="18">
        <f>(2379.0/B45*100)</f>
        <v/>
      </c>
      <c r="D45" s="19" t="n">
        <v>470</v>
      </c>
      <c r="E45" s="18" t="n">
        <v>73.70723896</v>
      </c>
      <c r="F45" s="20" t="n">
        <v>2.2860381</v>
      </c>
      <c r="G45" s="18" t="n">
        <v>17.17757848</v>
      </c>
      <c r="H45" s="20" t="n">
        <v>1.85139521</v>
      </c>
      <c r="I45" s="18" t="s">
        <v>431</v>
      </c>
      <c r="J45" s="20" t="s">
        <v>431</v>
      </c>
      <c r="K45" s="18" t="n">
        <v>6.14270577</v>
      </c>
      <c r="L45" s="20" t="n">
        <v>1.12680728</v>
      </c>
      <c r="M45" s="18" t="n">
        <v>0</v>
      </c>
      <c r="N45" s="20" t="n">
        <v>0</v>
      </c>
      <c r="O45" s="18" t="n">
        <v>0</v>
      </c>
      <c r="P45" s="20" t="n">
        <v>0</v>
      </c>
      <c r="Q45" s="18" t="n">
        <v>2.97247679</v>
      </c>
      <c r="R45" s="20" t="n">
        <v>0.9542985</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0</v>
      </c>
      <c r="F49" s="20" t="n">
        <v>0</v>
      </c>
      <c r="G49" s="18" t="n">
        <v>0</v>
      </c>
      <c r="H49" s="20" t="n">
        <v>0</v>
      </c>
      <c r="I49" s="18" t="s">
        <v>431</v>
      </c>
      <c r="J49" s="20" t="s">
        <v>431</v>
      </c>
      <c r="K49" s="18" t="n">
        <v>0</v>
      </c>
      <c r="L49" s="20" t="n">
        <v>0</v>
      </c>
      <c r="M49" s="18" t="n">
        <v>100</v>
      </c>
      <c r="N49" s="20" t="n">
        <v>0</v>
      </c>
      <c r="O49" s="18" t="n">
        <v>0</v>
      </c>
      <c r="P49" s="20" t="n">
        <v>0</v>
      </c>
      <c r="Q49" s="18" t="n">
        <v>0</v>
      </c>
      <c r="R49" s="20" t="n">
        <v>0</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70.3285631</v>
      </c>
      <c r="F55" s="20" t="n">
        <v>2.48158955</v>
      </c>
      <c r="G55" s="18" t="n">
        <v>20.16355196</v>
      </c>
      <c r="H55" s="20" t="n">
        <v>2.01733848</v>
      </c>
      <c r="I55" s="18" t="s">
        <v>431</v>
      </c>
      <c r="J55" s="20" t="s">
        <v>431</v>
      </c>
      <c r="K55" s="18" t="n">
        <v>2.20812127</v>
      </c>
      <c r="L55" s="20" t="n">
        <v>0.61066508</v>
      </c>
      <c r="M55" s="18" t="n">
        <v>0</v>
      </c>
      <c r="N55" s="20" t="n">
        <v>0</v>
      </c>
      <c r="O55" s="18" t="n">
        <v>0.13975325</v>
      </c>
      <c r="P55" s="20" t="n">
        <v>0.20814215</v>
      </c>
      <c r="Q55" s="18" t="n">
        <v>7.16001042</v>
      </c>
      <c r="R55" s="20" t="n">
        <v>1.49265612</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74.73791327000001</v>
      </c>
      <c r="F57" s="20" t="n">
        <v>1.53466275</v>
      </c>
      <c r="G57" s="18" t="n">
        <v>22.82967818</v>
      </c>
      <c r="H57" s="20" t="n">
        <v>1.49339929</v>
      </c>
      <c r="I57" s="18" t="s">
        <v>431</v>
      </c>
      <c r="J57" s="20" t="s">
        <v>431</v>
      </c>
      <c r="K57" s="18" t="n">
        <v>0.53659981</v>
      </c>
      <c r="L57" s="20" t="n">
        <v>0.32019274</v>
      </c>
      <c r="M57" s="18" t="n">
        <v>0</v>
      </c>
      <c r="N57" s="20" t="n">
        <v>0</v>
      </c>
      <c r="O57" s="18" t="n">
        <v>0</v>
      </c>
      <c r="P57" s="20" t="n">
        <v>0</v>
      </c>
      <c r="Q57" s="18" t="n">
        <v>1.89580874</v>
      </c>
      <c r="R57" s="20" t="n">
        <v>0.58079965</v>
      </c>
    </row>
    <row r="58" spans="1:18">
      <c r="A58" s="15" t="s">
        <v>482</v>
      </c>
      <c r="B58" s="17" t="n">
        <v>3530</v>
      </c>
      <c r="C58" s="18">
        <f>(2962.0/B58*100)</f>
        <v/>
      </c>
      <c r="D58" s="19" t="n">
        <v>568</v>
      </c>
      <c r="E58" s="18" t="n">
        <v>60.04548143</v>
      </c>
      <c r="F58" s="20" t="n">
        <v>2.61635333</v>
      </c>
      <c r="G58" s="18" t="n">
        <v>34.80754567</v>
      </c>
      <c r="H58" s="20" t="n">
        <v>2.60712858</v>
      </c>
      <c r="I58" s="18" t="s">
        <v>431</v>
      </c>
      <c r="J58" s="20" t="s">
        <v>431</v>
      </c>
      <c r="K58" s="18" t="n">
        <v>1.50665916</v>
      </c>
      <c r="L58" s="20" t="n">
        <v>0.45988175</v>
      </c>
      <c r="M58" s="18" t="n">
        <v>0</v>
      </c>
      <c r="N58" s="20" t="n">
        <v>0</v>
      </c>
      <c r="O58" s="18" t="n">
        <v>0</v>
      </c>
      <c r="P58" s="20" t="n">
        <v>0</v>
      </c>
      <c r="Q58" s="18" t="n">
        <v>3.64031375</v>
      </c>
      <c r="R58" s="20" t="n">
        <v>0.87610064</v>
      </c>
    </row>
    <row r="59" spans="1:18">
      <c r="A59" s="15" t="s">
        <v>483</v>
      </c>
      <c r="B59" s="17" t="n">
        <v>2548</v>
      </c>
      <c r="C59" s="18">
        <f>(2118.0/B59*100)</f>
        <v/>
      </c>
      <c r="D59" s="19" t="n">
        <v>430</v>
      </c>
      <c r="E59" s="18" t="n">
        <v>67.64468087</v>
      </c>
      <c r="F59" s="20" t="n">
        <v>2.59245159</v>
      </c>
      <c r="G59" s="18" t="n">
        <v>26.93216531</v>
      </c>
      <c r="H59" s="20" t="n">
        <v>2.44416009</v>
      </c>
      <c r="I59" s="18" t="s">
        <v>431</v>
      </c>
      <c r="J59" s="20" t="s">
        <v>431</v>
      </c>
      <c r="K59" s="18" t="n">
        <v>0.36772652</v>
      </c>
      <c r="L59" s="20" t="n">
        <v>0.17365804</v>
      </c>
      <c r="M59" s="18" t="n">
        <v>0</v>
      </c>
      <c r="N59" s="20" t="n">
        <v>0</v>
      </c>
      <c r="O59" s="18" t="n">
        <v>0</v>
      </c>
      <c r="P59" s="20" t="n">
        <v>0</v>
      </c>
      <c r="Q59" s="18" t="n">
        <v>5.05542731</v>
      </c>
      <c r="R59" s="20" t="n">
        <v>1.11814558</v>
      </c>
    </row>
    <row r="60" spans="1:18">
      <c r="A60" s="15" t="s">
        <v>484</v>
      </c>
      <c r="B60" s="17" t="n">
        <v>2095</v>
      </c>
      <c r="C60" s="18">
        <f>(1743.0/B60*100)</f>
        <v/>
      </c>
      <c r="D60" s="19" t="n">
        <v>352</v>
      </c>
      <c r="E60" s="18" t="n">
        <v>54.43054063</v>
      </c>
      <c r="F60" s="20" t="n">
        <v>3.52920477</v>
      </c>
      <c r="G60" s="18" t="n">
        <v>37.03648445</v>
      </c>
      <c r="H60" s="20" t="n">
        <v>3.10785371</v>
      </c>
      <c r="I60" s="18" t="s">
        <v>431</v>
      </c>
      <c r="J60" s="20" t="s">
        <v>431</v>
      </c>
      <c r="K60" s="18" t="n">
        <v>2.40295611</v>
      </c>
      <c r="L60" s="20" t="n">
        <v>0.80023933</v>
      </c>
      <c r="M60" s="18" t="n">
        <v>0</v>
      </c>
      <c r="N60" s="20" t="n">
        <v>0</v>
      </c>
      <c r="O60" s="18" t="n">
        <v>0</v>
      </c>
      <c r="P60" s="20" t="n">
        <v>0</v>
      </c>
      <c r="Q60" s="18" t="n">
        <v>6.1300188</v>
      </c>
      <c r="R60" s="20" t="n">
        <v>1.43502568</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62.34507283</v>
      </c>
      <c r="F63" s="20" t="n">
        <v>2.37276447</v>
      </c>
      <c r="G63" s="18" t="n">
        <v>26.24699536</v>
      </c>
      <c r="H63" s="20" t="n">
        <v>2.19040601</v>
      </c>
      <c r="I63" s="18" t="s">
        <v>431</v>
      </c>
      <c r="J63" s="20" t="s">
        <v>431</v>
      </c>
      <c r="K63" s="18" t="n">
        <v>2.80639098</v>
      </c>
      <c r="L63" s="20" t="n">
        <v>0.68600169</v>
      </c>
      <c r="M63" s="18" t="n">
        <v>0</v>
      </c>
      <c r="N63" s="20" t="n">
        <v>0</v>
      </c>
      <c r="O63" s="18" t="n">
        <v>0.22937476</v>
      </c>
      <c r="P63" s="20" t="n">
        <v>0.23145213</v>
      </c>
      <c r="Q63" s="18" t="n">
        <v>8.37216608</v>
      </c>
      <c r="R63" s="20" t="n">
        <v>1.46573433</v>
      </c>
    </row>
    <row r="64" spans="1:18">
      <c r="A64" s="15" t="s">
        <v>488</v>
      </c>
      <c r="B64" s="17" t="n">
        <v>1844</v>
      </c>
      <c r="C64" s="18">
        <f>(1521.0/B64*100)</f>
        <v/>
      </c>
      <c r="D64" s="19" t="n">
        <v>323</v>
      </c>
      <c r="E64" s="18" t="n">
        <v>60.43131248</v>
      </c>
      <c r="F64" s="20" t="n">
        <v>2.6131885</v>
      </c>
      <c r="G64" s="18" t="n">
        <v>33.97021648</v>
      </c>
      <c r="H64" s="20" t="n">
        <v>2.41475125</v>
      </c>
      <c r="I64" s="18" t="s">
        <v>431</v>
      </c>
      <c r="J64" s="20" t="s">
        <v>431</v>
      </c>
      <c r="K64" s="18" t="n">
        <v>3.50701141</v>
      </c>
      <c r="L64" s="20" t="n">
        <v>0.98835531</v>
      </c>
      <c r="M64" s="18" t="n">
        <v>0</v>
      </c>
      <c r="N64" s="20" t="n">
        <v>0</v>
      </c>
      <c r="O64" s="18" t="n">
        <v>0</v>
      </c>
      <c r="P64" s="20" t="n">
        <v>0</v>
      </c>
      <c r="Q64" s="18" t="n">
        <v>2.09145964</v>
      </c>
      <c r="R64" s="20" t="n">
        <v>0.85899403</v>
      </c>
    </row>
    <row r="65" spans="1:18">
      <c r="A65" s="15" t="s">
        <v>489</v>
      </c>
      <c r="B65" s="17" t="n">
        <v>2691</v>
      </c>
      <c r="C65" s="18">
        <f>(2232.0/B65*100)</f>
        <v/>
      </c>
      <c r="D65" s="19" t="n">
        <v>459</v>
      </c>
      <c r="E65" s="18" t="n">
        <v>61.11360159</v>
      </c>
      <c r="F65" s="20" t="n">
        <v>2.21152746</v>
      </c>
      <c r="G65" s="18" t="n">
        <v>22.87251615</v>
      </c>
      <c r="H65" s="20" t="n">
        <v>1.70620828</v>
      </c>
      <c r="I65" s="18" t="s">
        <v>431</v>
      </c>
      <c r="J65" s="20" t="s">
        <v>431</v>
      </c>
      <c r="K65" s="18" t="n">
        <v>7.37448495</v>
      </c>
      <c r="L65" s="20" t="n">
        <v>1.24284122</v>
      </c>
      <c r="M65" s="18" t="n">
        <v>0</v>
      </c>
      <c r="N65" s="20" t="n">
        <v>0</v>
      </c>
      <c r="O65" s="18" t="n">
        <v>0</v>
      </c>
      <c r="P65" s="20" t="n">
        <v>0</v>
      </c>
      <c r="Q65" s="18" t="n">
        <v>8.63939731</v>
      </c>
      <c r="R65" s="20" t="n">
        <v>1.61925268</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68.82700246</v>
      </c>
      <c r="F69" s="20" t="n">
        <v>2.52402846</v>
      </c>
      <c r="G69" s="18" t="n">
        <v>31.17299754</v>
      </c>
      <c r="H69" s="20" t="n">
        <v>2.52402846</v>
      </c>
      <c r="I69" s="18" t="s">
        <v>431</v>
      </c>
      <c r="J69" s="20" t="s">
        <v>431</v>
      </c>
      <c r="K69" s="18" t="n">
        <v>0</v>
      </c>
      <c r="L69" s="20" t="n">
        <v>0</v>
      </c>
      <c r="M69" s="18" t="n">
        <v>0</v>
      </c>
      <c r="N69" s="20" t="n">
        <v>0</v>
      </c>
      <c r="O69" s="18" t="n">
        <v>0</v>
      </c>
      <c r="P69" s="20" t="n">
        <v>0</v>
      </c>
      <c r="Q69" s="18" t="n">
        <v>0</v>
      </c>
      <c r="R69" s="20" t="n">
        <v>0</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61.65300228</v>
      </c>
      <c r="F74" s="20" t="n">
        <v>2.64825638</v>
      </c>
      <c r="G74" s="18" t="n">
        <v>27.1452885</v>
      </c>
      <c r="H74" s="20" t="n">
        <v>2.59939703</v>
      </c>
      <c r="I74" s="18" t="s">
        <v>431</v>
      </c>
      <c r="J74" s="20" t="s">
        <v>431</v>
      </c>
      <c r="K74" s="18" t="n">
        <v>4.06962053</v>
      </c>
      <c r="L74" s="20" t="n">
        <v>0.97541068</v>
      </c>
      <c r="M74" s="18" t="n">
        <v>0</v>
      </c>
      <c r="N74" s="20" t="n">
        <v>0</v>
      </c>
      <c r="O74" s="18" t="n">
        <v>0</v>
      </c>
      <c r="P74" s="20" t="n">
        <v>0</v>
      </c>
      <c r="Q74" s="18" t="n">
        <v>7.1320887</v>
      </c>
      <c r="R74" s="20" t="n">
        <v>1.31164454</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39.51846548</v>
      </c>
      <c r="F78" s="20" t="n">
        <v>1.75362909</v>
      </c>
      <c r="G78" s="18" t="n">
        <v>60.42660347</v>
      </c>
      <c r="H78" s="20" t="n">
        <v>1.75428947</v>
      </c>
      <c r="I78" s="18" t="s">
        <v>431</v>
      </c>
      <c r="J78" s="20" t="s">
        <v>431</v>
      </c>
      <c r="K78" s="18" t="n">
        <v>0</v>
      </c>
      <c r="L78" s="20" t="n">
        <v>0</v>
      </c>
      <c r="M78" s="18" t="n">
        <v>0</v>
      </c>
      <c r="N78" s="20" t="n">
        <v>0</v>
      </c>
      <c r="O78" s="18" t="n">
        <v>0</v>
      </c>
      <c r="P78" s="20" t="n">
        <v>0</v>
      </c>
      <c r="Q78" s="18" t="n">
        <v>0.05493105</v>
      </c>
      <c r="R78" s="20" t="n">
        <v>0.03902417</v>
      </c>
    </row>
    <row customHeight="1" ht="25" r="79" spans="1:18">
      <c r="A79" s="15" t="s">
        <v>503</v>
      </c>
      <c r="B79" s="17" t="n">
        <v>787</v>
      </c>
      <c r="C79" s="18">
        <f>(661.0/B79*100)</f>
        <v/>
      </c>
      <c r="D79" s="19" t="n">
        <v>126</v>
      </c>
      <c r="E79" s="18" t="n">
        <v>0</v>
      </c>
      <c r="F79" s="20" t="n">
        <v>0</v>
      </c>
      <c r="G79" s="18" t="n">
        <v>0</v>
      </c>
      <c r="H79" s="20" t="n">
        <v>0</v>
      </c>
      <c r="I79" s="18" t="s">
        <v>431</v>
      </c>
      <c r="J79" s="20" t="s">
        <v>431</v>
      </c>
      <c r="K79" s="18" t="n">
        <v>0</v>
      </c>
      <c r="L79" s="20" t="n">
        <v>0</v>
      </c>
      <c r="M79" s="18" t="n">
        <v>100</v>
      </c>
      <c r="N79" s="20" t="n">
        <v>0</v>
      </c>
      <c r="O79" s="18" t="n">
        <v>0</v>
      </c>
      <c r="P79" s="20" t="n">
        <v>0</v>
      </c>
      <c r="Q79" s="18" t="n">
        <v>0</v>
      </c>
      <c r="R79" s="20" t="n">
        <v>0</v>
      </c>
    </row>
    <row r="80" spans="1:18">
      <c r="A80" s="15" t="s">
        <v>504</v>
      </c>
      <c r="B80" s="17" t="n">
        <v>3798</v>
      </c>
      <c r="C80" s="18">
        <f>(3158.0/B80*100)</f>
        <v/>
      </c>
      <c r="D80" s="19" t="n">
        <v>640</v>
      </c>
      <c r="E80" s="18" t="n">
        <v>64.54026577</v>
      </c>
      <c r="F80" s="20" t="n">
        <v>2.40694487</v>
      </c>
      <c r="G80" s="18" t="n">
        <v>34.90111439</v>
      </c>
      <c r="H80" s="20" t="n">
        <v>2.430872</v>
      </c>
      <c r="I80" s="18" t="s">
        <v>431</v>
      </c>
      <c r="J80" s="20" t="s">
        <v>431</v>
      </c>
      <c r="K80" s="18" t="n">
        <v>0.18363306</v>
      </c>
      <c r="L80" s="20" t="n">
        <v>0.13708943</v>
      </c>
      <c r="M80" s="18" t="n">
        <v>0</v>
      </c>
      <c r="N80" s="20" t="n">
        <v>0</v>
      </c>
      <c r="O80" s="18" t="n">
        <v>0</v>
      </c>
      <c r="P80" s="20" t="n">
        <v>0</v>
      </c>
      <c r="Q80" s="18" t="n">
        <v>0.37498678</v>
      </c>
      <c r="R80" s="20" t="n">
        <v>0.22071293</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31.99569126</v>
      </c>
      <c r="F44" s="20" t="n">
        <v>2.61094386</v>
      </c>
      <c r="G44" s="18" t="n">
        <v>49.86107696</v>
      </c>
      <c r="H44" s="20" t="n">
        <v>2.73380091</v>
      </c>
      <c r="I44" s="18" t="s">
        <v>431</v>
      </c>
      <c r="J44" s="20" t="s">
        <v>431</v>
      </c>
      <c r="K44" s="18" t="n">
        <v>4.00893485</v>
      </c>
      <c r="L44" s="20" t="n">
        <v>1.08440446</v>
      </c>
      <c r="M44" s="18" t="n">
        <v>0</v>
      </c>
      <c r="N44" s="20" t="n">
        <v>0</v>
      </c>
      <c r="O44" s="18" t="n">
        <v>1.22979665</v>
      </c>
      <c r="P44" s="20" t="n">
        <v>0.59870056</v>
      </c>
      <c r="Q44" s="18" t="n">
        <v>12.90450028</v>
      </c>
      <c r="R44" s="20" t="n">
        <v>1.96398951</v>
      </c>
    </row>
    <row r="45" spans="1:18">
      <c r="A45" s="15" t="s">
        <v>469</v>
      </c>
      <c r="B45" s="17" t="n">
        <v>2849</v>
      </c>
      <c r="C45" s="18">
        <f>(2379.0/B45*100)</f>
        <v/>
      </c>
      <c r="D45" s="19" t="n">
        <v>470</v>
      </c>
      <c r="E45" s="18" t="n">
        <v>44.57760874</v>
      </c>
      <c r="F45" s="20" t="n">
        <v>2.44819853</v>
      </c>
      <c r="G45" s="18" t="n">
        <v>38.7389631</v>
      </c>
      <c r="H45" s="20" t="n">
        <v>2.48521369</v>
      </c>
      <c r="I45" s="18" t="s">
        <v>431</v>
      </c>
      <c r="J45" s="20" t="s">
        <v>431</v>
      </c>
      <c r="K45" s="18" t="n">
        <v>6.14270577</v>
      </c>
      <c r="L45" s="20" t="n">
        <v>1.12680728</v>
      </c>
      <c r="M45" s="18" t="n">
        <v>0.47814639</v>
      </c>
      <c r="N45" s="20" t="n">
        <v>0.34505472</v>
      </c>
      <c r="O45" s="18" t="n">
        <v>3.97760977</v>
      </c>
      <c r="P45" s="20" t="n">
        <v>0.96357647</v>
      </c>
      <c r="Q45" s="18" t="n">
        <v>6.08496623</v>
      </c>
      <c r="R45" s="20" t="n">
        <v>1.32763201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38.65425986</v>
      </c>
      <c r="F49" s="20" t="n">
        <v>2.71819502</v>
      </c>
      <c r="G49" s="18" t="n">
        <v>55.6230199</v>
      </c>
      <c r="H49" s="20" t="n">
        <v>2.71308078</v>
      </c>
      <c r="I49" s="18" t="s">
        <v>431</v>
      </c>
      <c r="J49" s="20" t="s">
        <v>431</v>
      </c>
      <c r="K49" s="18" t="n">
        <v>2.40998478</v>
      </c>
      <c r="L49" s="20" t="n">
        <v>0.95709893</v>
      </c>
      <c r="M49" s="18" t="n">
        <v>0.07008778</v>
      </c>
      <c r="N49" s="20" t="n">
        <v>0.07034119</v>
      </c>
      <c r="O49" s="18" t="n">
        <v>0.28069862</v>
      </c>
      <c r="P49" s="20" t="n">
        <v>0.23576526</v>
      </c>
      <c r="Q49" s="18" t="n">
        <v>2.96194905</v>
      </c>
      <c r="R49" s="20" t="n">
        <v>0.96817041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56.2466107</v>
      </c>
      <c r="F55" s="20" t="n">
        <v>2.56122711</v>
      </c>
      <c r="G55" s="18" t="n">
        <v>37.4116777</v>
      </c>
      <c r="H55" s="20" t="n">
        <v>2.51476059</v>
      </c>
      <c r="I55" s="18" t="s">
        <v>431</v>
      </c>
      <c r="J55" s="20" t="s">
        <v>431</v>
      </c>
      <c r="K55" s="18" t="n">
        <v>2.20812127</v>
      </c>
      <c r="L55" s="20" t="n">
        <v>0.61066508</v>
      </c>
      <c r="M55" s="18" t="n">
        <v>0</v>
      </c>
      <c r="N55" s="20" t="n">
        <v>0</v>
      </c>
      <c r="O55" s="18" t="n">
        <v>0.56812168</v>
      </c>
      <c r="P55" s="20" t="n">
        <v>0.29473775</v>
      </c>
      <c r="Q55" s="18" t="n">
        <v>3.56546865</v>
      </c>
      <c r="R55" s="20" t="n">
        <v>0.95274019</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66.90589430999999</v>
      </c>
      <c r="F57" s="20" t="n">
        <v>2.23917179</v>
      </c>
      <c r="G57" s="18" t="n">
        <v>31.48622443</v>
      </c>
      <c r="H57" s="20" t="n">
        <v>2.19543184</v>
      </c>
      <c r="I57" s="18" t="s">
        <v>431</v>
      </c>
      <c r="J57" s="20" t="s">
        <v>431</v>
      </c>
      <c r="K57" s="18" t="n">
        <v>0.53659981</v>
      </c>
      <c r="L57" s="20" t="n">
        <v>0.32019274</v>
      </c>
      <c r="M57" s="18" t="n">
        <v>0</v>
      </c>
      <c r="N57" s="20" t="n">
        <v>0</v>
      </c>
      <c r="O57" s="18" t="n">
        <v>0</v>
      </c>
      <c r="P57" s="20" t="n">
        <v>0</v>
      </c>
      <c r="Q57" s="18" t="n">
        <v>1.07128144</v>
      </c>
      <c r="R57" s="20" t="n">
        <v>0.45749023</v>
      </c>
    </row>
    <row r="58" spans="1:18">
      <c r="A58" s="15" t="s">
        <v>482</v>
      </c>
      <c r="B58" s="17" t="n">
        <v>3530</v>
      </c>
      <c r="C58" s="18">
        <f>(2962.0/B58*100)</f>
        <v/>
      </c>
      <c r="D58" s="19" t="n">
        <v>568</v>
      </c>
      <c r="E58" s="18" t="n">
        <v>44.82277002</v>
      </c>
      <c r="F58" s="20" t="n">
        <v>2.58211534</v>
      </c>
      <c r="G58" s="18" t="n">
        <v>46.53739335</v>
      </c>
      <c r="H58" s="20" t="n">
        <v>2.14315213</v>
      </c>
      <c r="I58" s="18" t="s">
        <v>431</v>
      </c>
      <c r="J58" s="20" t="s">
        <v>431</v>
      </c>
      <c r="K58" s="18" t="n">
        <v>1.78574916</v>
      </c>
      <c r="L58" s="20" t="n">
        <v>0.6602294</v>
      </c>
      <c r="M58" s="18" t="n">
        <v>0</v>
      </c>
      <c r="N58" s="20" t="n">
        <v>0</v>
      </c>
      <c r="O58" s="18" t="n">
        <v>0.1821774</v>
      </c>
      <c r="P58" s="20" t="n">
        <v>0.11032806</v>
      </c>
      <c r="Q58" s="18" t="n">
        <v>6.67191007</v>
      </c>
      <c r="R58" s="20" t="n">
        <v>1.55041853</v>
      </c>
    </row>
    <row r="59" spans="1:18">
      <c r="A59" s="15" t="s">
        <v>483</v>
      </c>
      <c r="B59" s="17" t="n">
        <v>2548</v>
      </c>
      <c r="C59" s="18">
        <f>(2118.0/B59*100)</f>
        <v/>
      </c>
      <c r="D59" s="19" t="n">
        <v>430</v>
      </c>
      <c r="E59" s="18" t="n">
        <v>50.8251745</v>
      </c>
      <c r="F59" s="20" t="n">
        <v>2.56799656</v>
      </c>
      <c r="G59" s="18" t="n">
        <v>43.15552884</v>
      </c>
      <c r="H59" s="20" t="n">
        <v>2.3094391</v>
      </c>
      <c r="I59" s="18" t="s">
        <v>431</v>
      </c>
      <c r="J59" s="20" t="s">
        <v>431</v>
      </c>
      <c r="K59" s="18" t="n">
        <v>0.36772652</v>
      </c>
      <c r="L59" s="20" t="n">
        <v>0.17365804</v>
      </c>
      <c r="M59" s="18" t="n">
        <v>0</v>
      </c>
      <c r="N59" s="20" t="n">
        <v>0</v>
      </c>
      <c r="O59" s="18" t="n">
        <v>2.82723114</v>
      </c>
      <c r="P59" s="20" t="n">
        <v>0.95176772</v>
      </c>
      <c r="Q59" s="18" t="n">
        <v>2.824339</v>
      </c>
      <c r="R59" s="20" t="n">
        <v>0.97115386</v>
      </c>
    </row>
    <row r="60" spans="1:18">
      <c r="A60" s="15" t="s">
        <v>484</v>
      </c>
      <c r="B60" s="17" t="n">
        <v>2095</v>
      </c>
      <c r="C60" s="18">
        <f>(1743.0/B60*100)</f>
        <v/>
      </c>
      <c r="D60" s="19" t="n">
        <v>352</v>
      </c>
      <c r="E60" s="18" t="n">
        <v>39.15365492</v>
      </c>
      <c r="F60" s="20" t="n">
        <v>2.68258843</v>
      </c>
      <c r="G60" s="18" t="n">
        <v>51.99565328</v>
      </c>
      <c r="H60" s="20" t="n">
        <v>2.64889497</v>
      </c>
      <c r="I60" s="18" t="s">
        <v>431</v>
      </c>
      <c r="J60" s="20" t="s">
        <v>431</v>
      </c>
      <c r="K60" s="18" t="n">
        <v>2.40295611</v>
      </c>
      <c r="L60" s="20" t="n">
        <v>0.80023933</v>
      </c>
      <c r="M60" s="18" t="n">
        <v>0</v>
      </c>
      <c r="N60" s="20" t="n">
        <v>0</v>
      </c>
      <c r="O60" s="18" t="n">
        <v>1.73398228</v>
      </c>
      <c r="P60" s="20" t="n">
        <v>0.80004735</v>
      </c>
      <c r="Q60" s="18" t="n">
        <v>4.71375341</v>
      </c>
      <c r="R60" s="20" t="n">
        <v>1.4663982</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46.49433887</v>
      </c>
      <c r="F63" s="20" t="n">
        <v>2.53208939</v>
      </c>
      <c r="G63" s="18" t="n">
        <v>42.81573864</v>
      </c>
      <c r="H63" s="20" t="n">
        <v>2.74680492</v>
      </c>
      <c r="I63" s="18" t="s">
        <v>431</v>
      </c>
      <c r="J63" s="20" t="s">
        <v>431</v>
      </c>
      <c r="K63" s="18" t="n">
        <v>2.80639098</v>
      </c>
      <c r="L63" s="20" t="n">
        <v>0.68600169</v>
      </c>
      <c r="M63" s="18" t="n">
        <v>0</v>
      </c>
      <c r="N63" s="20" t="n">
        <v>0</v>
      </c>
      <c r="O63" s="18" t="n">
        <v>0.18926717</v>
      </c>
      <c r="P63" s="20" t="n">
        <v>0.13754647</v>
      </c>
      <c r="Q63" s="18" t="n">
        <v>7.69426435</v>
      </c>
      <c r="R63" s="20" t="n">
        <v>1.15885165</v>
      </c>
    </row>
    <row r="64" spans="1:18">
      <c r="A64" s="15" t="s">
        <v>488</v>
      </c>
      <c r="B64" s="17" t="n">
        <v>1844</v>
      </c>
      <c r="C64" s="18">
        <f>(1521.0/B64*100)</f>
        <v/>
      </c>
      <c r="D64" s="19" t="n">
        <v>323</v>
      </c>
      <c r="E64" s="18" t="n">
        <v>40.33918031</v>
      </c>
      <c r="F64" s="20" t="n">
        <v>2.83855887</v>
      </c>
      <c r="G64" s="18" t="n">
        <v>53.02694229</v>
      </c>
      <c r="H64" s="20" t="n">
        <v>2.88648751</v>
      </c>
      <c r="I64" s="18" t="s">
        <v>431</v>
      </c>
      <c r="J64" s="20" t="s">
        <v>431</v>
      </c>
      <c r="K64" s="18" t="n">
        <v>3.80241584</v>
      </c>
      <c r="L64" s="20" t="n">
        <v>0.91888646</v>
      </c>
      <c r="M64" s="18" t="n">
        <v>0</v>
      </c>
      <c r="N64" s="20" t="n">
        <v>0</v>
      </c>
      <c r="O64" s="18" t="n">
        <v>0</v>
      </c>
      <c r="P64" s="20" t="n">
        <v>0</v>
      </c>
      <c r="Q64" s="18" t="n">
        <v>2.83146156</v>
      </c>
      <c r="R64" s="20" t="n">
        <v>0.99427453</v>
      </c>
    </row>
    <row r="65" spans="1:18">
      <c r="A65" s="15" t="s">
        <v>489</v>
      </c>
      <c r="B65" s="17" t="n">
        <v>2691</v>
      </c>
      <c r="C65" s="18">
        <f>(2232.0/B65*100)</f>
        <v/>
      </c>
      <c r="D65" s="19" t="n">
        <v>459</v>
      </c>
      <c r="E65" s="18" t="n">
        <v>39.63579159</v>
      </c>
      <c r="F65" s="20" t="n">
        <v>2.61089609</v>
      </c>
      <c r="G65" s="18" t="n">
        <v>42.85342077</v>
      </c>
      <c r="H65" s="20" t="n">
        <v>2.46740048</v>
      </c>
      <c r="I65" s="18" t="s">
        <v>431</v>
      </c>
      <c r="J65" s="20" t="s">
        <v>431</v>
      </c>
      <c r="K65" s="18" t="n">
        <v>7.57271407</v>
      </c>
      <c r="L65" s="20" t="n">
        <v>1.28396381</v>
      </c>
      <c r="M65" s="18" t="n">
        <v>3.23406372</v>
      </c>
      <c r="N65" s="20" t="n">
        <v>0.77401161</v>
      </c>
      <c r="O65" s="18" t="n">
        <v>0</v>
      </c>
      <c r="P65" s="20" t="n">
        <v>0</v>
      </c>
      <c r="Q65" s="18" t="n">
        <v>6.70400985</v>
      </c>
      <c r="R65" s="20" t="n">
        <v>1.51353245</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48.34397596</v>
      </c>
      <c r="F69" s="20" t="n">
        <v>2.72805141</v>
      </c>
      <c r="G69" s="18" t="n">
        <v>51.45765696</v>
      </c>
      <c r="H69" s="20" t="n">
        <v>2.69124651</v>
      </c>
      <c r="I69" s="18" t="s">
        <v>431</v>
      </c>
      <c r="J69" s="20" t="s">
        <v>431</v>
      </c>
      <c r="K69" s="18" t="n">
        <v>0</v>
      </c>
      <c r="L69" s="20" t="n">
        <v>0</v>
      </c>
      <c r="M69" s="18" t="n">
        <v>0</v>
      </c>
      <c r="N69" s="20" t="n">
        <v>0</v>
      </c>
      <c r="O69" s="18" t="n">
        <v>0</v>
      </c>
      <c r="P69" s="20" t="n">
        <v>0</v>
      </c>
      <c r="Q69" s="18" t="n">
        <v>0.19836708</v>
      </c>
      <c r="R69" s="20" t="n">
        <v>0.20738764</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45.60711354</v>
      </c>
      <c r="F74" s="20" t="n">
        <v>2.82615348</v>
      </c>
      <c r="G74" s="18" t="n">
        <v>43.14763629</v>
      </c>
      <c r="H74" s="20" t="n">
        <v>2.52636674</v>
      </c>
      <c r="I74" s="18" t="s">
        <v>431</v>
      </c>
      <c r="J74" s="20" t="s">
        <v>431</v>
      </c>
      <c r="K74" s="18" t="n">
        <v>4.43523053</v>
      </c>
      <c r="L74" s="20" t="n">
        <v>1.031318</v>
      </c>
      <c r="M74" s="18" t="n">
        <v>0</v>
      </c>
      <c r="N74" s="20" t="n">
        <v>0</v>
      </c>
      <c r="O74" s="18" t="n">
        <v>0</v>
      </c>
      <c r="P74" s="20" t="n">
        <v>0</v>
      </c>
      <c r="Q74" s="18" t="n">
        <v>6.81001965</v>
      </c>
      <c r="R74" s="20" t="n">
        <v>1.33171959</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24.83494865</v>
      </c>
      <c r="F78" s="20" t="n">
        <v>2.62870766</v>
      </c>
      <c r="G78" s="18" t="n">
        <v>75.16505135</v>
      </c>
      <c r="H78" s="20" t="n">
        <v>2.62870766</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(661.0/B79*100)</f>
        <v/>
      </c>
      <c r="D79" s="19" t="n">
        <v>126</v>
      </c>
      <c r="E79" s="18" t="n">
        <v>20.30986095</v>
      </c>
      <c r="F79" s="20" t="n">
        <v>3.75443765</v>
      </c>
      <c r="G79" s="18" t="n">
        <v>69.16191176</v>
      </c>
      <c r="H79" s="20" t="n">
        <v>4.18784554</v>
      </c>
      <c r="I79" s="18" t="s">
        <v>431</v>
      </c>
      <c r="J79" s="20" t="s">
        <v>431</v>
      </c>
      <c r="K79" s="18" t="n">
        <v>4.50067651</v>
      </c>
      <c r="L79" s="20" t="n">
        <v>1.88324771</v>
      </c>
      <c r="M79" s="18" t="n">
        <v>0.90160406</v>
      </c>
      <c r="N79" s="20" t="n">
        <v>0.91381947</v>
      </c>
      <c r="O79" s="18" t="n">
        <v>0.8467115</v>
      </c>
      <c r="P79" s="20" t="n">
        <v>0.8685893</v>
      </c>
      <c r="Q79" s="18" t="n">
        <v>4.27923522</v>
      </c>
      <c r="R79" s="20" t="n">
        <v>1.18807058</v>
      </c>
    </row>
    <row r="80" spans="1:18">
      <c r="A80" s="15" t="s">
        <v>504</v>
      </c>
      <c r="B80" s="17" t="n">
        <v>3798</v>
      </c>
      <c r="C80" s="18">
        <f>(3158.0/B80*100)</f>
        <v/>
      </c>
      <c r="D80" s="19" t="n">
        <v>640</v>
      </c>
      <c r="E80" s="18" t="n">
        <v>41.84841531</v>
      </c>
      <c r="F80" s="20" t="n">
        <v>2.66431362</v>
      </c>
      <c r="G80" s="18" t="n">
        <v>57.59296484</v>
      </c>
      <c r="H80" s="20" t="n">
        <v>2.69390315</v>
      </c>
      <c r="I80" s="18" t="s">
        <v>431</v>
      </c>
      <c r="J80" s="20" t="s">
        <v>431</v>
      </c>
      <c r="K80" s="18" t="n">
        <v>0.18363306</v>
      </c>
      <c r="L80" s="20" t="n">
        <v>0.13708943</v>
      </c>
      <c r="M80" s="18" t="n">
        <v>0</v>
      </c>
      <c r="N80" s="20" t="n">
        <v>0</v>
      </c>
      <c r="O80" s="18" t="n">
        <v>0</v>
      </c>
      <c r="P80" s="20" t="n">
        <v>0</v>
      </c>
      <c r="Q80" s="18" t="n">
        <v>0.37498678</v>
      </c>
      <c r="R80" s="20" t="n">
        <v>0.22071293</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687</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37.72030705</v>
      </c>
      <c r="F44" s="20" t="n">
        <v>2.70343553</v>
      </c>
      <c r="G44" s="18" t="n">
        <v>44.30836444</v>
      </c>
      <c r="H44" s="20" t="n">
        <v>2.82539971</v>
      </c>
      <c r="I44" s="18" t="s">
        <v>431</v>
      </c>
      <c r="J44" s="20" t="s">
        <v>431</v>
      </c>
      <c r="K44" s="18" t="n">
        <v>4.00893485</v>
      </c>
      <c r="L44" s="20" t="n">
        <v>1.08440446</v>
      </c>
      <c r="M44" s="18" t="n">
        <v>0</v>
      </c>
      <c r="N44" s="20" t="n">
        <v>0</v>
      </c>
      <c r="O44" s="18" t="n">
        <v>2.10229236</v>
      </c>
      <c r="P44" s="20" t="n">
        <v>1.06257161</v>
      </c>
      <c r="Q44" s="18" t="n">
        <v>11.8601013</v>
      </c>
      <c r="R44" s="20" t="n">
        <v>1.77570573</v>
      </c>
    </row>
    <row r="45" spans="1:18">
      <c r="A45" s="15" t="s">
        <v>469</v>
      </c>
      <c r="B45" s="17" t="n">
        <v>2849</v>
      </c>
      <c r="C45" s="18">
        <f>(2379.0/B45*100)</f>
        <v/>
      </c>
      <c r="D45" s="19" t="n">
        <v>470</v>
      </c>
      <c r="E45" s="18" t="n">
        <v>45.09018151</v>
      </c>
      <c r="F45" s="20" t="n">
        <v>2.66884242</v>
      </c>
      <c r="G45" s="18" t="n">
        <v>40.23951236</v>
      </c>
      <c r="H45" s="20" t="n">
        <v>2.59097208</v>
      </c>
      <c r="I45" s="18" t="s">
        <v>431</v>
      </c>
      <c r="J45" s="20" t="s">
        <v>431</v>
      </c>
      <c r="K45" s="18" t="n">
        <v>6.14270577</v>
      </c>
      <c r="L45" s="20" t="n">
        <v>1.12680728</v>
      </c>
      <c r="M45" s="18" t="n">
        <v>0.66277821</v>
      </c>
      <c r="N45" s="20" t="n">
        <v>0.39116244</v>
      </c>
      <c r="O45" s="18" t="n">
        <v>3.80088754</v>
      </c>
      <c r="P45" s="20" t="n">
        <v>0.92178517</v>
      </c>
      <c r="Q45" s="18" t="n">
        <v>4.0639346</v>
      </c>
      <c r="R45" s="20" t="n">
        <v>1.09627916</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27.98857461</v>
      </c>
      <c r="F49" s="20" t="n">
        <v>2.79063494</v>
      </c>
      <c r="G49" s="18" t="n">
        <v>64.8165996</v>
      </c>
      <c r="H49" s="20" t="n">
        <v>2.69430658</v>
      </c>
      <c r="I49" s="18" t="s">
        <v>431</v>
      </c>
      <c r="J49" s="20" t="s">
        <v>431</v>
      </c>
      <c r="K49" s="18" t="n">
        <v>2.40998478</v>
      </c>
      <c r="L49" s="20" t="n">
        <v>0.95709893</v>
      </c>
      <c r="M49" s="18" t="n">
        <v>0.07008778</v>
      </c>
      <c r="N49" s="20" t="n">
        <v>0.07034119</v>
      </c>
      <c r="O49" s="18" t="n">
        <v>0.49010685</v>
      </c>
      <c r="P49" s="20" t="n">
        <v>0.34297987</v>
      </c>
      <c r="Q49" s="18" t="n">
        <v>4.22464638</v>
      </c>
      <c r="R49" s="20" t="n">
        <v>1.23258359</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35.54739327</v>
      </c>
      <c r="F55" s="20" t="n">
        <v>2.29452379</v>
      </c>
      <c r="G55" s="18" t="n">
        <v>56.98015885</v>
      </c>
      <c r="H55" s="20" t="n">
        <v>2.41561985</v>
      </c>
      <c r="I55" s="18" t="s">
        <v>431</v>
      </c>
      <c r="J55" s="20" t="s">
        <v>431</v>
      </c>
      <c r="K55" s="18" t="n">
        <v>2.20812127</v>
      </c>
      <c r="L55" s="20" t="n">
        <v>0.61066508</v>
      </c>
      <c r="M55" s="18" t="n">
        <v>0</v>
      </c>
      <c r="N55" s="20" t="n">
        <v>0</v>
      </c>
      <c r="O55" s="18" t="n">
        <v>0</v>
      </c>
      <c r="P55" s="20" t="n">
        <v>0</v>
      </c>
      <c r="Q55" s="18" t="n">
        <v>5.26432661</v>
      </c>
      <c r="R55" s="20" t="n">
        <v>1.17250922</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20.99195562</v>
      </c>
      <c r="F57" s="20" t="n">
        <v>1.75221991</v>
      </c>
      <c r="G57" s="18" t="n">
        <v>77.11924704</v>
      </c>
      <c r="H57" s="20" t="n">
        <v>1.77566857</v>
      </c>
      <c r="I57" s="18" t="s">
        <v>431</v>
      </c>
      <c r="J57" s="20" t="s">
        <v>431</v>
      </c>
      <c r="K57" s="18" t="n">
        <v>0.53659981</v>
      </c>
      <c r="L57" s="20" t="n">
        <v>0.32019274</v>
      </c>
      <c r="M57" s="18" t="n">
        <v>0</v>
      </c>
      <c r="N57" s="20" t="n">
        <v>0</v>
      </c>
      <c r="O57" s="18" t="n">
        <v>0</v>
      </c>
      <c r="P57" s="20" t="n">
        <v>0</v>
      </c>
      <c r="Q57" s="18" t="n">
        <v>1.35219753</v>
      </c>
      <c r="R57" s="20" t="n">
        <v>0.51240391</v>
      </c>
    </row>
    <row r="58" spans="1:18">
      <c r="A58" s="15" t="s">
        <v>482</v>
      </c>
      <c r="B58" s="17" t="n">
        <v>3530</v>
      </c>
      <c r="C58" s="18">
        <f>(2962.0/B58*100)</f>
        <v/>
      </c>
      <c r="D58" s="19" t="n">
        <v>568</v>
      </c>
      <c r="E58" s="18" t="n">
        <v>34.79573915</v>
      </c>
      <c r="F58" s="20" t="n">
        <v>1.98823872</v>
      </c>
      <c r="G58" s="18" t="n">
        <v>57.16345221</v>
      </c>
      <c r="H58" s="20" t="n">
        <v>2.66529574</v>
      </c>
      <c r="I58" s="18" t="s">
        <v>431</v>
      </c>
      <c r="J58" s="20" t="s">
        <v>431</v>
      </c>
      <c r="K58" s="18" t="n">
        <v>1.78574916</v>
      </c>
      <c r="L58" s="20" t="n">
        <v>0.6602294</v>
      </c>
      <c r="M58" s="18" t="n">
        <v>0</v>
      </c>
      <c r="N58" s="20" t="n">
        <v>0</v>
      </c>
      <c r="O58" s="18" t="n">
        <v>0.05261883</v>
      </c>
      <c r="P58" s="20" t="n">
        <v>0.05257082</v>
      </c>
      <c r="Q58" s="18" t="n">
        <v>6.20244066</v>
      </c>
      <c r="R58" s="20" t="n">
        <v>1.35956201</v>
      </c>
    </row>
    <row r="59" spans="1:18">
      <c r="A59" s="15" t="s">
        <v>483</v>
      </c>
      <c r="B59" s="17" t="n">
        <v>2548</v>
      </c>
      <c r="C59" s="18">
        <f>(2118.0/B59*100)</f>
        <v/>
      </c>
      <c r="D59" s="19" t="n">
        <v>430</v>
      </c>
      <c r="E59" s="18" t="n">
        <v>46.40637474</v>
      </c>
      <c r="F59" s="20" t="n">
        <v>2.75618035</v>
      </c>
      <c r="G59" s="18" t="n">
        <v>47.37022898</v>
      </c>
      <c r="H59" s="20" t="n">
        <v>2.80529178</v>
      </c>
      <c r="I59" s="18" t="s">
        <v>431</v>
      </c>
      <c r="J59" s="20" t="s">
        <v>431</v>
      </c>
      <c r="K59" s="18" t="n">
        <v>0.36772652</v>
      </c>
      <c r="L59" s="20" t="n">
        <v>0.17365804</v>
      </c>
      <c r="M59" s="18" t="n">
        <v>0</v>
      </c>
      <c r="N59" s="20" t="n">
        <v>0</v>
      </c>
      <c r="O59" s="18" t="n">
        <v>3.12891721</v>
      </c>
      <c r="P59" s="20" t="n">
        <v>0.98670149</v>
      </c>
      <c r="Q59" s="18" t="n">
        <v>2.72675255</v>
      </c>
      <c r="R59" s="20" t="n">
        <v>0.8513940800000001</v>
      </c>
    </row>
    <row r="60" spans="1:18">
      <c r="A60" s="15" t="s">
        <v>484</v>
      </c>
      <c r="B60" s="17" t="n">
        <v>2095</v>
      </c>
      <c r="C60" s="18">
        <f>(1743.0/B60*100)</f>
        <v/>
      </c>
      <c r="D60" s="19" t="n">
        <v>352</v>
      </c>
      <c r="E60" s="18" t="n">
        <v>44.45400212</v>
      </c>
      <c r="F60" s="20" t="n">
        <v>2.7424255</v>
      </c>
      <c r="G60" s="18" t="n">
        <v>46.05431595</v>
      </c>
      <c r="H60" s="20" t="n">
        <v>2.63480248</v>
      </c>
      <c r="I60" s="18" t="s">
        <v>431</v>
      </c>
      <c r="J60" s="20" t="s">
        <v>431</v>
      </c>
      <c r="K60" s="18" t="n">
        <v>2.40295611</v>
      </c>
      <c r="L60" s="20" t="n">
        <v>0.80023933</v>
      </c>
      <c r="M60" s="18" t="n">
        <v>0</v>
      </c>
      <c r="N60" s="20" t="n">
        <v>0</v>
      </c>
      <c r="O60" s="18" t="n">
        <v>1.40849367</v>
      </c>
      <c r="P60" s="20" t="n">
        <v>0.67943122</v>
      </c>
      <c r="Q60" s="18" t="n">
        <v>5.68023214</v>
      </c>
      <c r="R60" s="20" t="n">
        <v>1.14334728</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39.02587474</v>
      </c>
      <c r="F63" s="20" t="n">
        <v>2.3893932</v>
      </c>
      <c r="G63" s="18" t="n">
        <v>51.23209801</v>
      </c>
      <c r="H63" s="20" t="n">
        <v>2.59341742</v>
      </c>
      <c r="I63" s="18" t="s">
        <v>431</v>
      </c>
      <c r="J63" s="20" t="s">
        <v>431</v>
      </c>
      <c r="K63" s="18" t="n">
        <v>2.80639098</v>
      </c>
      <c r="L63" s="20" t="n">
        <v>0.68600169</v>
      </c>
      <c r="M63" s="18" t="n">
        <v>0</v>
      </c>
      <c r="N63" s="20" t="n">
        <v>0</v>
      </c>
      <c r="O63" s="18" t="n">
        <v>0.3059974</v>
      </c>
      <c r="P63" s="20" t="n">
        <v>0.22697852</v>
      </c>
      <c r="Q63" s="18" t="n">
        <v>6.62963887</v>
      </c>
      <c r="R63" s="20" t="n">
        <v>1.10690965</v>
      </c>
    </row>
    <row r="64" spans="1:18">
      <c r="A64" s="15" t="s">
        <v>488</v>
      </c>
      <c r="B64" s="17" t="n">
        <v>1844</v>
      </c>
      <c r="C64" s="18">
        <f>(1521.0/B64*100)</f>
        <v/>
      </c>
      <c r="D64" s="19" t="n">
        <v>323</v>
      </c>
      <c r="E64" s="18" t="n">
        <v>31.43545812</v>
      </c>
      <c r="F64" s="20" t="n">
        <v>2.7361482</v>
      </c>
      <c r="G64" s="18" t="n">
        <v>62.38769559</v>
      </c>
      <c r="H64" s="20" t="n">
        <v>2.83128108</v>
      </c>
      <c r="I64" s="18" t="s">
        <v>431</v>
      </c>
      <c r="J64" s="20" t="s">
        <v>431</v>
      </c>
      <c r="K64" s="18" t="n">
        <v>3.80241584</v>
      </c>
      <c r="L64" s="20" t="n">
        <v>0.91888646</v>
      </c>
      <c r="M64" s="18" t="n">
        <v>0</v>
      </c>
      <c r="N64" s="20" t="n">
        <v>0</v>
      </c>
      <c r="O64" s="18" t="n">
        <v>0</v>
      </c>
      <c r="P64" s="20" t="n">
        <v>0</v>
      </c>
      <c r="Q64" s="18" t="n">
        <v>2.37443045</v>
      </c>
      <c r="R64" s="20" t="n">
        <v>0.88039224</v>
      </c>
    </row>
    <row r="65" spans="1:18">
      <c r="A65" s="15" t="s">
        <v>489</v>
      </c>
      <c r="B65" s="17" t="n">
        <v>2691</v>
      </c>
      <c r="C65" s="18">
        <f>(2232.0/B65*100)</f>
        <v/>
      </c>
      <c r="D65" s="19" t="n">
        <v>459</v>
      </c>
      <c r="E65" s="18" t="n">
        <v>31.81449275</v>
      </c>
      <c r="F65" s="20" t="n">
        <v>2.29503991</v>
      </c>
      <c r="G65" s="18" t="n">
        <v>51.78655226</v>
      </c>
      <c r="H65" s="20" t="n">
        <v>2.19816892</v>
      </c>
      <c r="I65" s="18" t="s">
        <v>431</v>
      </c>
      <c r="J65" s="20" t="s">
        <v>431</v>
      </c>
      <c r="K65" s="18" t="n">
        <v>7.57271407</v>
      </c>
      <c r="L65" s="20" t="n">
        <v>1.28396381</v>
      </c>
      <c r="M65" s="18" t="n">
        <v>2.60264807</v>
      </c>
      <c r="N65" s="20" t="n">
        <v>0.69934793</v>
      </c>
      <c r="O65" s="18" t="n">
        <v>0</v>
      </c>
      <c r="P65" s="20" t="n">
        <v>0</v>
      </c>
      <c r="Q65" s="18" t="n">
        <v>6.22359285</v>
      </c>
      <c r="R65" s="20" t="n">
        <v>1.3275463</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47.11692264</v>
      </c>
      <c r="F69" s="20" t="n">
        <v>2.38348895</v>
      </c>
      <c r="G69" s="18" t="n">
        <v>52.68471028</v>
      </c>
      <c r="H69" s="20" t="n">
        <v>2.38485326</v>
      </c>
      <c r="I69" s="18" t="s">
        <v>431</v>
      </c>
      <c r="J69" s="20" t="s">
        <v>431</v>
      </c>
      <c r="K69" s="18" t="n">
        <v>0</v>
      </c>
      <c r="L69" s="20" t="n">
        <v>0</v>
      </c>
      <c r="M69" s="18" t="n">
        <v>0</v>
      </c>
      <c r="N69" s="20" t="n">
        <v>0</v>
      </c>
      <c r="O69" s="18" t="n">
        <v>0</v>
      </c>
      <c r="P69" s="20" t="n">
        <v>0</v>
      </c>
      <c r="Q69" s="18" t="n">
        <v>0.19836708</v>
      </c>
      <c r="R69" s="20" t="n">
        <v>0.20738764</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28.69504575</v>
      </c>
      <c r="F74" s="20" t="n">
        <v>2.41683012</v>
      </c>
      <c r="G74" s="18" t="n">
        <v>59.30369196</v>
      </c>
      <c r="H74" s="20" t="n">
        <v>2.8399939</v>
      </c>
      <c r="I74" s="18" t="s">
        <v>431</v>
      </c>
      <c r="J74" s="20" t="s">
        <v>431</v>
      </c>
      <c r="K74" s="18" t="n">
        <v>4.43523053</v>
      </c>
      <c r="L74" s="20" t="n">
        <v>1.031318</v>
      </c>
      <c r="M74" s="18" t="n">
        <v>0</v>
      </c>
      <c r="N74" s="20" t="n">
        <v>0</v>
      </c>
      <c r="O74" s="18" t="n">
        <v>0</v>
      </c>
      <c r="P74" s="20" t="n">
        <v>0</v>
      </c>
      <c r="Q74" s="18" t="n">
        <v>7.56603176</v>
      </c>
      <c r="R74" s="20" t="n">
        <v>1.51607471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787</v>
      </c>
      <c r="C79" s="18">
        <f>(661.0/B79*100)</f>
        <v/>
      </c>
      <c r="D79" s="19" t="n">
        <v>126</v>
      </c>
      <c r="E79" s="18" t="n">
        <v>23.43121989</v>
      </c>
      <c r="F79" s="20" t="n">
        <v>4.26093991</v>
      </c>
      <c r="G79" s="18" t="n">
        <v>67.27337506000001</v>
      </c>
      <c r="H79" s="20" t="n">
        <v>4.83935187</v>
      </c>
      <c r="I79" s="18" t="s">
        <v>431</v>
      </c>
      <c r="J79" s="20" t="s">
        <v>431</v>
      </c>
      <c r="K79" s="18" t="n">
        <v>4.50067651</v>
      </c>
      <c r="L79" s="20" t="n">
        <v>1.88324771</v>
      </c>
      <c r="M79" s="18" t="n">
        <v>0.90160406</v>
      </c>
      <c r="N79" s="20" t="n">
        <v>0.91381947</v>
      </c>
      <c r="O79" s="18" t="n">
        <v>0</v>
      </c>
      <c r="P79" s="20" t="n">
        <v>0</v>
      </c>
      <c r="Q79" s="18" t="n">
        <v>3.89312448</v>
      </c>
      <c r="R79" s="20" t="n">
        <v>1.80766249</v>
      </c>
    </row>
    <row r="80" spans="1:18">
      <c r="A80" s="15" t="s">
        <v>504</v>
      </c>
      <c r="B80" s="17" t="n">
        <v>3798</v>
      </c>
      <c r="C80" s="18">
        <f>(3158.0/B80*100)</f>
        <v/>
      </c>
      <c r="D80" s="19" t="n">
        <v>640</v>
      </c>
      <c r="E80" s="18" t="n">
        <v>28.99763653</v>
      </c>
      <c r="F80" s="20" t="n">
        <v>2.35225202</v>
      </c>
      <c r="G80" s="18" t="n">
        <v>70.44374363</v>
      </c>
      <c r="H80" s="20" t="n">
        <v>2.33005255</v>
      </c>
      <c r="I80" s="18" t="s">
        <v>431</v>
      </c>
      <c r="J80" s="20" t="s">
        <v>431</v>
      </c>
      <c r="K80" s="18" t="n">
        <v>0.18363306</v>
      </c>
      <c r="L80" s="20" t="n">
        <v>0.13708943</v>
      </c>
      <c r="M80" s="18" t="n">
        <v>0</v>
      </c>
      <c r="N80" s="20" t="n">
        <v>0</v>
      </c>
      <c r="O80" s="18" t="n">
        <v>0</v>
      </c>
      <c r="P80" s="20" t="n">
        <v>0</v>
      </c>
      <c r="Q80" s="18" t="n">
        <v>0.37498678</v>
      </c>
      <c r="R80" s="20" t="n">
        <v>0.22071293</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30.57542757</v>
      </c>
      <c r="F44" s="20" t="n">
        <v>2.60691244</v>
      </c>
      <c r="G44" s="18" t="n">
        <v>59.0479331</v>
      </c>
      <c r="H44" s="20" t="n">
        <v>2.9977636</v>
      </c>
      <c r="I44" s="18" t="s">
        <v>431</v>
      </c>
      <c r="J44" s="20" t="s">
        <v>431</v>
      </c>
      <c r="K44" s="18" t="n">
        <v>4.00893485</v>
      </c>
      <c r="L44" s="20" t="n">
        <v>1.08440446</v>
      </c>
      <c r="M44" s="18" t="n">
        <v>0</v>
      </c>
      <c r="N44" s="20" t="n">
        <v>0</v>
      </c>
      <c r="O44" s="18" t="n">
        <v>0.45965488</v>
      </c>
      <c r="P44" s="20" t="n">
        <v>0.44975875</v>
      </c>
      <c r="Q44" s="18" t="n">
        <v>5.90804961</v>
      </c>
      <c r="R44" s="20" t="n">
        <v>1.19414631</v>
      </c>
    </row>
    <row r="45" spans="1:18">
      <c r="A45" s="15" t="s">
        <v>469</v>
      </c>
      <c r="B45" s="17" t="n">
        <v>2849</v>
      </c>
      <c r="C45" s="18">
        <f>(2379.0/B45*100)</f>
        <v/>
      </c>
      <c r="D45" s="19" t="n">
        <v>470</v>
      </c>
      <c r="E45" s="18" t="n">
        <v>36.32936691</v>
      </c>
      <c r="F45" s="20" t="n">
        <v>2.25933959</v>
      </c>
      <c r="G45" s="18" t="n">
        <v>48.57904614</v>
      </c>
      <c r="H45" s="20" t="n">
        <v>2.60757896</v>
      </c>
      <c r="I45" s="18" t="s">
        <v>431</v>
      </c>
      <c r="J45" s="20" t="s">
        <v>431</v>
      </c>
      <c r="K45" s="18" t="n">
        <v>6.74182495</v>
      </c>
      <c r="L45" s="20" t="n">
        <v>1.19750777</v>
      </c>
      <c r="M45" s="18" t="n">
        <v>0.14298852</v>
      </c>
      <c r="N45" s="20" t="n">
        <v>0.19646499</v>
      </c>
      <c r="O45" s="18" t="n">
        <v>3.87702703</v>
      </c>
      <c r="P45" s="20" t="n">
        <v>0.95704593</v>
      </c>
      <c r="Q45" s="18" t="n">
        <v>4.32974645</v>
      </c>
      <c r="R45" s="20" t="n">
        <v>1.02314788</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35.22915279</v>
      </c>
      <c r="F49" s="20" t="n">
        <v>2.47509979</v>
      </c>
      <c r="G49" s="18" t="n">
        <v>58.59714503</v>
      </c>
      <c r="H49" s="20" t="n">
        <v>2.83697016</v>
      </c>
      <c r="I49" s="18" t="s">
        <v>431</v>
      </c>
      <c r="J49" s="20" t="s">
        <v>431</v>
      </c>
      <c r="K49" s="18" t="n">
        <v>2.67929572</v>
      </c>
      <c r="L49" s="20" t="n">
        <v>0.9847942200000001</v>
      </c>
      <c r="M49" s="18" t="n">
        <v>0</v>
      </c>
      <c r="N49" s="20" t="n">
        <v>0</v>
      </c>
      <c r="O49" s="18" t="n">
        <v>0.46352242</v>
      </c>
      <c r="P49" s="20" t="n">
        <v>0.33442214</v>
      </c>
      <c r="Q49" s="18" t="n">
        <v>3.03088403</v>
      </c>
      <c r="R49" s="20" t="n">
        <v>1.34988988</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46.61076364</v>
      </c>
      <c r="F55" s="20" t="n">
        <v>2.60695578</v>
      </c>
      <c r="G55" s="18" t="n">
        <v>49.16813564</v>
      </c>
      <c r="H55" s="20" t="n">
        <v>2.45565605</v>
      </c>
      <c r="I55" s="18" t="s">
        <v>431</v>
      </c>
      <c r="J55" s="20" t="s">
        <v>431</v>
      </c>
      <c r="K55" s="18" t="n">
        <v>2.55501714</v>
      </c>
      <c r="L55" s="20" t="n">
        <v>0.70483009</v>
      </c>
      <c r="M55" s="18" t="n">
        <v>0</v>
      </c>
      <c r="N55" s="20" t="n">
        <v>0</v>
      </c>
      <c r="O55" s="18" t="n">
        <v>0.58378657</v>
      </c>
      <c r="P55" s="20" t="n">
        <v>0.33842891</v>
      </c>
      <c r="Q55" s="18" t="n">
        <v>1.08229701</v>
      </c>
      <c r="R55" s="20" t="n">
        <v>0.455643</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40.89867894</v>
      </c>
      <c r="F57" s="20" t="n">
        <v>2.30204778</v>
      </c>
      <c r="G57" s="18" t="n">
        <v>57.80638048</v>
      </c>
      <c r="H57" s="20" t="n">
        <v>2.32040202</v>
      </c>
      <c r="I57" s="18" t="s">
        <v>431</v>
      </c>
      <c r="J57" s="20" t="s">
        <v>431</v>
      </c>
      <c r="K57" s="18" t="n">
        <v>0.53659981</v>
      </c>
      <c r="L57" s="20" t="n">
        <v>0.32019274</v>
      </c>
      <c r="M57" s="18" t="n">
        <v>0</v>
      </c>
      <c r="N57" s="20" t="n">
        <v>0</v>
      </c>
      <c r="O57" s="18" t="n">
        <v>0</v>
      </c>
      <c r="P57" s="20" t="n">
        <v>0</v>
      </c>
      <c r="Q57" s="18" t="n">
        <v>0.75834077</v>
      </c>
      <c r="R57" s="20" t="n">
        <v>0.34965371</v>
      </c>
    </row>
    <row r="58" spans="1:18">
      <c r="A58" s="15" t="s">
        <v>482</v>
      </c>
      <c r="B58" s="17" t="n">
        <v>3530</v>
      </c>
      <c r="C58" s="18">
        <f>(2962.0/B58*100)</f>
        <v/>
      </c>
      <c r="D58" s="19" t="n">
        <v>568</v>
      </c>
      <c r="E58" s="18" t="n">
        <v>48.27621308</v>
      </c>
      <c r="F58" s="20" t="n">
        <v>2.23339953</v>
      </c>
      <c r="G58" s="18" t="n">
        <v>43.29352127</v>
      </c>
      <c r="H58" s="20" t="n">
        <v>2.0369061</v>
      </c>
      <c r="I58" s="18" t="s">
        <v>431</v>
      </c>
      <c r="J58" s="20" t="s">
        <v>431</v>
      </c>
      <c r="K58" s="18" t="n">
        <v>1.93682494</v>
      </c>
      <c r="L58" s="20" t="n">
        <v>0.66809272</v>
      </c>
      <c r="M58" s="18" t="n">
        <v>0</v>
      </c>
      <c r="N58" s="20" t="n">
        <v>0</v>
      </c>
      <c r="O58" s="18" t="n">
        <v>0.05261883</v>
      </c>
      <c r="P58" s="20" t="n">
        <v>0.05257082</v>
      </c>
      <c r="Q58" s="18" t="n">
        <v>6.44082189</v>
      </c>
      <c r="R58" s="20" t="n">
        <v>1.47190427</v>
      </c>
    </row>
    <row r="59" spans="1:18">
      <c r="A59" s="15" t="s">
        <v>483</v>
      </c>
      <c r="B59" s="17" t="n">
        <v>2548</v>
      </c>
      <c r="C59" s="18">
        <f>(2118.0/B59*100)</f>
        <v/>
      </c>
      <c r="D59" s="19" t="n">
        <v>430</v>
      </c>
      <c r="E59" s="18" t="n">
        <v>39.43460832</v>
      </c>
      <c r="F59" s="20" t="n">
        <v>2.93897155</v>
      </c>
      <c r="G59" s="18" t="n">
        <v>55.56063937</v>
      </c>
      <c r="H59" s="20" t="n">
        <v>2.91179097</v>
      </c>
      <c r="I59" s="18" t="s">
        <v>431</v>
      </c>
      <c r="J59" s="20" t="s">
        <v>431</v>
      </c>
      <c r="K59" s="18" t="n">
        <v>0.36772652</v>
      </c>
      <c r="L59" s="20" t="n">
        <v>0.17365804</v>
      </c>
      <c r="M59" s="18" t="n">
        <v>0</v>
      </c>
      <c r="N59" s="20" t="n">
        <v>0</v>
      </c>
      <c r="O59" s="18" t="n">
        <v>1.76989869</v>
      </c>
      <c r="P59" s="20" t="n">
        <v>0.69492574</v>
      </c>
      <c r="Q59" s="18" t="n">
        <v>2.8671271</v>
      </c>
      <c r="R59" s="20" t="n">
        <v>0.9950725499999999</v>
      </c>
    </row>
    <row r="60" spans="1:18">
      <c r="A60" s="15" t="s">
        <v>484</v>
      </c>
      <c r="B60" s="17" t="n">
        <v>2095</v>
      </c>
      <c r="C60" s="18">
        <f>(1743.0/B60*100)</f>
        <v/>
      </c>
      <c r="D60" s="19" t="n">
        <v>352</v>
      </c>
      <c r="E60" s="18" t="n">
        <v>45.96161463</v>
      </c>
      <c r="F60" s="20" t="n">
        <v>3.08826624</v>
      </c>
      <c r="G60" s="18" t="n">
        <v>44.34569743</v>
      </c>
      <c r="H60" s="20" t="n">
        <v>2.92544405</v>
      </c>
      <c r="I60" s="18" t="s">
        <v>431</v>
      </c>
      <c r="J60" s="20" t="s">
        <v>431</v>
      </c>
      <c r="K60" s="18" t="n">
        <v>2.77779456</v>
      </c>
      <c r="L60" s="20" t="n">
        <v>0.83798947</v>
      </c>
      <c r="M60" s="18" t="n">
        <v>0</v>
      </c>
      <c r="N60" s="20" t="n">
        <v>0</v>
      </c>
      <c r="O60" s="18" t="n">
        <v>2.10141681</v>
      </c>
      <c r="P60" s="20" t="n">
        <v>0.75389347</v>
      </c>
      <c r="Q60" s="18" t="n">
        <v>4.81347658</v>
      </c>
      <c r="R60" s="20" t="n">
        <v>1.0408812</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40.19089267</v>
      </c>
      <c r="F63" s="20" t="n">
        <v>2.57119197</v>
      </c>
      <c r="G63" s="18" t="n">
        <v>50.17762741</v>
      </c>
      <c r="H63" s="20" t="n">
        <v>2.59200469</v>
      </c>
      <c r="I63" s="18" t="s">
        <v>431</v>
      </c>
      <c r="J63" s="20" t="s">
        <v>431</v>
      </c>
      <c r="K63" s="18" t="n">
        <v>3.03576574</v>
      </c>
      <c r="L63" s="20" t="n">
        <v>0.72053932</v>
      </c>
      <c r="M63" s="18" t="n">
        <v>0</v>
      </c>
      <c r="N63" s="20" t="n">
        <v>0</v>
      </c>
      <c r="O63" s="18" t="n">
        <v>0.44030804</v>
      </c>
      <c r="P63" s="20" t="n">
        <v>0.27281218</v>
      </c>
      <c r="Q63" s="18" t="n">
        <v>6.15540615</v>
      </c>
      <c r="R63" s="20" t="n">
        <v>1.11226947</v>
      </c>
    </row>
    <row r="64" spans="1:18">
      <c r="A64" s="15" t="s">
        <v>488</v>
      </c>
      <c r="B64" s="17" t="n">
        <v>1844</v>
      </c>
      <c r="C64" s="18">
        <f>(1521.0/B64*100)</f>
        <v/>
      </c>
      <c r="D64" s="19" t="n">
        <v>323</v>
      </c>
      <c r="E64" s="18" t="n">
        <v>41.3797007</v>
      </c>
      <c r="F64" s="20" t="n">
        <v>2.75962353</v>
      </c>
      <c r="G64" s="18" t="n">
        <v>51.99073368</v>
      </c>
      <c r="H64" s="20" t="n">
        <v>2.7905636</v>
      </c>
      <c r="I64" s="18" t="s">
        <v>431</v>
      </c>
      <c r="J64" s="20" t="s">
        <v>431</v>
      </c>
      <c r="K64" s="18" t="n">
        <v>4.12645316</v>
      </c>
      <c r="L64" s="20" t="n">
        <v>0.9728452</v>
      </c>
      <c r="M64" s="18" t="n">
        <v>0</v>
      </c>
      <c r="N64" s="20" t="n">
        <v>0</v>
      </c>
      <c r="O64" s="18" t="n">
        <v>0</v>
      </c>
      <c r="P64" s="20" t="n">
        <v>0</v>
      </c>
      <c r="Q64" s="18" t="n">
        <v>2.50311246</v>
      </c>
      <c r="R64" s="20" t="n">
        <v>0.92593251</v>
      </c>
    </row>
    <row r="65" spans="1:18">
      <c r="A65" s="15" t="s">
        <v>489</v>
      </c>
      <c r="B65" s="17" t="n">
        <v>2691</v>
      </c>
      <c r="C65" s="18">
        <f>(2232.0/B65*100)</f>
        <v/>
      </c>
      <c r="D65" s="19" t="n">
        <v>459</v>
      </c>
      <c r="E65" s="18" t="n">
        <v>32.42559321</v>
      </c>
      <c r="F65" s="20" t="n">
        <v>2.07162524</v>
      </c>
      <c r="G65" s="18" t="n">
        <v>50.86480908</v>
      </c>
      <c r="H65" s="20" t="n">
        <v>2.42341631</v>
      </c>
      <c r="I65" s="18" t="s">
        <v>431</v>
      </c>
      <c r="J65" s="20" t="s">
        <v>431</v>
      </c>
      <c r="K65" s="18" t="n">
        <v>8.56776852</v>
      </c>
      <c r="L65" s="20" t="n">
        <v>1.35541019</v>
      </c>
      <c r="M65" s="18" t="n">
        <v>2.75720144</v>
      </c>
      <c r="N65" s="20" t="n">
        <v>0.70604259</v>
      </c>
      <c r="O65" s="18" t="n">
        <v>0</v>
      </c>
      <c r="P65" s="20" t="n">
        <v>0</v>
      </c>
      <c r="Q65" s="18" t="n">
        <v>5.38462776</v>
      </c>
      <c r="R65" s="20" t="n">
        <v>1.11187129</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43.77658678</v>
      </c>
      <c r="F69" s="20" t="n">
        <v>2.78060732</v>
      </c>
      <c r="G69" s="18" t="n">
        <v>55.5506316</v>
      </c>
      <c r="H69" s="20" t="n">
        <v>2.78982415</v>
      </c>
      <c r="I69" s="18" t="s">
        <v>431</v>
      </c>
      <c r="J69" s="20" t="s">
        <v>431</v>
      </c>
      <c r="K69" s="18" t="n">
        <v>0</v>
      </c>
      <c r="L69" s="20" t="n">
        <v>0</v>
      </c>
      <c r="M69" s="18" t="n">
        <v>0</v>
      </c>
      <c r="N69" s="20" t="n">
        <v>0</v>
      </c>
      <c r="O69" s="18" t="n">
        <v>0</v>
      </c>
      <c r="P69" s="20" t="n">
        <v>0</v>
      </c>
      <c r="Q69" s="18" t="n">
        <v>0.67278162</v>
      </c>
      <c r="R69" s="20" t="n">
        <v>0.53612063</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29.97434926</v>
      </c>
      <c r="F74" s="20" t="n">
        <v>2.6652004</v>
      </c>
      <c r="G74" s="18" t="n">
        <v>60.31086101</v>
      </c>
      <c r="H74" s="20" t="n">
        <v>2.60788723</v>
      </c>
      <c r="I74" s="18" t="s">
        <v>431</v>
      </c>
      <c r="J74" s="20" t="s">
        <v>431</v>
      </c>
      <c r="K74" s="18" t="n">
        <v>4.95430079</v>
      </c>
      <c r="L74" s="20" t="n">
        <v>1.07318571</v>
      </c>
      <c r="M74" s="18" t="n">
        <v>0</v>
      </c>
      <c r="N74" s="20" t="n">
        <v>0</v>
      </c>
      <c r="O74" s="18" t="n">
        <v>0</v>
      </c>
      <c r="P74" s="20" t="n">
        <v>0</v>
      </c>
      <c r="Q74" s="18" t="n">
        <v>4.76048893</v>
      </c>
      <c r="R74" s="20" t="n">
        <v>1.25889464</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0</v>
      </c>
      <c r="F78" s="20" t="n">
        <v>0</v>
      </c>
      <c r="G78" s="18" t="n">
        <v>0</v>
      </c>
      <c r="H78" s="20" t="n">
        <v>0</v>
      </c>
      <c r="I78" s="18" t="s">
        <v>431</v>
      </c>
      <c r="J78" s="20" t="s">
        <v>431</v>
      </c>
      <c r="K78" s="18" t="n">
        <v>0</v>
      </c>
      <c r="L78" s="20" t="n">
        <v>0</v>
      </c>
      <c r="M78" s="18" t="n">
        <v>100</v>
      </c>
      <c r="N78" s="20" t="n">
        <v>0</v>
      </c>
      <c r="O78" s="18" t="n">
        <v>0</v>
      </c>
      <c r="P78" s="20" t="n">
        <v>0</v>
      </c>
      <c r="Q78" s="18" t="n">
        <v>0</v>
      </c>
      <c r="R78" s="20" t="n">
        <v>0</v>
      </c>
    </row>
    <row customHeight="1" ht="25" r="79" spans="1:18">
      <c r="A79" s="15" t="s">
        <v>503</v>
      </c>
      <c r="B79" s="17" t="n">
        <v>787</v>
      </c>
      <c r="C79" s="18">
        <f>(661.0/B79*100)</f>
        <v/>
      </c>
      <c r="D79" s="19" t="n">
        <v>126</v>
      </c>
      <c r="E79" s="18" t="n">
        <v>31.09763415</v>
      </c>
      <c r="F79" s="20" t="n">
        <v>4.23742987</v>
      </c>
      <c r="G79" s="18" t="n">
        <v>61.83200797</v>
      </c>
      <c r="H79" s="20" t="n">
        <v>4.73262676</v>
      </c>
      <c r="I79" s="18" t="s">
        <v>431</v>
      </c>
      <c r="J79" s="20" t="s">
        <v>431</v>
      </c>
      <c r="K79" s="18" t="n">
        <v>4.82068826</v>
      </c>
      <c r="L79" s="20" t="n">
        <v>1.91074815</v>
      </c>
      <c r="M79" s="18" t="n">
        <v>0</v>
      </c>
      <c r="N79" s="20" t="n">
        <v>0</v>
      </c>
      <c r="O79" s="18" t="n">
        <v>0</v>
      </c>
      <c r="P79" s="20" t="n">
        <v>0</v>
      </c>
      <c r="Q79" s="18" t="n">
        <v>2.24966963</v>
      </c>
      <c r="R79" s="20" t="n">
        <v>1.38406468</v>
      </c>
    </row>
    <row r="80" spans="1:18">
      <c r="A80" s="15" t="s">
        <v>504</v>
      </c>
      <c r="B80" s="17" t="n">
        <v>3798</v>
      </c>
      <c r="C80" s="18">
        <f>(3158.0/B80*100)</f>
        <v/>
      </c>
      <c r="D80" s="19" t="n">
        <v>640</v>
      </c>
      <c r="E80" s="18" t="n">
        <v>27.85667079</v>
      </c>
      <c r="F80" s="20" t="n">
        <v>2.50922793</v>
      </c>
      <c r="G80" s="18" t="n">
        <v>71.51427111</v>
      </c>
      <c r="H80" s="20" t="n">
        <v>2.53626684</v>
      </c>
      <c r="I80" s="18" t="s">
        <v>431</v>
      </c>
      <c r="J80" s="20" t="s">
        <v>431</v>
      </c>
      <c r="K80" s="18" t="n">
        <v>0.18363306</v>
      </c>
      <c r="L80" s="20" t="n">
        <v>0.13708943</v>
      </c>
      <c r="M80" s="18" t="n">
        <v>0</v>
      </c>
      <c r="N80" s="20" t="n">
        <v>0</v>
      </c>
      <c r="O80" s="18" t="n">
        <v>0</v>
      </c>
      <c r="P80" s="20" t="n">
        <v>0</v>
      </c>
      <c r="Q80" s="18" t="n">
        <v>0.44542504</v>
      </c>
      <c r="R80" s="20" t="n">
        <v>0.18497257</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65.73257328</v>
      </c>
      <c r="F44" s="20" t="n">
        <v>3.05733718</v>
      </c>
      <c r="G44" s="18" t="n">
        <v>22.1487618</v>
      </c>
      <c r="H44" s="20" t="n">
        <v>3.06851652</v>
      </c>
      <c r="I44" s="18" t="s">
        <v>431</v>
      </c>
      <c r="J44" s="20" t="s">
        <v>431</v>
      </c>
      <c r="K44" s="18" t="n">
        <v>4.00893485</v>
      </c>
      <c r="L44" s="20" t="n">
        <v>1.08440446</v>
      </c>
      <c r="M44" s="18" t="n">
        <v>0</v>
      </c>
      <c r="N44" s="20" t="n">
        <v>0</v>
      </c>
      <c r="O44" s="18" t="n">
        <v>2.47486721</v>
      </c>
      <c r="P44" s="20" t="n">
        <v>0.86506374</v>
      </c>
      <c r="Q44" s="18" t="n">
        <v>5.63486287</v>
      </c>
      <c r="R44" s="20" t="n">
        <v>1.32595833</v>
      </c>
    </row>
    <row r="45" spans="1:18">
      <c r="A45" s="15" t="s">
        <v>469</v>
      </c>
      <c r="B45" s="17" t="n">
        <v>2849</v>
      </c>
      <c r="C45" s="18">
        <f>(2379.0/B45*100)</f>
        <v/>
      </c>
      <c r="D45" s="19" t="n">
        <v>470</v>
      </c>
      <c r="E45" s="18" t="n">
        <v>54.80744245</v>
      </c>
      <c r="F45" s="20" t="n">
        <v>2.79668452</v>
      </c>
      <c r="G45" s="18" t="n">
        <v>29.76364009</v>
      </c>
      <c r="H45" s="20" t="n">
        <v>2.45971565</v>
      </c>
      <c r="I45" s="18" t="s">
        <v>431</v>
      </c>
      <c r="J45" s="20" t="s">
        <v>431</v>
      </c>
      <c r="K45" s="18" t="n">
        <v>6.74182495</v>
      </c>
      <c r="L45" s="20" t="n">
        <v>1.19750777</v>
      </c>
      <c r="M45" s="18" t="n">
        <v>0.14298852</v>
      </c>
      <c r="N45" s="20" t="n">
        <v>0.19646499</v>
      </c>
      <c r="O45" s="18" t="n">
        <v>3.57800845</v>
      </c>
      <c r="P45" s="20" t="n">
        <v>0.92415983</v>
      </c>
      <c r="Q45" s="18" t="n">
        <v>4.96609554</v>
      </c>
      <c r="R45" s="20" t="n">
        <v>1.28761975</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53.38050213</v>
      </c>
      <c r="F49" s="20" t="n">
        <v>2.79827277</v>
      </c>
      <c r="G49" s="18" t="n">
        <v>40.18553549</v>
      </c>
      <c r="H49" s="20" t="n">
        <v>2.74074037</v>
      </c>
      <c r="I49" s="18" t="s">
        <v>431</v>
      </c>
      <c r="J49" s="20" t="s">
        <v>431</v>
      </c>
      <c r="K49" s="18" t="n">
        <v>2.67929572</v>
      </c>
      <c r="L49" s="20" t="n">
        <v>0.9847942200000001</v>
      </c>
      <c r="M49" s="18" t="n">
        <v>0</v>
      </c>
      <c r="N49" s="20" t="n">
        <v>0</v>
      </c>
      <c r="O49" s="18" t="n">
        <v>1.33289381</v>
      </c>
      <c r="P49" s="20" t="n">
        <v>0.76414483</v>
      </c>
      <c r="Q49" s="18" t="n">
        <v>2.42177285</v>
      </c>
      <c r="R49" s="20" t="n">
        <v>1.29291636</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68.33340319</v>
      </c>
      <c r="F55" s="20" t="n">
        <v>2.33051195</v>
      </c>
      <c r="G55" s="18" t="n">
        <v>26.32991162</v>
      </c>
      <c r="H55" s="20" t="n">
        <v>2.21789707</v>
      </c>
      <c r="I55" s="18" t="s">
        <v>431</v>
      </c>
      <c r="J55" s="20" t="s">
        <v>431</v>
      </c>
      <c r="K55" s="18" t="n">
        <v>3.46008445</v>
      </c>
      <c r="L55" s="20" t="n">
        <v>1.08280483</v>
      </c>
      <c r="M55" s="18" t="n">
        <v>0</v>
      </c>
      <c r="N55" s="20" t="n">
        <v>0</v>
      </c>
      <c r="O55" s="18" t="n">
        <v>0.7135432900000001</v>
      </c>
      <c r="P55" s="20" t="n">
        <v>0.5030732999999999</v>
      </c>
      <c r="Q55" s="18" t="n">
        <v>1.16305744</v>
      </c>
      <c r="R55" s="20" t="n">
        <v>0.4873013</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72.6001546</v>
      </c>
      <c r="F57" s="20" t="n">
        <v>2.09245011</v>
      </c>
      <c r="G57" s="18" t="n">
        <v>25.24751093</v>
      </c>
      <c r="H57" s="20" t="n">
        <v>2.17256846</v>
      </c>
      <c r="I57" s="18" t="s">
        <v>431</v>
      </c>
      <c r="J57" s="20" t="s">
        <v>431</v>
      </c>
      <c r="K57" s="18" t="n">
        <v>0.70589685</v>
      </c>
      <c r="L57" s="20" t="n">
        <v>0.36494675</v>
      </c>
      <c r="M57" s="18" t="n">
        <v>0</v>
      </c>
      <c r="N57" s="20" t="n">
        <v>0</v>
      </c>
      <c r="O57" s="18" t="n">
        <v>0</v>
      </c>
      <c r="P57" s="20" t="n">
        <v>0</v>
      </c>
      <c r="Q57" s="18" t="n">
        <v>1.44643762</v>
      </c>
      <c r="R57" s="20" t="n">
        <v>0.57179565</v>
      </c>
    </row>
    <row r="58" spans="1:18">
      <c r="A58" s="15" t="s">
        <v>482</v>
      </c>
      <c r="B58" s="17" t="n">
        <v>3530</v>
      </c>
      <c r="C58" s="18">
        <f>(2962.0/B58*100)</f>
        <v/>
      </c>
      <c r="D58" s="19" t="n">
        <v>568</v>
      </c>
      <c r="E58" s="18" t="n">
        <v>67.79009718</v>
      </c>
      <c r="F58" s="20" t="n">
        <v>2.0277878</v>
      </c>
      <c r="G58" s="18" t="n">
        <v>25.2045324</v>
      </c>
      <c r="H58" s="20" t="n">
        <v>1.93363203</v>
      </c>
      <c r="I58" s="18" t="s">
        <v>431</v>
      </c>
      <c r="J58" s="20" t="s">
        <v>431</v>
      </c>
      <c r="K58" s="18" t="n">
        <v>1.93682494</v>
      </c>
      <c r="L58" s="20" t="n">
        <v>0.66809272</v>
      </c>
      <c r="M58" s="18" t="n">
        <v>0</v>
      </c>
      <c r="N58" s="20" t="n">
        <v>0</v>
      </c>
      <c r="O58" s="18" t="n">
        <v>0.26893218</v>
      </c>
      <c r="P58" s="20" t="n">
        <v>0.22219429</v>
      </c>
      <c r="Q58" s="18" t="n">
        <v>4.79961331</v>
      </c>
      <c r="R58" s="20" t="n">
        <v>1.42697008</v>
      </c>
    </row>
    <row r="59" spans="1:18">
      <c r="A59" s="15" t="s">
        <v>483</v>
      </c>
      <c r="B59" s="17" t="n">
        <v>2548</v>
      </c>
      <c r="C59" s="18">
        <f>(2118.0/B59*100)</f>
        <v/>
      </c>
      <c r="D59" s="19" t="n">
        <v>430</v>
      </c>
      <c r="E59" s="18" t="n">
        <v>76.62695089</v>
      </c>
      <c r="F59" s="20" t="n">
        <v>2.55868321</v>
      </c>
      <c r="G59" s="18" t="n">
        <v>19.37984157</v>
      </c>
      <c r="H59" s="20" t="n">
        <v>2.46184264</v>
      </c>
      <c r="I59" s="18" t="s">
        <v>431</v>
      </c>
      <c r="J59" s="20" t="s">
        <v>431</v>
      </c>
      <c r="K59" s="18" t="n">
        <v>0.36772652</v>
      </c>
      <c r="L59" s="20" t="n">
        <v>0.17365804</v>
      </c>
      <c r="M59" s="18" t="n">
        <v>0</v>
      </c>
      <c r="N59" s="20" t="n">
        <v>0</v>
      </c>
      <c r="O59" s="18" t="n">
        <v>2.80431306</v>
      </c>
      <c r="P59" s="20" t="n">
        <v>0.85178775</v>
      </c>
      <c r="Q59" s="18" t="n">
        <v>0.82116795</v>
      </c>
      <c r="R59" s="20" t="n">
        <v>0.39573181</v>
      </c>
    </row>
    <row r="60" spans="1:18">
      <c r="A60" s="15" t="s">
        <v>484</v>
      </c>
      <c r="B60" s="17" t="n">
        <v>2095</v>
      </c>
      <c r="C60" s="18">
        <f>(1743.0/B60*100)</f>
        <v/>
      </c>
      <c r="D60" s="19" t="n">
        <v>352</v>
      </c>
      <c r="E60" s="18" t="n">
        <v>49.40740771</v>
      </c>
      <c r="F60" s="20" t="n">
        <v>2.79051777</v>
      </c>
      <c r="G60" s="18" t="n">
        <v>41.14526697</v>
      </c>
      <c r="H60" s="20" t="n">
        <v>2.82612795</v>
      </c>
      <c r="I60" s="18" t="s">
        <v>431</v>
      </c>
      <c r="J60" s="20" t="s">
        <v>431</v>
      </c>
      <c r="K60" s="18" t="n">
        <v>3.36879087</v>
      </c>
      <c r="L60" s="20" t="n">
        <v>0.9254342</v>
      </c>
      <c r="M60" s="18" t="n">
        <v>0</v>
      </c>
      <c r="N60" s="20" t="n">
        <v>0</v>
      </c>
      <c r="O60" s="18" t="n">
        <v>2.60619494</v>
      </c>
      <c r="P60" s="20" t="n">
        <v>1.00577219</v>
      </c>
      <c r="Q60" s="18" t="n">
        <v>3.47233951</v>
      </c>
      <c r="R60" s="20" t="n">
        <v>0.84988724</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65.33302177</v>
      </c>
      <c r="F63" s="20" t="n">
        <v>2.60963048</v>
      </c>
      <c r="G63" s="18" t="n">
        <v>24.85916356</v>
      </c>
      <c r="H63" s="20" t="n">
        <v>2.52060298</v>
      </c>
      <c r="I63" s="18" t="s">
        <v>431</v>
      </c>
      <c r="J63" s="20" t="s">
        <v>431</v>
      </c>
      <c r="K63" s="18" t="n">
        <v>3.10776055</v>
      </c>
      <c r="L63" s="20" t="n">
        <v>0.72403691</v>
      </c>
      <c r="M63" s="18" t="n">
        <v>0</v>
      </c>
      <c r="N63" s="20" t="n">
        <v>0</v>
      </c>
      <c r="O63" s="18" t="n">
        <v>1.31151657</v>
      </c>
      <c r="P63" s="20" t="n">
        <v>0.6625707</v>
      </c>
      <c r="Q63" s="18" t="n">
        <v>5.38853755</v>
      </c>
      <c r="R63" s="20" t="n">
        <v>1.10811448</v>
      </c>
    </row>
    <row r="64" spans="1:18">
      <c r="A64" s="15" t="s">
        <v>488</v>
      </c>
      <c r="B64" s="17" t="n">
        <v>1844</v>
      </c>
      <c r="C64" s="18">
        <f>(1521.0/B64*100)</f>
        <v/>
      </c>
      <c r="D64" s="19" t="n">
        <v>323</v>
      </c>
      <c r="E64" s="18" t="n">
        <v>55.60534116</v>
      </c>
      <c r="F64" s="20" t="n">
        <v>2.6096549</v>
      </c>
      <c r="G64" s="18" t="n">
        <v>38.8645466</v>
      </c>
      <c r="H64" s="20" t="n">
        <v>2.51760223</v>
      </c>
      <c r="I64" s="18" t="s">
        <v>431</v>
      </c>
      <c r="J64" s="20" t="s">
        <v>431</v>
      </c>
      <c r="K64" s="18" t="n">
        <v>4.12645316</v>
      </c>
      <c r="L64" s="20" t="n">
        <v>0.9728452</v>
      </c>
      <c r="M64" s="18" t="n">
        <v>0</v>
      </c>
      <c r="N64" s="20" t="n">
        <v>0</v>
      </c>
      <c r="O64" s="18" t="n">
        <v>0</v>
      </c>
      <c r="P64" s="20" t="n">
        <v>0</v>
      </c>
      <c r="Q64" s="18" t="n">
        <v>1.40365908</v>
      </c>
      <c r="R64" s="20" t="n">
        <v>0.69978277</v>
      </c>
    </row>
    <row r="65" spans="1:18">
      <c r="A65" s="15" t="s">
        <v>489</v>
      </c>
      <c r="B65" s="17" t="n">
        <v>2691</v>
      </c>
      <c r="C65" s="18">
        <f>(2232.0/B65*100)</f>
        <v/>
      </c>
      <c r="D65" s="19" t="n">
        <v>459</v>
      </c>
      <c r="E65" s="18" t="n">
        <v>62.06042036</v>
      </c>
      <c r="F65" s="20" t="n">
        <v>2.09732919</v>
      </c>
      <c r="G65" s="18" t="n">
        <v>22.44247861</v>
      </c>
      <c r="H65" s="20" t="n">
        <v>2.00492285</v>
      </c>
      <c r="I65" s="18" t="s">
        <v>431</v>
      </c>
      <c r="J65" s="20" t="s">
        <v>431</v>
      </c>
      <c r="K65" s="18" t="n">
        <v>8.74051195</v>
      </c>
      <c r="L65" s="20" t="n">
        <v>1.40527288</v>
      </c>
      <c r="M65" s="18" t="n">
        <v>2.53968218</v>
      </c>
      <c r="N65" s="20" t="n">
        <v>0.6896679</v>
      </c>
      <c r="O65" s="18" t="n">
        <v>0</v>
      </c>
      <c r="P65" s="20" t="n">
        <v>0</v>
      </c>
      <c r="Q65" s="18" t="n">
        <v>4.2169069</v>
      </c>
      <c r="R65" s="20" t="n">
        <v>0.94334691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66.7727658</v>
      </c>
      <c r="F69" s="20" t="n">
        <v>2.88646996</v>
      </c>
      <c r="G69" s="18" t="n">
        <v>32.55445258</v>
      </c>
      <c r="H69" s="20" t="n">
        <v>2.85955874</v>
      </c>
      <c r="I69" s="18" t="s">
        <v>431</v>
      </c>
      <c r="J69" s="20" t="s">
        <v>431</v>
      </c>
      <c r="K69" s="18" t="n">
        <v>0</v>
      </c>
      <c r="L69" s="20" t="n">
        <v>0</v>
      </c>
      <c r="M69" s="18" t="n">
        <v>0</v>
      </c>
      <c r="N69" s="20" t="n">
        <v>0</v>
      </c>
      <c r="O69" s="18" t="n">
        <v>0</v>
      </c>
      <c r="P69" s="20" t="n">
        <v>0</v>
      </c>
      <c r="Q69" s="18" t="n">
        <v>0.67278162</v>
      </c>
      <c r="R69" s="20" t="n">
        <v>0.53612063</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55.22389572</v>
      </c>
      <c r="F74" s="20" t="n">
        <v>2.87198726</v>
      </c>
      <c r="G74" s="18" t="n">
        <v>35.532491</v>
      </c>
      <c r="H74" s="20" t="n">
        <v>2.60900331</v>
      </c>
      <c r="I74" s="18" t="s">
        <v>431</v>
      </c>
      <c r="J74" s="20" t="s">
        <v>431</v>
      </c>
      <c r="K74" s="18" t="n">
        <v>4.95430079</v>
      </c>
      <c r="L74" s="20" t="n">
        <v>1.07318571</v>
      </c>
      <c r="M74" s="18" t="n">
        <v>0</v>
      </c>
      <c r="N74" s="20" t="n">
        <v>0</v>
      </c>
      <c r="O74" s="18" t="n">
        <v>0</v>
      </c>
      <c r="P74" s="20" t="n">
        <v>0</v>
      </c>
      <c r="Q74" s="18" t="n">
        <v>4.28931249</v>
      </c>
      <c r="R74" s="20" t="n">
        <v>1.07368999</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45.72352856</v>
      </c>
      <c r="F78" s="20" t="n">
        <v>2.75461888</v>
      </c>
      <c r="G78" s="18" t="n">
        <v>54.27647144</v>
      </c>
      <c r="H78" s="20" t="n">
        <v>2.75461888</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(661.0/B79*100)</f>
        <v/>
      </c>
      <c r="D79" s="19" t="n">
        <v>126</v>
      </c>
      <c r="E79" s="18" t="n">
        <v>49.7374751</v>
      </c>
      <c r="F79" s="20" t="n">
        <v>4.59251253</v>
      </c>
      <c r="G79" s="18" t="n">
        <v>42.12230479</v>
      </c>
      <c r="H79" s="20" t="n">
        <v>4.48842476</v>
      </c>
      <c r="I79" s="18" t="s">
        <v>431</v>
      </c>
      <c r="J79" s="20" t="s">
        <v>431</v>
      </c>
      <c r="K79" s="18" t="n">
        <v>4.82068826</v>
      </c>
      <c r="L79" s="20" t="n">
        <v>1.91074815</v>
      </c>
      <c r="M79" s="18" t="n">
        <v>0</v>
      </c>
      <c r="N79" s="20" t="n">
        <v>0</v>
      </c>
      <c r="O79" s="18" t="n">
        <v>1.41703632</v>
      </c>
      <c r="P79" s="20" t="n">
        <v>1.07126047</v>
      </c>
      <c r="Q79" s="18" t="n">
        <v>1.90249553</v>
      </c>
      <c r="R79" s="20" t="n">
        <v>1.24040145</v>
      </c>
    </row>
    <row r="80" spans="1:18">
      <c r="A80" s="15" t="s">
        <v>504</v>
      </c>
      <c r="B80" s="17" t="n">
        <v>3798</v>
      </c>
      <c r="C80" s="18">
        <f>(3158.0/B80*100)</f>
        <v/>
      </c>
      <c r="D80" s="19" t="n">
        <v>640</v>
      </c>
      <c r="E80" s="18" t="n">
        <v>25.54609704</v>
      </c>
      <c r="F80" s="20" t="n">
        <v>2.14477864</v>
      </c>
      <c r="G80" s="18" t="n">
        <v>7.81748716</v>
      </c>
      <c r="H80" s="20" t="n">
        <v>1.50979928</v>
      </c>
      <c r="I80" s="18" t="s">
        <v>431</v>
      </c>
      <c r="J80" s="20" t="s">
        <v>431</v>
      </c>
      <c r="K80" s="18" t="n">
        <v>0.18363306</v>
      </c>
      <c r="L80" s="20" t="n">
        <v>0.13708943</v>
      </c>
      <c r="M80" s="18" t="n">
        <v>66.22561032999999</v>
      </c>
      <c r="N80" s="20" t="n">
        <v>2.34527627</v>
      </c>
      <c r="O80" s="18" t="n">
        <v>0</v>
      </c>
      <c r="P80" s="20" t="n">
        <v>0</v>
      </c>
      <c r="Q80" s="18" t="n">
        <v>0.22717241</v>
      </c>
      <c r="R80" s="20" t="n">
        <v>0.33824212</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78.79412440999999</v>
      </c>
      <c r="F44" s="20" t="n">
        <v>2.18358013</v>
      </c>
      <c r="G44" s="18" t="n">
        <v>11.74426442</v>
      </c>
      <c r="H44" s="20" t="n">
        <v>2.09274674</v>
      </c>
      <c r="I44" s="18" t="s">
        <v>431</v>
      </c>
      <c r="J44" s="20" t="s">
        <v>431</v>
      </c>
      <c r="K44" s="18" t="n">
        <v>5.04409297</v>
      </c>
      <c r="L44" s="20" t="n">
        <v>1.17184889</v>
      </c>
      <c r="M44" s="18" t="n">
        <v>0</v>
      </c>
      <c r="N44" s="20" t="n">
        <v>0</v>
      </c>
      <c r="O44" s="18" t="n">
        <v>0</v>
      </c>
      <c r="P44" s="20" t="n">
        <v>0</v>
      </c>
      <c r="Q44" s="18" t="n">
        <v>4.41751821</v>
      </c>
      <c r="R44" s="20" t="n">
        <v>1.07607555</v>
      </c>
    </row>
    <row r="45" spans="1:18">
      <c r="A45" s="15" t="s">
        <v>469</v>
      </c>
      <c r="B45" s="17" t="n">
        <v>2849</v>
      </c>
      <c r="C45" s="18">
        <f>(2379.0/B45*100)</f>
        <v/>
      </c>
      <c r="D45" s="19" t="n">
        <v>470</v>
      </c>
      <c r="E45" s="18" t="n">
        <v>82.18719133</v>
      </c>
      <c r="F45" s="20" t="n">
        <v>1.71727399</v>
      </c>
      <c r="G45" s="18" t="n">
        <v>7.68099748</v>
      </c>
      <c r="H45" s="20" t="n">
        <v>1.30517967</v>
      </c>
      <c r="I45" s="18" t="s">
        <v>431</v>
      </c>
      <c r="J45" s="20" t="s">
        <v>431</v>
      </c>
      <c r="K45" s="18" t="n">
        <v>6.95140896</v>
      </c>
      <c r="L45" s="20" t="n">
        <v>1.20604835</v>
      </c>
      <c r="M45" s="18" t="n">
        <v>0.14298852</v>
      </c>
      <c r="N45" s="20" t="n">
        <v>0.19646499</v>
      </c>
      <c r="O45" s="18" t="n">
        <v>0.47941024</v>
      </c>
      <c r="P45" s="20" t="n">
        <v>0.31140708</v>
      </c>
      <c r="Q45" s="18" t="n">
        <v>2.55800347</v>
      </c>
      <c r="R45" s="20" t="n">
        <v>0.73405935</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75.48343631</v>
      </c>
      <c r="F49" s="20" t="n">
        <v>2.21521419</v>
      </c>
      <c r="G49" s="18" t="n">
        <v>19.29995081</v>
      </c>
      <c r="H49" s="20" t="n">
        <v>1.89713145</v>
      </c>
      <c r="I49" s="18" t="s">
        <v>431</v>
      </c>
      <c r="J49" s="20" t="s">
        <v>431</v>
      </c>
      <c r="K49" s="18" t="n">
        <v>2.67929572</v>
      </c>
      <c r="L49" s="20" t="n">
        <v>0.9847942200000001</v>
      </c>
      <c r="M49" s="18" t="n">
        <v>0</v>
      </c>
      <c r="N49" s="20" t="n">
        <v>0</v>
      </c>
      <c r="O49" s="18" t="n">
        <v>0</v>
      </c>
      <c r="P49" s="20" t="n">
        <v>0</v>
      </c>
      <c r="Q49" s="18" t="n">
        <v>2.53731716</v>
      </c>
      <c r="R49" s="20" t="n">
        <v>1.25482367</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78.58238919</v>
      </c>
      <c r="F55" s="20" t="n">
        <v>2.02881379</v>
      </c>
      <c r="G55" s="18" t="n">
        <v>13.65971736</v>
      </c>
      <c r="H55" s="20" t="n">
        <v>1.75738843</v>
      </c>
      <c r="I55" s="18" t="s">
        <v>431</v>
      </c>
      <c r="J55" s="20" t="s">
        <v>431</v>
      </c>
      <c r="K55" s="18" t="n">
        <v>3.94026286</v>
      </c>
      <c r="L55" s="20" t="n">
        <v>1.1496943</v>
      </c>
      <c r="M55" s="18" t="n">
        <v>0</v>
      </c>
      <c r="N55" s="20" t="n">
        <v>0</v>
      </c>
      <c r="O55" s="18" t="n">
        <v>0.17653025</v>
      </c>
      <c r="P55" s="20" t="n">
        <v>0.18205999</v>
      </c>
      <c r="Q55" s="18" t="n">
        <v>3.64110033</v>
      </c>
      <c r="R55" s="20" t="n">
        <v>0.8992244</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84.08536443</v>
      </c>
      <c r="F57" s="20" t="n">
        <v>1.5862667</v>
      </c>
      <c r="G57" s="18" t="n">
        <v>13.79786989</v>
      </c>
      <c r="H57" s="20" t="n">
        <v>1.57109265</v>
      </c>
      <c r="I57" s="18" t="s">
        <v>431</v>
      </c>
      <c r="J57" s="20" t="s">
        <v>431</v>
      </c>
      <c r="K57" s="18" t="n">
        <v>0.70589685</v>
      </c>
      <c r="L57" s="20" t="n">
        <v>0.36494675</v>
      </c>
      <c r="M57" s="18" t="n">
        <v>0</v>
      </c>
      <c r="N57" s="20" t="n">
        <v>0</v>
      </c>
      <c r="O57" s="18" t="n">
        <v>0</v>
      </c>
      <c r="P57" s="20" t="n">
        <v>0</v>
      </c>
      <c r="Q57" s="18" t="n">
        <v>1.41086883</v>
      </c>
      <c r="R57" s="20" t="n">
        <v>0.58651598</v>
      </c>
    </row>
    <row r="58" spans="1:18">
      <c r="A58" s="15" t="s">
        <v>482</v>
      </c>
      <c r="B58" s="17" t="n">
        <v>3530</v>
      </c>
      <c r="C58" s="18">
        <f>(2962.0/B58*100)</f>
        <v/>
      </c>
      <c r="D58" s="19" t="n">
        <v>568</v>
      </c>
      <c r="E58" s="18" t="n">
        <v>85.44283579</v>
      </c>
      <c r="F58" s="20" t="n">
        <v>1.83192992</v>
      </c>
      <c r="G58" s="18" t="n">
        <v>10.17952149</v>
      </c>
      <c r="H58" s="20" t="n">
        <v>1.67070537</v>
      </c>
      <c r="I58" s="18" t="s">
        <v>431</v>
      </c>
      <c r="J58" s="20" t="s">
        <v>431</v>
      </c>
      <c r="K58" s="18" t="n">
        <v>2.46218863</v>
      </c>
      <c r="L58" s="20" t="n">
        <v>0.68995829</v>
      </c>
      <c r="M58" s="18" t="n">
        <v>0</v>
      </c>
      <c r="N58" s="20" t="n">
        <v>0</v>
      </c>
      <c r="O58" s="18" t="n">
        <v>0.24177707</v>
      </c>
      <c r="P58" s="20" t="n">
        <v>0.23902264</v>
      </c>
      <c r="Q58" s="18" t="n">
        <v>1.67367703</v>
      </c>
      <c r="R58" s="20" t="n">
        <v>0.6418263400000001</v>
      </c>
    </row>
    <row r="59" spans="1:18">
      <c r="A59" s="15" t="s">
        <v>483</v>
      </c>
      <c r="B59" s="17" t="n">
        <v>2548</v>
      </c>
      <c r="C59" s="18">
        <f>(2118.0/B59*100)</f>
        <v/>
      </c>
      <c r="D59" s="19" t="n">
        <v>430</v>
      </c>
      <c r="E59" s="18" t="n">
        <v>85.54939496999999</v>
      </c>
      <c r="F59" s="20" t="n">
        <v>1.84024063</v>
      </c>
      <c r="G59" s="18" t="n">
        <v>9.859999459999999</v>
      </c>
      <c r="H59" s="20" t="n">
        <v>1.68852357</v>
      </c>
      <c r="I59" s="18" t="s">
        <v>431</v>
      </c>
      <c r="J59" s="20" t="s">
        <v>431</v>
      </c>
      <c r="K59" s="18" t="n">
        <v>0.5232704500000001</v>
      </c>
      <c r="L59" s="20" t="n">
        <v>0.2350712</v>
      </c>
      <c r="M59" s="18" t="n">
        <v>0</v>
      </c>
      <c r="N59" s="20" t="n">
        <v>0</v>
      </c>
      <c r="O59" s="18" t="n">
        <v>0</v>
      </c>
      <c r="P59" s="20" t="n">
        <v>0</v>
      </c>
      <c r="Q59" s="18" t="n">
        <v>4.06733512</v>
      </c>
      <c r="R59" s="20" t="n">
        <v>1.09394577</v>
      </c>
    </row>
    <row r="60" spans="1:18">
      <c r="A60" s="15" t="s">
        <v>484</v>
      </c>
      <c r="B60" s="17" t="n">
        <v>2095</v>
      </c>
      <c r="C60" s="18">
        <f>(1743.0/B60*100)</f>
        <v/>
      </c>
      <c r="D60" s="19" t="n">
        <v>352</v>
      </c>
      <c r="E60" s="18" t="n">
        <v>74.83700148</v>
      </c>
      <c r="F60" s="20" t="n">
        <v>2.8223131</v>
      </c>
      <c r="G60" s="18" t="n">
        <v>17.60345823</v>
      </c>
      <c r="H60" s="20" t="n">
        <v>2.36273204</v>
      </c>
      <c r="I60" s="18" t="s">
        <v>431</v>
      </c>
      <c r="J60" s="20" t="s">
        <v>431</v>
      </c>
      <c r="K60" s="18" t="n">
        <v>4.12853475</v>
      </c>
      <c r="L60" s="20" t="n">
        <v>1.04319008</v>
      </c>
      <c r="M60" s="18" t="n">
        <v>0</v>
      </c>
      <c r="N60" s="20" t="n">
        <v>0</v>
      </c>
      <c r="O60" s="18" t="n">
        <v>0</v>
      </c>
      <c r="P60" s="20" t="n">
        <v>0</v>
      </c>
      <c r="Q60" s="18" t="n">
        <v>3.43100554</v>
      </c>
      <c r="R60" s="20" t="n">
        <v>1.18851163</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78.80480372</v>
      </c>
      <c r="F63" s="20" t="n">
        <v>1.9856446</v>
      </c>
      <c r="G63" s="18" t="n">
        <v>11.42314432</v>
      </c>
      <c r="H63" s="20" t="n">
        <v>1.42974882</v>
      </c>
      <c r="I63" s="18" t="s">
        <v>431</v>
      </c>
      <c r="J63" s="20" t="s">
        <v>431</v>
      </c>
      <c r="K63" s="18" t="n">
        <v>3.4127097</v>
      </c>
      <c r="L63" s="20" t="n">
        <v>0.74070653</v>
      </c>
      <c r="M63" s="18" t="n">
        <v>0</v>
      </c>
      <c r="N63" s="20" t="n">
        <v>0</v>
      </c>
      <c r="O63" s="18" t="n">
        <v>0</v>
      </c>
      <c r="P63" s="20" t="n">
        <v>0</v>
      </c>
      <c r="Q63" s="18" t="n">
        <v>6.35934226</v>
      </c>
      <c r="R63" s="20" t="n">
        <v>1.20095567</v>
      </c>
    </row>
    <row r="64" spans="1:18">
      <c r="A64" s="15" t="s">
        <v>488</v>
      </c>
      <c r="B64" s="17" t="n">
        <v>1844</v>
      </c>
      <c r="C64" s="18">
        <f>(1521.0/B64*100)</f>
        <v/>
      </c>
      <c r="D64" s="19" t="n">
        <v>323</v>
      </c>
      <c r="E64" s="18" t="n">
        <v>72.56116322</v>
      </c>
      <c r="F64" s="20" t="n">
        <v>2.60343218</v>
      </c>
      <c r="G64" s="18" t="n">
        <v>22.68858044</v>
      </c>
      <c r="H64" s="20" t="n">
        <v>2.38271346</v>
      </c>
      <c r="I64" s="18" t="s">
        <v>431</v>
      </c>
      <c r="J64" s="20" t="s">
        <v>431</v>
      </c>
      <c r="K64" s="18" t="n">
        <v>4.12645316</v>
      </c>
      <c r="L64" s="20" t="n">
        <v>0.9728452</v>
      </c>
      <c r="M64" s="18" t="n">
        <v>0</v>
      </c>
      <c r="N64" s="20" t="n">
        <v>0</v>
      </c>
      <c r="O64" s="18" t="n">
        <v>0</v>
      </c>
      <c r="P64" s="20" t="n">
        <v>0</v>
      </c>
      <c r="Q64" s="18" t="n">
        <v>0.62380319</v>
      </c>
      <c r="R64" s="20" t="n">
        <v>0.44241922</v>
      </c>
    </row>
    <row r="65" spans="1:18">
      <c r="A65" s="15" t="s">
        <v>489</v>
      </c>
      <c r="B65" s="17" t="n">
        <v>2691</v>
      </c>
      <c r="C65" s="18">
        <f>(2232.0/B65*100)</f>
        <v/>
      </c>
      <c r="D65" s="19" t="n">
        <v>459</v>
      </c>
      <c r="E65" s="18" t="n">
        <v>69.7905986</v>
      </c>
      <c r="F65" s="20" t="n">
        <v>1.97547827</v>
      </c>
      <c r="G65" s="18" t="n">
        <v>17.85801096</v>
      </c>
      <c r="H65" s="20" t="n">
        <v>1.79086687</v>
      </c>
      <c r="I65" s="18" t="s">
        <v>431</v>
      </c>
      <c r="J65" s="20" t="s">
        <v>431</v>
      </c>
      <c r="K65" s="18" t="n">
        <v>8.74051195</v>
      </c>
      <c r="L65" s="20" t="n">
        <v>1.40527288</v>
      </c>
      <c r="M65" s="18" t="n">
        <v>0</v>
      </c>
      <c r="N65" s="20" t="n">
        <v>0</v>
      </c>
      <c r="O65" s="18" t="n">
        <v>0</v>
      </c>
      <c r="P65" s="20" t="n">
        <v>0</v>
      </c>
      <c r="Q65" s="18" t="n">
        <v>3.61087849</v>
      </c>
      <c r="R65" s="20" t="n">
        <v>0.90867212</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79.36726290999999</v>
      </c>
      <c r="F69" s="20" t="n">
        <v>2.00522402</v>
      </c>
      <c r="G69" s="18" t="n">
        <v>20.43437002</v>
      </c>
      <c r="H69" s="20" t="n">
        <v>1.97223742</v>
      </c>
      <c r="I69" s="18" t="s">
        <v>431</v>
      </c>
      <c r="J69" s="20" t="s">
        <v>431</v>
      </c>
      <c r="K69" s="18" t="n">
        <v>0</v>
      </c>
      <c r="L69" s="20" t="n">
        <v>0</v>
      </c>
      <c r="M69" s="18" t="n">
        <v>0</v>
      </c>
      <c r="N69" s="20" t="n">
        <v>0</v>
      </c>
      <c r="O69" s="18" t="n">
        <v>0</v>
      </c>
      <c r="P69" s="20" t="n">
        <v>0</v>
      </c>
      <c r="Q69" s="18" t="n">
        <v>0.19836708</v>
      </c>
      <c r="R69" s="20" t="n">
        <v>0.20738764</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71.22362846</v>
      </c>
      <c r="F74" s="20" t="n">
        <v>2.44735676</v>
      </c>
      <c r="G74" s="18" t="n">
        <v>19.13900611</v>
      </c>
      <c r="H74" s="20" t="n">
        <v>2.04133542</v>
      </c>
      <c r="I74" s="18" t="s">
        <v>431</v>
      </c>
      <c r="J74" s="20" t="s">
        <v>431</v>
      </c>
      <c r="K74" s="18" t="n">
        <v>5.51573532</v>
      </c>
      <c r="L74" s="20" t="n">
        <v>1.11207311</v>
      </c>
      <c r="M74" s="18" t="n">
        <v>0</v>
      </c>
      <c r="N74" s="20" t="n">
        <v>0</v>
      </c>
      <c r="O74" s="18" t="n">
        <v>0</v>
      </c>
      <c r="P74" s="20" t="n">
        <v>0</v>
      </c>
      <c r="Q74" s="18" t="n">
        <v>4.12163012</v>
      </c>
      <c r="R74" s="20" t="n">
        <v>1.22931017</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52.94141069</v>
      </c>
      <c r="F78" s="20" t="n">
        <v>2.77105963</v>
      </c>
      <c r="G78" s="18" t="n">
        <v>47.05858931</v>
      </c>
      <c r="H78" s="20" t="n">
        <v>2.77105963</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(661.0/B79*100)</f>
        <v/>
      </c>
      <c r="D79" s="19" t="n">
        <v>126</v>
      </c>
      <c r="E79" s="18" t="n">
        <v>75.96418007</v>
      </c>
      <c r="F79" s="20" t="n">
        <v>3.22943845</v>
      </c>
      <c r="G79" s="18" t="n">
        <v>16.96546204</v>
      </c>
      <c r="H79" s="20" t="n">
        <v>3.25239353</v>
      </c>
      <c r="I79" s="18" t="s">
        <v>431</v>
      </c>
      <c r="J79" s="20" t="s">
        <v>431</v>
      </c>
      <c r="K79" s="18" t="n">
        <v>4.82068826</v>
      </c>
      <c r="L79" s="20" t="n">
        <v>1.91074815</v>
      </c>
      <c r="M79" s="18" t="n">
        <v>0</v>
      </c>
      <c r="N79" s="20" t="n">
        <v>0</v>
      </c>
      <c r="O79" s="18" t="n">
        <v>0</v>
      </c>
      <c r="P79" s="20" t="n">
        <v>0</v>
      </c>
      <c r="Q79" s="18" t="n">
        <v>2.24966963</v>
      </c>
      <c r="R79" s="20" t="n">
        <v>1.38406468</v>
      </c>
    </row>
    <row r="80" spans="1:18">
      <c r="A80" s="15" t="s">
        <v>504</v>
      </c>
      <c r="B80" s="17" t="n">
        <v>3798</v>
      </c>
      <c r="C80" s="18">
        <f>(3158.0/B80*100)</f>
        <v/>
      </c>
      <c r="D80" s="19" t="n">
        <v>640</v>
      </c>
      <c r="E80" s="18" t="n">
        <v>86.24389325999999</v>
      </c>
      <c r="F80" s="20" t="n">
        <v>1.77042445</v>
      </c>
      <c r="G80" s="18" t="n">
        <v>13.35422104</v>
      </c>
      <c r="H80" s="20" t="n">
        <v>1.79434439</v>
      </c>
      <c r="I80" s="18" t="s">
        <v>431</v>
      </c>
      <c r="J80" s="20" t="s">
        <v>431</v>
      </c>
      <c r="K80" s="18" t="n">
        <v>0.18363306</v>
      </c>
      <c r="L80" s="20" t="n">
        <v>0.13708943</v>
      </c>
      <c r="M80" s="18" t="n">
        <v>0</v>
      </c>
      <c r="N80" s="20" t="n">
        <v>0</v>
      </c>
      <c r="O80" s="18" t="n">
        <v>0</v>
      </c>
      <c r="P80" s="20" t="n">
        <v>0</v>
      </c>
      <c r="Q80" s="18" t="n">
        <v>0.21825263</v>
      </c>
      <c r="R80" s="20" t="n">
        <v>0.15431456</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52.71327883</v>
      </c>
      <c r="F44" s="20" t="n">
        <v>2.89772841</v>
      </c>
      <c r="G44" s="18" t="n">
        <v>8.269289369999999</v>
      </c>
      <c r="H44" s="20" t="n">
        <v>1.4891408</v>
      </c>
      <c r="I44" s="18" t="s">
        <v>431</v>
      </c>
      <c r="J44" s="20" t="s">
        <v>431</v>
      </c>
      <c r="K44" s="18" t="n">
        <v>6.94534868</v>
      </c>
      <c r="L44" s="20" t="n">
        <v>1.26388018</v>
      </c>
      <c r="M44" s="18" t="n">
        <v>0</v>
      </c>
      <c r="N44" s="20" t="n">
        <v>0</v>
      </c>
      <c r="O44" s="18" t="n">
        <v>0</v>
      </c>
      <c r="P44" s="20" t="n">
        <v>0</v>
      </c>
      <c r="Q44" s="18" t="n">
        <v>32.07208313</v>
      </c>
      <c r="R44" s="20" t="n">
        <v>2.92323248</v>
      </c>
    </row>
    <row r="45" spans="1:18">
      <c r="A45" s="15" t="s">
        <v>469</v>
      </c>
      <c r="B45" s="17" t="n">
        <v>2849</v>
      </c>
      <c r="C45" s="18">
        <f>(2379.0/B45*100)</f>
        <v/>
      </c>
      <c r="D45" s="19" t="n">
        <v>470</v>
      </c>
      <c r="E45" s="18" t="n">
        <v>49.80381081</v>
      </c>
      <c r="F45" s="20" t="n">
        <v>2.68093165</v>
      </c>
      <c r="G45" s="18" t="n">
        <v>15.09213978</v>
      </c>
      <c r="H45" s="20" t="n">
        <v>1.76213436</v>
      </c>
      <c r="I45" s="18" t="s">
        <v>431</v>
      </c>
      <c r="J45" s="20" t="s">
        <v>431</v>
      </c>
      <c r="K45" s="18" t="n">
        <v>9.18460067</v>
      </c>
      <c r="L45" s="20" t="n">
        <v>1.44861752</v>
      </c>
      <c r="M45" s="18" t="n">
        <v>0.8638827</v>
      </c>
      <c r="N45" s="20" t="n">
        <v>0.51026626</v>
      </c>
      <c r="O45" s="18" t="n">
        <v>0</v>
      </c>
      <c r="P45" s="20" t="n">
        <v>0</v>
      </c>
      <c r="Q45" s="18" t="n">
        <v>25.05556605</v>
      </c>
      <c r="R45" s="20" t="n">
        <v>2.04833017</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40.63490217</v>
      </c>
      <c r="F49" s="20" t="n">
        <v>2.7400899</v>
      </c>
      <c r="G49" s="18" t="n">
        <v>23.28476672</v>
      </c>
      <c r="H49" s="20" t="n">
        <v>2.39867522</v>
      </c>
      <c r="I49" s="18" t="s">
        <v>431</v>
      </c>
      <c r="J49" s="20" t="s">
        <v>431</v>
      </c>
      <c r="K49" s="18" t="n">
        <v>4.13848081</v>
      </c>
      <c r="L49" s="20" t="n">
        <v>1.27096469</v>
      </c>
      <c r="M49" s="18" t="n">
        <v>0</v>
      </c>
      <c r="N49" s="20" t="n">
        <v>0</v>
      </c>
      <c r="O49" s="18" t="n">
        <v>0</v>
      </c>
      <c r="P49" s="20" t="n">
        <v>0</v>
      </c>
      <c r="Q49" s="18" t="n">
        <v>31.94185029</v>
      </c>
      <c r="R49" s="20" t="n">
        <v>2.57324552</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46.9559625</v>
      </c>
      <c r="F55" s="20" t="n">
        <v>2.30878774</v>
      </c>
      <c r="G55" s="18" t="n">
        <v>17.39089674</v>
      </c>
      <c r="H55" s="20" t="n">
        <v>1.69474487</v>
      </c>
      <c r="I55" s="18" t="s">
        <v>431</v>
      </c>
      <c r="J55" s="20" t="s">
        <v>431</v>
      </c>
      <c r="K55" s="18" t="n">
        <v>5.12703172</v>
      </c>
      <c r="L55" s="20" t="n">
        <v>1.25832071</v>
      </c>
      <c r="M55" s="18" t="n">
        <v>0</v>
      </c>
      <c r="N55" s="20" t="n">
        <v>0</v>
      </c>
      <c r="O55" s="18" t="n">
        <v>0</v>
      </c>
      <c r="P55" s="20" t="n">
        <v>0</v>
      </c>
      <c r="Q55" s="18" t="n">
        <v>30.52610904</v>
      </c>
      <c r="R55" s="20" t="n">
        <v>2.19916488</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63.91964958</v>
      </c>
      <c r="F57" s="20" t="n">
        <v>2.21531517</v>
      </c>
      <c r="G57" s="18" t="n">
        <v>19.36522397</v>
      </c>
      <c r="H57" s="20" t="n">
        <v>1.78528519</v>
      </c>
      <c r="I57" s="18" t="s">
        <v>431</v>
      </c>
      <c r="J57" s="20" t="s">
        <v>431</v>
      </c>
      <c r="K57" s="18" t="n">
        <v>1.37217833</v>
      </c>
      <c r="L57" s="20" t="n">
        <v>0.54029269</v>
      </c>
      <c r="M57" s="18" t="n">
        <v>0</v>
      </c>
      <c r="N57" s="20" t="n">
        <v>0</v>
      </c>
      <c r="O57" s="18" t="n">
        <v>0</v>
      </c>
      <c r="P57" s="20" t="n">
        <v>0</v>
      </c>
      <c r="Q57" s="18" t="n">
        <v>15.34294812</v>
      </c>
      <c r="R57" s="20" t="n">
        <v>1.94279901</v>
      </c>
    </row>
    <row r="58" spans="1:18">
      <c r="A58" s="15" t="s">
        <v>482</v>
      </c>
      <c r="B58" s="17" t="n">
        <v>3530</v>
      </c>
      <c r="C58" s="18">
        <f>(2962.0/B58*100)</f>
        <v/>
      </c>
      <c r="D58" s="19" t="n">
        <v>568</v>
      </c>
      <c r="E58" s="18" t="n">
        <v>49.13876583</v>
      </c>
      <c r="F58" s="20" t="n">
        <v>2.43960308</v>
      </c>
      <c r="G58" s="18" t="n">
        <v>20.12642812</v>
      </c>
      <c r="H58" s="20" t="n">
        <v>1.87316721</v>
      </c>
      <c r="I58" s="18" t="s">
        <v>431</v>
      </c>
      <c r="J58" s="20" t="s">
        <v>431</v>
      </c>
      <c r="K58" s="18" t="n">
        <v>3.54422883</v>
      </c>
      <c r="L58" s="20" t="n">
        <v>0.82506507</v>
      </c>
      <c r="M58" s="18" t="n">
        <v>0</v>
      </c>
      <c r="N58" s="20" t="n">
        <v>0</v>
      </c>
      <c r="O58" s="18" t="n">
        <v>0</v>
      </c>
      <c r="P58" s="20" t="n">
        <v>0</v>
      </c>
      <c r="Q58" s="18" t="n">
        <v>27.19057722</v>
      </c>
      <c r="R58" s="20" t="n">
        <v>2.3688407</v>
      </c>
    </row>
    <row r="59" spans="1:18">
      <c r="A59" s="15" t="s">
        <v>483</v>
      </c>
      <c r="B59" s="17" t="n">
        <v>2548</v>
      </c>
      <c r="C59" s="18">
        <f>(2118.0/B59*100)</f>
        <v/>
      </c>
      <c r="D59" s="19" t="n">
        <v>430</v>
      </c>
      <c r="E59" s="18" t="n">
        <v>70.83342403</v>
      </c>
      <c r="F59" s="20" t="n">
        <v>2.77569097</v>
      </c>
      <c r="G59" s="18" t="n">
        <v>5.89471519</v>
      </c>
      <c r="H59" s="20" t="n">
        <v>1.58120683</v>
      </c>
      <c r="I59" s="18" t="s">
        <v>431</v>
      </c>
      <c r="J59" s="20" t="s">
        <v>431</v>
      </c>
      <c r="K59" s="18" t="n">
        <v>1.33207929</v>
      </c>
      <c r="L59" s="20" t="n">
        <v>0.5107244</v>
      </c>
      <c r="M59" s="18" t="n">
        <v>0</v>
      </c>
      <c r="N59" s="20" t="n">
        <v>0</v>
      </c>
      <c r="O59" s="18" t="n">
        <v>0</v>
      </c>
      <c r="P59" s="20" t="n">
        <v>0</v>
      </c>
      <c r="Q59" s="18" t="n">
        <v>21.9397815</v>
      </c>
      <c r="R59" s="20" t="n">
        <v>2.16094067</v>
      </c>
    </row>
    <row r="60" spans="1:18">
      <c r="A60" s="15" t="s">
        <v>484</v>
      </c>
      <c r="B60" s="17" t="n">
        <v>2095</v>
      </c>
      <c r="C60" s="18">
        <f>(1743.0/B60*100)</f>
        <v/>
      </c>
      <c r="D60" s="19" t="n">
        <v>352</v>
      </c>
      <c r="E60" s="18" t="n">
        <v>38.51442961</v>
      </c>
      <c r="F60" s="20" t="n">
        <v>2.84804228</v>
      </c>
      <c r="G60" s="18" t="n">
        <v>24.67247429</v>
      </c>
      <c r="H60" s="20" t="n">
        <v>2.50144406</v>
      </c>
      <c r="I60" s="18" t="s">
        <v>431</v>
      </c>
      <c r="J60" s="20" t="s">
        <v>431</v>
      </c>
      <c r="K60" s="18" t="n">
        <v>5.78573361</v>
      </c>
      <c r="L60" s="20" t="n">
        <v>1.25048578</v>
      </c>
      <c r="M60" s="18" t="n">
        <v>0.2573368</v>
      </c>
      <c r="N60" s="20" t="n">
        <v>0.25361715</v>
      </c>
      <c r="O60" s="18" t="n">
        <v>0</v>
      </c>
      <c r="P60" s="20" t="n">
        <v>0</v>
      </c>
      <c r="Q60" s="18" t="n">
        <v>30.77002569</v>
      </c>
      <c r="R60" s="20" t="n">
        <v>2.55824701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38.71205007</v>
      </c>
      <c r="F63" s="20" t="n">
        <v>2.37547234</v>
      </c>
      <c r="G63" s="18" t="n">
        <v>5.23824909</v>
      </c>
      <c r="H63" s="20" t="n">
        <v>1.18681029</v>
      </c>
      <c r="I63" s="18" t="s">
        <v>431</v>
      </c>
      <c r="J63" s="20" t="s">
        <v>431</v>
      </c>
      <c r="K63" s="18" t="n">
        <v>4.23431308</v>
      </c>
      <c r="L63" s="20" t="n">
        <v>0.87217735</v>
      </c>
      <c r="M63" s="18" t="n">
        <v>0</v>
      </c>
      <c r="N63" s="20" t="n">
        <v>0</v>
      </c>
      <c r="O63" s="18" t="n">
        <v>0</v>
      </c>
      <c r="P63" s="20" t="n">
        <v>0</v>
      </c>
      <c r="Q63" s="18" t="n">
        <v>51.81538776</v>
      </c>
      <c r="R63" s="20" t="n">
        <v>2.46383061</v>
      </c>
    </row>
    <row r="64" spans="1:18">
      <c r="A64" s="15" t="s">
        <v>488</v>
      </c>
      <c r="B64" s="17" t="n">
        <v>1844</v>
      </c>
      <c r="C64" s="18">
        <f>(1521.0/B64*100)</f>
        <v/>
      </c>
      <c r="D64" s="19" t="n">
        <v>323</v>
      </c>
      <c r="E64" s="18" t="n">
        <v>36.11266756</v>
      </c>
      <c r="F64" s="20" t="n">
        <v>2.61420147</v>
      </c>
      <c r="G64" s="18" t="n">
        <v>34.87758628</v>
      </c>
      <c r="H64" s="20" t="n">
        <v>2.76725677</v>
      </c>
      <c r="I64" s="18" t="s">
        <v>431</v>
      </c>
      <c r="J64" s="20" t="s">
        <v>431</v>
      </c>
      <c r="K64" s="18" t="n">
        <v>4.75071104</v>
      </c>
      <c r="L64" s="20" t="n">
        <v>1.06484353</v>
      </c>
      <c r="M64" s="18" t="n">
        <v>0</v>
      </c>
      <c r="N64" s="20" t="n">
        <v>0</v>
      </c>
      <c r="O64" s="18" t="n">
        <v>0</v>
      </c>
      <c r="P64" s="20" t="n">
        <v>0</v>
      </c>
      <c r="Q64" s="18" t="n">
        <v>24.25903511</v>
      </c>
      <c r="R64" s="20" t="n">
        <v>2.34039289</v>
      </c>
    </row>
    <row r="65" spans="1:18">
      <c r="A65" s="15" t="s">
        <v>489</v>
      </c>
      <c r="B65" s="17" t="n">
        <v>2691</v>
      </c>
      <c r="C65" s="18">
        <f>(2232.0/B65*100)</f>
        <v/>
      </c>
      <c r="D65" s="19" t="n">
        <v>459</v>
      </c>
      <c r="E65" s="18" t="n">
        <v>37.11168762</v>
      </c>
      <c r="F65" s="20" t="n">
        <v>2.73312347</v>
      </c>
      <c r="G65" s="18" t="n">
        <v>17.80545516</v>
      </c>
      <c r="H65" s="20" t="n">
        <v>1.82424026</v>
      </c>
      <c r="I65" s="18" t="s">
        <v>431</v>
      </c>
      <c r="J65" s="20" t="s">
        <v>431</v>
      </c>
      <c r="K65" s="18" t="n">
        <v>10.82717238</v>
      </c>
      <c r="L65" s="20" t="n">
        <v>1.38566893</v>
      </c>
      <c r="M65" s="18" t="n">
        <v>0</v>
      </c>
      <c r="N65" s="20" t="n">
        <v>0</v>
      </c>
      <c r="O65" s="18" t="n">
        <v>0</v>
      </c>
      <c r="P65" s="20" t="n">
        <v>0</v>
      </c>
      <c r="Q65" s="18" t="n">
        <v>34.25568485</v>
      </c>
      <c r="R65" s="20" t="n">
        <v>2.56806826</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64.75707899</v>
      </c>
      <c r="F69" s="20" t="n">
        <v>2.46753086</v>
      </c>
      <c r="G69" s="18" t="n">
        <v>32.45691036</v>
      </c>
      <c r="H69" s="20" t="n">
        <v>2.58413362</v>
      </c>
      <c r="I69" s="18" t="s">
        <v>431</v>
      </c>
      <c r="J69" s="20" t="s">
        <v>431</v>
      </c>
      <c r="K69" s="18" t="n">
        <v>0</v>
      </c>
      <c r="L69" s="20" t="n">
        <v>0</v>
      </c>
      <c r="M69" s="18" t="n">
        <v>0</v>
      </c>
      <c r="N69" s="20" t="n">
        <v>0</v>
      </c>
      <c r="O69" s="18" t="n">
        <v>0</v>
      </c>
      <c r="P69" s="20" t="n">
        <v>0</v>
      </c>
      <c r="Q69" s="18" t="n">
        <v>2.78601065</v>
      </c>
      <c r="R69" s="20" t="n">
        <v>0.79315688</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34.32857276</v>
      </c>
      <c r="F74" s="20" t="n">
        <v>2.72985229</v>
      </c>
      <c r="G74" s="18" t="n">
        <v>21.69861596</v>
      </c>
      <c r="H74" s="20" t="n">
        <v>2.26683835</v>
      </c>
      <c r="I74" s="18" t="s">
        <v>431</v>
      </c>
      <c r="J74" s="20" t="s">
        <v>431</v>
      </c>
      <c r="K74" s="18" t="n">
        <v>7.22230375</v>
      </c>
      <c r="L74" s="20" t="n">
        <v>1.21071665</v>
      </c>
      <c r="M74" s="18" t="n">
        <v>0</v>
      </c>
      <c r="N74" s="20" t="n">
        <v>0</v>
      </c>
      <c r="O74" s="18" t="n">
        <v>0</v>
      </c>
      <c r="P74" s="20" t="n">
        <v>0</v>
      </c>
      <c r="Q74" s="18" t="n">
        <v>36.75050753</v>
      </c>
      <c r="R74" s="20" t="n">
        <v>2.97841974</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70.05533045999999</v>
      </c>
      <c r="F78" s="20" t="n">
        <v>2.28926448</v>
      </c>
      <c r="G78" s="18" t="n">
        <v>25.89310645</v>
      </c>
      <c r="H78" s="20" t="n">
        <v>2.1620967</v>
      </c>
      <c r="I78" s="18" t="s">
        <v>431</v>
      </c>
      <c r="J78" s="20" t="s">
        <v>431</v>
      </c>
      <c r="K78" s="18" t="n">
        <v>0</v>
      </c>
      <c r="L78" s="20" t="n">
        <v>0</v>
      </c>
      <c r="M78" s="18" t="n">
        <v>0</v>
      </c>
      <c r="N78" s="20" t="n">
        <v>0</v>
      </c>
      <c r="O78" s="18" t="n">
        <v>0</v>
      </c>
      <c r="P78" s="20" t="n">
        <v>0</v>
      </c>
      <c r="Q78" s="18" t="n">
        <v>4.05156309</v>
      </c>
      <c r="R78" s="20" t="n">
        <v>1.00064692</v>
      </c>
    </row>
    <row customHeight="1" ht="25" r="79" spans="1:18">
      <c r="A79" s="15" t="s">
        <v>503</v>
      </c>
      <c r="B79" s="17" t="n">
        <v>787</v>
      </c>
      <c r="C79" s="18">
        <f>(661.0/B79*100)</f>
        <v/>
      </c>
      <c r="D79" s="19" t="n">
        <v>126</v>
      </c>
      <c r="E79" s="18" t="n">
        <v>25.87548349</v>
      </c>
      <c r="F79" s="20" t="n">
        <v>4.28957677</v>
      </c>
      <c r="G79" s="18" t="n">
        <v>42.15862406</v>
      </c>
      <c r="H79" s="20" t="n">
        <v>4.82430623</v>
      </c>
      <c r="I79" s="18" t="s">
        <v>431</v>
      </c>
      <c r="J79" s="20" t="s">
        <v>431</v>
      </c>
      <c r="K79" s="18" t="n">
        <v>6.94955771</v>
      </c>
      <c r="L79" s="20" t="n">
        <v>2.19882629</v>
      </c>
      <c r="M79" s="18" t="n">
        <v>0</v>
      </c>
      <c r="N79" s="20" t="n">
        <v>0</v>
      </c>
      <c r="O79" s="18" t="n">
        <v>0</v>
      </c>
      <c r="P79" s="20" t="n">
        <v>0</v>
      </c>
      <c r="Q79" s="18" t="n">
        <v>25.01633475</v>
      </c>
      <c r="R79" s="20" t="n">
        <v>4.80380055</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48.60435697</v>
      </c>
      <c r="F44" s="20" t="n">
        <v>2.69925069</v>
      </c>
      <c r="G44" s="18" t="n">
        <v>7.20249153</v>
      </c>
      <c r="H44" s="20" t="n">
        <v>1.61632377</v>
      </c>
      <c r="I44" s="18" t="s">
        <v>431</v>
      </c>
      <c r="J44" s="20" t="s">
        <v>431</v>
      </c>
      <c r="K44" s="18" t="n">
        <v>7.18540494</v>
      </c>
      <c r="L44" s="20" t="n">
        <v>1.29433676</v>
      </c>
      <c r="M44" s="18" t="n">
        <v>0</v>
      </c>
      <c r="N44" s="20" t="n">
        <v>0</v>
      </c>
      <c r="O44" s="18" t="n">
        <v>0</v>
      </c>
      <c r="P44" s="20" t="n">
        <v>0</v>
      </c>
      <c r="Q44" s="18" t="n">
        <v>37.00774656</v>
      </c>
      <c r="R44" s="20" t="n">
        <v>2.83217961</v>
      </c>
    </row>
    <row r="45" spans="1:18">
      <c r="A45" s="15" t="s">
        <v>469</v>
      </c>
      <c r="B45" s="17" t="n">
        <v>2849</v>
      </c>
      <c r="C45" s="18">
        <f>(2379.0/B45*100)</f>
        <v/>
      </c>
      <c r="D45" s="19" t="n">
        <v>470</v>
      </c>
      <c r="E45" s="18" t="n">
        <v>53.78610423</v>
      </c>
      <c r="F45" s="20" t="n">
        <v>2.78726409</v>
      </c>
      <c r="G45" s="18" t="n">
        <v>12.61302094</v>
      </c>
      <c r="H45" s="20" t="n">
        <v>1.69459354</v>
      </c>
      <c r="I45" s="18" t="s">
        <v>431</v>
      </c>
      <c r="J45" s="20" t="s">
        <v>431</v>
      </c>
      <c r="K45" s="18" t="n">
        <v>9.347619910000001</v>
      </c>
      <c r="L45" s="20" t="n">
        <v>1.46124986</v>
      </c>
      <c r="M45" s="18" t="n">
        <v>0.8638827</v>
      </c>
      <c r="N45" s="20" t="n">
        <v>0.51026626</v>
      </c>
      <c r="O45" s="18" t="n">
        <v>0</v>
      </c>
      <c r="P45" s="20" t="n">
        <v>0</v>
      </c>
      <c r="Q45" s="18" t="n">
        <v>23.38937221</v>
      </c>
      <c r="R45" s="20" t="n">
        <v>2.17152955</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39.85720769</v>
      </c>
      <c r="F49" s="20" t="n">
        <v>2.56641128</v>
      </c>
      <c r="G49" s="18" t="n">
        <v>19.4288975</v>
      </c>
      <c r="H49" s="20" t="n">
        <v>2.22425588</v>
      </c>
      <c r="I49" s="18" t="s">
        <v>431</v>
      </c>
      <c r="J49" s="20" t="s">
        <v>431</v>
      </c>
      <c r="K49" s="18" t="n">
        <v>4.13848081</v>
      </c>
      <c r="L49" s="20" t="n">
        <v>1.27096469</v>
      </c>
      <c r="M49" s="18" t="n">
        <v>0</v>
      </c>
      <c r="N49" s="20" t="n">
        <v>0</v>
      </c>
      <c r="O49" s="18" t="n">
        <v>0</v>
      </c>
      <c r="P49" s="20" t="n">
        <v>0</v>
      </c>
      <c r="Q49" s="18" t="n">
        <v>36.575414</v>
      </c>
      <c r="R49" s="20" t="n">
        <v>2.57175526</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50.76569223</v>
      </c>
      <c r="F55" s="20" t="n">
        <v>2.23434324</v>
      </c>
      <c r="G55" s="18" t="n">
        <v>12.48034041</v>
      </c>
      <c r="H55" s="20" t="n">
        <v>1.3692752</v>
      </c>
      <c r="I55" s="18" t="s">
        <v>431</v>
      </c>
      <c r="J55" s="20" t="s">
        <v>431</v>
      </c>
      <c r="K55" s="18" t="n">
        <v>5.12703172</v>
      </c>
      <c r="L55" s="20" t="n">
        <v>1.25832071</v>
      </c>
      <c r="M55" s="18" t="n">
        <v>0</v>
      </c>
      <c r="N55" s="20" t="n">
        <v>0</v>
      </c>
      <c r="O55" s="18" t="n">
        <v>0</v>
      </c>
      <c r="P55" s="20" t="n">
        <v>0</v>
      </c>
      <c r="Q55" s="18" t="n">
        <v>31.62693564</v>
      </c>
      <c r="R55" s="20" t="n">
        <v>2.03287599</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65.09782305</v>
      </c>
      <c r="F57" s="20" t="n">
        <v>2.35834771</v>
      </c>
      <c r="G57" s="18" t="n">
        <v>17.9374685</v>
      </c>
      <c r="H57" s="20" t="n">
        <v>1.78867102</v>
      </c>
      <c r="I57" s="18" t="s">
        <v>431</v>
      </c>
      <c r="J57" s="20" t="s">
        <v>431</v>
      </c>
      <c r="K57" s="18" t="n">
        <v>1.37217833</v>
      </c>
      <c r="L57" s="20" t="n">
        <v>0.54029269</v>
      </c>
      <c r="M57" s="18" t="n">
        <v>0</v>
      </c>
      <c r="N57" s="20" t="n">
        <v>0</v>
      </c>
      <c r="O57" s="18" t="n">
        <v>0</v>
      </c>
      <c r="P57" s="20" t="n">
        <v>0</v>
      </c>
      <c r="Q57" s="18" t="n">
        <v>15.59253013</v>
      </c>
      <c r="R57" s="20" t="n">
        <v>1.98344398</v>
      </c>
    </row>
    <row r="58" spans="1:18">
      <c r="A58" s="15" t="s">
        <v>482</v>
      </c>
      <c r="B58" s="17" t="n">
        <v>3530</v>
      </c>
      <c r="C58" s="18">
        <f>(2962.0/B58*100)</f>
        <v/>
      </c>
      <c r="D58" s="19" t="n">
        <v>568</v>
      </c>
      <c r="E58" s="18" t="n">
        <v>50.69744015</v>
      </c>
      <c r="F58" s="20" t="n">
        <v>2.07717793</v>
      </c>
      <c r="G58" s="18" t="n">
        <v>17.52040599</v>
      </c>
      <c r="H58" s="20" t="n">
        <v>1.77438787</v>
      </c>
      <c r="I58" s="18" t="s">
        <v>431</v>
      </c>
      <c r="J58" s="20" t="s">
        <v>431</v>
      </c>
      <c r="K58" s="18" t="n">
        <v>3.54422883</v>
      </c>
      <c r="L58" s="20" t="n">
        <v>0.82506507</v>
      </c>
      <c r="M58" s="18" t="n">
        <v>0</v>
      </c>
      <c r="N58" s="20" t="n">
        <v>0</v>
      </c>
      <c r="O58" s="18" t="n">
        <v>0</v>
      </c>
      <c r="P58" s="20" t="n">
        <v>0</v>
      </c>
      <c r="Q58" s="18" t="n">
        <v>28.23792503</v>
      </c>
      <c r="R58" s="20" t="n">
        <v>2.4501166</v>
      </c>
    </row>
    <row r="59" spans="1:18">
      <c r="A59" s="15" t="s">
        <v>483</v>
      </c>
      <c r="B59" s="17" t="n">
        <v>2548</v>
      </c>
      <c r="C59" s="18">
        <f>(2118.0/B59*100)</f>
        <v/>
      </c>
      <c r="D59" s="19" t="n">
        <v>430</v>
      </c>
      <c r="E59" s="18" t="n">
        <v>70.10797666000001</v>
      </c>
      <c r="F59" s="20" t="n">
        <v>2.35161883</v>
      </c>
      <c r="G59" s="18" t="n">
        <v>2.61223672</v>
      </c>
      <c r="H59" s="20" t="n">
        <v>0.72891735</v>
      </c>
      <c r="I59" s="18" t="s">
        <v>431</v>
      </c>
      <c r="J59" s="20" t="s">
        <v>431</v>
      </c>
      <c r="K59" s="18" t="n">
        <v>1.33207929</v>
      </c>
      <c r="L59" s="20" t="n">
        <v>0.5107244</v>
      </c>
      <c r="M59" s="18" t="n">
        <v>0</v>
      </c>
      <c r="N59" s="20" t="n">
        <v>0</v>
      </c>
      <c r="O59" s="18" t="n">
        <v>0</v>
      </c>
      <c r="P59" s="20" t="n">
        <v>0</v>
      </c>
      <c r="Q59" s="18" t="n">
        <v>25.94770733</v>
      </c>
      <c r="R59" s="20" t="n">
        <v>2.21184266</v>
      </c>
    </row>
    <row r="60" spans="1:18">
      <c r="A60" s="15" t="s">
        <v>484</v>
      </c>
      <c r="B60" s="17" t="n">
        <v>2095</v>
      </c>
      <c r="C60" s="18">
        <f>(1743.0/B60*100)</f>
        <v/>
      </c>
      <c r="D60" s="19" t="n">
        <v>352</v>
      </c>
      <c r="E60" s="18" t="n">
        <v>36.8898383</v>
      </c>
      <c r="F60" s="20" t="n">
        <v>3.25004482</v>
      </c>
      <c r="G60" s="18" t="n">
        <v>26.1378644</v>
      </c>
      <c r="H60" s="20" t="n">
        <v>2.91807943</v>
      </c>
      <c r="I60" s="18" t="s">
        <v>431</v>
      </c>
      <c r="J60" s="20" t="s">
        <v>431</v>
      </c>
      <c r="K60" s="18" t="n">
        <v>5.78573361</v>
      </c>
      <c r="L60" s="20" t="n">
        <v>1.25048578</v>
      </c>
      <c r="M60" s="18" t="n">
        <v>0.2573368</v>
      </c>
      <c r="N60" s="20" t="n">
        <v>0.25361715</v>
      </c>
      <c r="O60" s="18" t="n">
        <v>0</v>
      </c>
      <c r="P60" s="20" t="n">
        <v>0</v>
      </c>
      <c r="Q60" s="18" t="n">
        <v>30.92922689</v>
      </c>
      <c r="R60" s="20" t="n">
        <v>2.64362194</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36.20667229</v>
      </c>
      <c r="F63" s="20" t="n">
        <v>2.2922105</v>
      </c>
      <c r="G63" s="18" t="n">
        <v>4.20351226</v>
      </c>
      <c r="H63" s="20" t="n">
        <v>1.07380554</v>
      </c>
      <c r="I63" s="18" t="s">
        <v>431</v>
      </c>
      <c r="J63" s="20" t="s">
        <v>431</v>
      </c>
      <c r="K63" s="18" t="n">
        <v>4.46368784</v>
      </c>
      <c r="L63" s="20" t="n">
        <v>0.8930792</v>
      </c>
      <c r="M63" s="18" t="n">
        <v>0</v>
      </c>
      <c r="N63" s="20" t="n">
        <v>0</v>
      </c>
      <c r="O63" s="18" t="n">
        <v>0</v>
      </c>
      <c r="P63" s="20" t="n">
        <v>0</v>
      </c>
      <c r="Q63" s="18" t="n">
        <v>55.12612761</v>
      </c>
      <c r="R63" s="20" t="n">
        <v>2.34779302</v>
      </c>
    </row>
    <row r="64" spans="1:18">
      <c r="A64" s="15" t="s">
        <v>488</v>
      </c>
      <c r="B64" s="17" t="n">
        <v>1844</v>
      </c>
      <c r="C64" s="18">
        <f>(1521.0/B64*100)</f>
        <v/>
      </c>
      <c r="D64" s="19" t="n">
        <v>323</v>
      </c>
      <c r="E64" s="18" t="n">
        <v>37.04496995</v>
      </c>
      <c r="F64" s="20" t="n">
        <v>2.90200115</v>
      </c>
      <c r="G64" s="18" t="n">
        <v>31.63126028</v>
      </c>
      <c r="H64" s="20" t="n">
        <v>2.67742116</v>
      </c>
      <c r="I64" s="18" t="s">
        <v>431</v>
      </c>
      <c r="J64" s="20" t="s">
        <v>431</v>
      </c>
      <c r="K64" s="18" t="n">
        <v>4.75071104</v>
      </c>
      <c r="L64" s="20" t="n">
        <v>1.06484353</v>
      </c>
      <c r="M64" s="18" t="n">
        <v>0</v>
      </c>
      <c r="N64" s="20" t="n">
        <v>0</v>
      </c>
      <c r="O64" s="18" t="n">
        <v>0</v>
      </c>
      <c r="P64" s="20" t="n">
        <v>0</v>
      </c>
      <c r="Q64" s="18" t="n">
        <v>26.57305873</v>
      </c>
      <c r="R64" s="20" t="n">
        <v>2.58541018</v>
      </c>
    </row>
    <row r="65" spans="1:18">
      <c r="A65" s="15" t="s">
        <v>489</v>
      </c>
      <c r="B65" s="17" t="n">
        <v>2691</v>
      </c>
      <c r="C65" s="18">
        <f>(2232.0/B65*100)</f>
        <v/>
      </c>
      <c r="D65" s="19" t="n">
        <v>459</v>
      </c>
      <c r="E65" s="18" t="n">
        <v>31.95982385</v>
      </c>
      <c r="F65" s="20" t="n">
        <v>2.49478672</v>
      </c>
      <c r="G65" s="18" t="n">
        <v>19.66054339</v>
      </c>
      <c r="H65" s="20" t="n">
        <v>1.96752332</v>
      </c>
      <c r="I65" s="18" t="s">
        <v>431</v>
      </c>
      <c r="J65" s="20" t="s">
        <v>431</v>
      </c>
      <c r="K65" s="18" t="n">
        <v>11.04208773</v>
      </c>
      <c r="L65" s="20" t="n">
        <v>1.41212694</v>
      </c>
      <c r="M65" s="18" t="n">
        <v>0</v>
      </c>
      <c r="N65" s="20" t="n">
        <v>0</v>
      </c>
      <c r="O65" s="18" t="n">
        <v>0</v>
      </c>
      <c r="P65" s="20" t="n">
        <v>0</v>
      </c>
      <c r="Q65" s="18" t="n">
        <v>37.33754503</v>
      </c>
      <c r="R65" s="20" t="n">
        <v>2.71264126</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68.1657664</v>
      </c>
      <c r="F69" s="20" t="n">
        <v>2.29923363</v>
      </c>
      <c r="G69" s="18" t="n">
        <v>28.82638447</v>
      </c>
      <c r="H69" s="20" t="n">
        <v>2.39109487</v>
      </c>
      <c r="I69" s="18" t="s">
        <v>431</v>
      </c>
      <c r="J69" s="20" t="s">
        <v>431</v>
      </c>
      <c r="K69" s="18" t="n">
        <v>0</v>
      </c>
      <c r="L69" s="20" t="n">
        <v>0</v>
      </c>
      <c r="M69" s="18" t="n">
        <v>0</v>
      </c>
      <c r="N69" s="20" t="n">
        <v>0</v>
      </c>
      <c r="O69" s="18" t="n">
        <v>0</v>
      </c>
      <c r="P69" s="20" t="n">
        <v>0</v>
      </c>
      <c r="Q69" s="18" t="n">
        <v>3.00784914</v>
      </c>
      <c r="R69" s="20" t="n">
        <v>0.87992191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33.59559124</v>
      </c>
      <c r="F74" s="20" t="n">
        <v>2.48925717</v>
      </c>
      <c r="G74" s="18" t="n">
        <v>20.7164726</v>
      </c>
      <c r="H74" s="20" t="n">
        <v>2.13534156</v>
      </c>
      <c r="I74" s="18" t="s">
        <v>431</v>
      </c>
      <c r="J74" s="20" t="s">
        <v>431</v>
      </c>
      <c r="K74" s="18" t="n">
        <v>7.22230375</v>
      </c>
      <c r="L74" s="20" t="n">
        <v>1.21071665</v>
      </c>
      <c r="M74" s="18" t="n">
        <v>0</v>
      </c>
      <c r="N74" s="20" t="n">
        <v>0</v>
      </c>
      <c r="O74" s="18" t="n">
        <v>0</v>
      </c>
      <c r="P74" s="20" t="n">
        <v>0</v>
      </c>
      <c r="Q74" s="18" t="n">
        <v>38.46563242</v>
      </c>
      <c r="R74" s="20" t="n">
        <v>2.88959511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51.64517565</v>
      </c>
      <c r="F78" s="20" t="n">
        <v>2.300949</v>
      </c>
      <c r="G78" s="18" t="n">
        <v>43.39081856</v>
      </c>
      <c r="H78" s="20" t="n">
        <v>2.35783447</v>
      </c>
      <c r="I78" s="18" t="s">
        <v>431</v>
      </c>
      <c r="J78" s="20" t="s">
        <v>431</v>
      </c>
      <c r="K78" s="18" t="n">
        <v>0</v>
      </c>
      <c r="L78" s="20" t="n">
        <v>0</v>
      </c>
      <c r="M78" s="18" t="n">
        <v>0</v>
      </c>
      <c r="N78" s="20" t="n">
        <v>0</v>
      </c>
      <c r="O78" s="18" t="n">
        <v>0</v>
      </c>
      <c r="P78" s="20" t="n">
        <v>0</v>
      </c>
      <c r="Q78" s="18" t="n">
        <v>4.96400579</v>
      </c>
      <c r="R78" s="20" t="n">
        <v>1.03330016</v>
      </c>
    </row>
    <row customHeight="1" ht="25" r="79" spans="1:18">
      <c r="A79" s="15" t="s">
        <v>503</v>
      </c>
      <c r="B79" s="17" t="n">
        <v>787</v>
      </c>
      <c r="C79" s="18">
        <f>(661.0/B79*100)</f>
        <v/>
      </c>
      <c r="D79" s="19" t="n">
        <v>126</v>
      </c>
      <c r="E79" s="18" t="n">
        <v>34.76036159</v>
      </c>
      <c r="F79" s="20" t="n">
        <v>4.36328562</v>
      </c>
      <c r="G79" s="18" t="n">
        <v>29.26064275</v>
      </c>
      <c r="H79" s="20" t="n">
        <v>4.3686648</v>
      </c>
      <c r="I79" s="18" t="s">
        <v>431</v>
      </c>
      <c r="J79" s="20" t="s">
        <v>431</v>
      </c>
      <c r="K79" s="18" t="n">
        <v>6.94955771</v>
      </c>
      <c r="L79" s="20" t="n">
        <v>2.19882629</v>
      </c>
      <c r="M79" s="18" t="n">
        <v>0</v>
      </c>
      <c r="N79" s="20" t="n">
        <v>0</v>
      </c>
      <c r="O79" s="18" t="n">
        <v>0</v>
      </c>
      <c r="P79" s="20" t="n">
        <v>0</v>
      </c>
      <c r="Q79" s="18" t="n">
        <v>29.02943795</v>
      </c>
      <c r="R79" s="20" t="n">
        <v>4.45938561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23.20562061</v>
      </c>
      <c r="F44" s="20" t="n">
        <v>2.34031987</v>
      </c>
      <c r="G44" s="18" t="n">
        <v>50.19392317</v>
      </c>
      <c r="H44" s="20" t="n">
        <v>3.03979703</v>
      </c>
      <c r="I44" s="18" t="s">
        <v>431</v>
      </c>
      <c r="J44" s="20" t="s">
        <v>431</v>
      </c>
      <c r="K44" s="18" t="n">
        <v>7.69963664</v>
      </c>
      <c r="L44" s="20" t="n">
        <v>1.3377147</v>
      </c>
      <c r="M44" s="18" t="n">
        <v>0</v>
      </c>
      <c r="N44" s="20" t="n">
        <v>0</v>
      </c>
      <c r="O44" s="18" t="n">
        <v>0</v>
      </c>
      <c r="P44" s="20" t="n">
        <v>0</v>
      </c>
      <c r="Q44" s="18" t="n">
        <v>18.90081958</v>
      </c>
      <c r="R44" s="20" t="n">
        <v>2.097005</v>
      </c>
    </row>
    <row r="45" spans="1:18">
      <c r="A45" s="15" t="s">
        <v>469</v>
      </c>
      <c r="B45" s="17" t="n">
        <v>2849</v>
      </c>
      <c r="C45" s="18">
        <f>(2379.0/B45*100)</f>
        <v/>
      </c>
      <c r="D45" s="19" t="n">
        <v>470</v>
      </c>
      <c r="E45" s="18" t="n">
        <v>41.69798024</v>
      </c>
      <c r="F45" s="20" t="n">
        <v>2.55695383</v>
      </c>
      <c r="G45" s="18" t="n">
        <v>29.59056414</v>
      </c>
      <c r="H45" s="20" t="n">
        <v>2.1494908</v>
      </c>
      <c r="I45" s="18" t="s">
        <v>431</v>
      </c>
      <c r="J45" s="20" t="s">
        <v>431</v>
      </c>
      <c r="K45" s="18" t="n">
        <v>13.01528953</v>
      </c>
      <c r="L45" s="20" t="n">
        <v>1.69902101</v>
      </c>
      <c r="M45" s="18" t="n">
        <v>0.73856634</v>
      </c>
      <c r="N45" s="20" t="n">
        <v>0.4565798</v>
      </c>
      <c r="O45" s="18" t="n">
        <v>0</v>
      </c>
      <c r="P45" s="20" t="n">
        <v>0</v>
      </c>
      <c r="Q45" s="18" t="n">
        <v>14.95759975</v>
      </c>
      <c r="R45" s="20" t="n">
        <v>1.9007917</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29.68707156</v>
      </c>
      <c r="F49" s="20" t="n">
        <v>2.37093073</v>
      </c>
      <c r="G49" s="18" t="n">
        <v>47.63850209</v>
      </c>
      <c r="H49" s="20" t="n">
        <v>2.70909636</v>
      </c>
      <c r="I49" s="18" t="s">
        <v>431</v>
      </c>
      <c r="J49" s="20" t="s">
        <v>431</v>
      </c>
      <c r="K49" s="18" t="n">
        <v>4.13848081</v>
      </c>
      <c r="L49" s="20" t="n">
        <v>1.27096469</v>
      </c>
      <c r="M49" s="18" t="n">
        <v>0</v>
      </c>
      <c r="N49" s="20" t="n">
        <v>0</v>
      </c>
      <c r="O49" s="18" t="n">
        <v>0</v>
      </c>
      <c r="P49" s="20" t="n">
        <v>0</v>
      </c>
      <c r="Q49" s="18" t="n">
        <v>18.53594553</v>
      </c>
      <c r="R49" s="20" t="n">
        <v>2.04762575</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15.46429361</v>
      </c>
      <c r="F55" s="20" t="n">
        <v>1.83351632</v>
      </c>
      <c r="G55" s="18" t="n">
        <v>56.63851793</v>
      </c>
      <c r="H55" s="20" t="n">
        <v>2.43086358</v>
      </c>
      <c r="I55" s="18" t="s">
        <v>431</v>
      </c>
      <c r="J55" s="20" t="s">
        <v>431</v>
      </c>
      <c r="K55" s="18" t="n">
        <v>5.71614608</v>
      </c>
      <c r="L55" s="20" t="n">
        <v>1.288128</v>
      </c>
      <c r="M55" s="18" t="n">
        <v>0</v>
      </c>
      <c r="N55" s="20" t="n">
        <v>0</v>
      </c>
      <c r="O55" s="18" t="n">
        <v>0</v>
      </c>
      <c r="P55" s="20" t="n">
        <v>0</v>
      </c>
      <c r="Q55" s="18" t="n">
        <v>22.18104239</v>
      </c>
      <c r="R55" s="20" t="n">
        <v>2.21836609</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59.83896083</v>
      </c>
      <c r="F57" s="20" t="n">
        <v>2.46335332</v>
      </c>
      <c r="G57" s="18" t="n">
        <v>35.24630851</v>
      </c>
      <c r="H57" s="20" t="n">
        <v>2.35464665</v>
      </c>
      <c r="I57" s="18" t="s">
        <v>431</v>
      </c>
      <c r="J57" s="20" t="s">
        <v>431</v>
      </c>
      <c r="K57" s="18" t="n">
        <v>1.45787684</v>
      </c>
      <c r="L57" s="20" t="n">
        <v>0.54623643</v>
      </c>
      <c r="M57" s="18" t="n">
        <v>0</v>
      </c>
      <c r="N57" s="20" t="n">
        <v>0</v>
      </c>
      <c r="O57" s="18" t="n">
        <v>0</v>
      </c>
      <c r="P57" s="20" t="n">
        <v>0</v>
      </c>
      <c r="Q57" s="18" t="n">
        <v>3.45685382</v>
      </c>
      <c r="R57" s="20" t="n">
        <v>1.03670653</v>
      </c>
    </row>
    <row r="58" spans="1:18">
      <c r="A58" s="15" t="s">
        <v>482</v>
      </c>
      <c r="B58" s="17" t="n">
        <v>3530</v>
      </c>
      <c r="C58" s="18">
        <f>(2962.0/B58*100)</f>
        <v/>
      </c>
      <c r="D58" s="19" t="n">
        <v>568</v>
      </c>
      <c r="E58" s="18" t="n">
        <v>31.31155966</v>
      </c>
      <c r="F58" s="20" t="n">
        <v>1.96489383</v>
      </c>
      <c r="G58" s="18" t="n">
        <v>50.75253663</v>
      </c>
      <c r="H58" s="20" t="n">
        <v>2.71779099</v>
      </c>
      <c r="I58" s="18" t="s">
        <v>431</v>
      </c>
      <c r="J58" s="20" t="s">
        <v>431</v>
      </c>
      <c r="K58" s="18" t="n">
        <v>3.84026095</v>
      </c>
      <c r="L58" s="20" t="n">
        <v>0.8583131899999999</v>
      </c>
      <c r="M58" s="18" t="n">
        <v>0</v>
      </c>
      <c r="N58" s="20" t="n">
        <v>0</v>
      </c>
      <c r="O58" s="18" t="n">
        <v>0</v>
      </c>
      <c r="P58" s="20" t="n">
        <v>0</v>
      </c>
      <c r="Q58" s="18" t="n">
        <v>14.09564276</v>
      </c>
      <c r="R58" s="20" t="n">
        <v>1.79268939</v>
      </c>
    </row>
    <row r="59" spans="1:18">
      <c r="A59" s="15" t="s">
        <v>483</v>
      </c>
      <c r="B59" s="17" t="n">
        <v>2548</v>
      </c>
      <c r="C59" s="18">
        <f>(2118.0/B59*100)</f>
        <v/>
      </c>
      <c r="D59" s="19" t="n">
        <v>430</v>
      </c>
      <c r="E59" s="18" t="n">
        <v>55.06100925</v>
      </c>
      <c r="F59" s="20" t="n">
        <v>3.04658959</v>
      </c>
      <c r="G59" s="18" t="n">
        <v>28.3257372</v>
      </c>
      <c r="H59" s="20" t="n">
        <v>2.73272067</v>
      </c>
      <c r="I59" s="18" t="s">
        <v>431</v>
      </c>
      <c r="J59" s="20" t="s">
        <v>431</v>
      </c>
      <c r="K59" s="18" t="n">
        <v>1.57464288</v>
      </c>
      <c r="L59" s="20" t="n">
        <v>0.5345887499999999</v>
      </c>
      <c r="M59" s="18" t="n">
        <v>0</v>
      </c>
      <c r="N59" s="20" t="n">
        <v>0</v>
      </c>
      <c r="O59" s="18" t="n">
        <v>0</v>
      </c>
      <c r="P59" s="20" t="n">
        <v>0</v>
      </c>
      <c r="Q59" s="18" t="n">
        <v>15.03861067</v>
      </c>
      <c r="R59" s="20" t="n">
        <v>1.73707962</v>
      </c>
    </row>
    <row r="60" spans="1:18">
      <c r="A60" s="15" t="s">
        <v>484</v>
      </c>
      <c r="B60" s="17" t="n">
        <v>2095</v>
      </c>
      <c r="C60" s="18">
        <f>(1743.0/B60*100)</f>
        <v/>
      </c>
      <c r="D60" s="19" t="n">
        <v>352</v>
      </c>
      <c r="E60" s="18" t="n">
        <v>38.76723578</v>
      </c>
      <c r="F60" s="20" t="n">
        <v>2.6358029</v>
      </c>
      <c r="G60" s="18" t="n">
        <v>21.9627843</v>
      </c>
      <c r="H60" s="20" t="n">
        <v>2.71206062</v>
      </c>
      <c r="I60" s="18" t="s">
        <v>431</v>
      </c>
      <c r="J60" s="20" t="s">
        <v>431</v>
      </c>
      <c r="K60" s="18" t="n">
        <v>6.67614962</v>
      </c>
      <c r="L60" s="20" t="n">
        <v>1.45027973</v>
      </c>
      <c r="M60" s="18" t="n">
        <v>0</v>
      </c>
      <c r="N60" s="20" t="n">
        <v>0</v>
      </c>
      <c r="O60" s="18" t="n">
        <v>0</v>
      </c>
      <c r="P60" s="20" t="n">
        <v>0</v>
      </c>
      <c r="Q60" s="18" t="n">
        <v>32.5938303</v>
      </c>
      <c r="R60" s="20" t="n">
        <v>2.45604223</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24.38128431</v>
      </c>
      <c r="F63" s="20" t="n">
        <v>2.05803415</v>
      </c>
      <c r="G63" s="18" t="n">
        <v>35.18627395</v>
      </c>
      <c r="H63" s="20" t="n">
        <v>2.06965924</v>
      </c>
      <c r="I63" s="18" t="s">
        <v>431</v>
      </c>
      <c r="J63" s="20" t="s">
        <v>431</v>
      </c>
      <c r="K63" s="18" t="n">
        <v>4.58010346</v>
      </c>
      <c r="L63" s="20" t="n">
        <v>0.89780596</v>
      </c>
      <c r="M63" s="18" t="n">
        <v>0</v>
      </c>
      <c r="N63" s="20" t="n">
        <v>0</v>
      </c>
      <c r="O63" s="18" t="n">
        <v>0</v>
      </c>
      <c r="P63" s="20" t="n">
        <v>0</v>
      </c>
      <c r="Q63" s="18" t="n">
        <v>35.85233829</v>
      </c>
      <c r="R63" s="20" t="n">
        <v>2.12679434</v>
      </c>
    </row>
    <row r="64" spans="1:18">
      <c r="A64" s="15" t="s">
        <v>488</v>
      </c>
      <c r="B64" s="17" t="n">
        <v>1844</v>
      </c>
      <c r="C64" s="18">
        <f>(1521.0/B64*100)</f>
        <v/>
      </c>
      <c r="D64" s="19" t="n">
        <v>323</v>
      </c>
      <c r="E64" s="18" t="n">
        <v>41.20975097</v>
      </c>
      <c r="F64" s="20" t="n">
        <v>2.73302444</v>
      </c>
      <c r="G64" s="18" t="n">
        <v>38.54727226</v>
      </c>
      <c r="H64" s="20" t="n">
        <v>2.62801421</v>
      </c>
      <c r="I64" s="18" t="s">
        <v>431</v>
      </c>
      <c r="J64" s="20" t="s">
        <v>431</v>
      </c>
      <c r="K64" s="18" t="n">
        <v>4.75071104</v>
      </c>
      <c r="L64" s="20" t="n">
        <v>1.06484353</v>
      </c>
      <c r="M64" s="18" t="n">
        <v>0</v>
      </c>
      <c r="N64" s="20" t="n">
        <v>0</v>
      </c>
      <c r="O64" s="18" t="n">
        <v>0</v>
      </c>
      <c r="P64" s="20" t="n">
        <v>0</v>
      </c>
      <c r="Q64" s="18" t="n">
        <v>15.49226573</v>
      </c>
      <c r="R64" s="20" t="n">
        <v>2.25079864</v>
      </c>
    </row>
    <row r="65" spans="1:18">
      <c r="A65" s="15" t="s">
        <v>489</v>
      </c>
      <c r="B65" s="17" t="n">
        <v>2691</v>
      </c>
      <c r="C65" s="18">
        <f>(2232.0/B65*100)</f>
        <v/>
      </c>
      <c r="D65" s="19" t="n">
        <v>459</v>
      </c>
      <c r="E65" s="18" t="n">
        <v>28.80040809</v>
      </c>
      <c r="F65" s="20" t="n">
        <v>2.1339453</v>
      </c>
      <c r="G65" s="18" t="n">
        <v>41.05477655</v>
      </c>
      <c r="H65" s="20" t="n">
        <v>2.26508868</v>
      </c>
      <c r="I65" s="18" t="s">
        <v>431</v>
      </c>
      <c r="J65" s="20" t="s">
        <v>431</v>
      </c>
      <c r="K65" s="18" t="n">
        <v>11.83018902</v>
      </c>
      <c r="L65" s="20" t="n">
        <v>1.32377757</v>
      </c>
      <c r="M65" s="18" t="n">
        <v>0</v>
      </c>
      <c r="N65" s="20" t="n">
        <v>0</v>
      </c>
      <c r="O65" s="18" t="n">
        <v>0</v>
      </c>
      <c r="P65" s="20" t="n">
        <v>0</v>
      </c>
      <c r="Q65" s="18" t="n">
        <v>18.31462634</v>
      </c>
      <c r="R65" s="20" t="n">
        <v>2.00990345</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41.9510378</v>
      </c>
      <c r="F69" s="20" t="n">
        <v>2.28221632</v>
      </c>
      <c r="G69" s="18" t="n">
        <v>57.02138369</v>
      </c>
      <c r="H69" s="20" t="n">
        <v>2.31352299</v>
      </c>
      <c r="I69" s="18" t="s">
        <v>431</v>
      </c>
      <c r="J69" s="20" t="s">
        <v>431</v>
      </c>
      <c r="K69" s="18" t="n">
        <v>0</v>
      </c>
      <c r="L69" s="20" t="n">
        <v>0</v>
      </c>
      <c r="M69" s="18" t="n">
        <v>0</v>
      </c>
      <c r="N69" s="20" t="n">
        <v>0</v>
      </c>
      <c r="O69" s="18" t="n">
        <v>0</v>
      </c>
      <c r="P69" s="20" t="n">
        <v>0</v>
      </c>
      <c r="Q69" s="18" t="n">
        <v>1.02757851</v>
      </c>
      <c r="R69" s="20" t="n">
        <v>0.40969725</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35.08856629</v>
      </c>
      <c r="F74" s="20" t="n">
        <v>2.72534024</v>
      </c>
      <c r="G74" s="18" t="n">
        <v>40.14917202</v>
      </c>
      <c r="H74" s="20" t="n">
        <v>2.73771498</v>
      </c>
      <c r="I74" s="18" t="s">
        <v>431</v>
      </c>
      <c r="J74" s="20" t="s">
        <v>431</v>
      </c>
      <c r="K74" s="18" t="n">
        <v>7.96313747</v>
      </c>
      <c r="L74" s="20" t="n">
        <v>1.22350944</v>
      </c>
      <c r="M74" s="18" t="n">
        <v>0</v>
      </c>
      <c r="N74" s="20" t="n">
        <v>0</v>
      </c>
      <c r="O74" s="18" t="n">
        <v>0</v>
      </c>
      <c r="P74" s="20" t="n">
        <v>0</v>
      </c>
      <c r="Q74" s="18" t="n">
        <v>16.79912422</v>
      </c>
      <c r="R74" s="20" t="n">
        <v>2.33033337</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29.65672723</v>
      </c>
      <c r="F78" s="20" t="n">
        <v>2.35754911</v>
      </c>
      <c r="G78" s="18" t="n">
        <v>68.70038646</v>
      </c>
      <c r="H78" s="20" t="n">
        <v>2.49757211</v>
      </c>
      <c r="I78" s="18" t="s">
        <v>431</v>
      </c>
      <c r="J78" s="20" t="s">
        <v>431</v>
      </c>
      <c r="K78" s="18" t="n">
        <v>0</v>
      </c>
      <c r="L78" s="20" t="n">
        <v>0</v>
      </c>
      <c r="M78" s="18" t="n">
        <v>0</v>
      </c>
      <c r="N78" s="20" t="n">
        <v>0</v>
      </c>
      <c r="O78" s="18" t="n">
        <v>0</v>
      </c>
      <c r="P78" s="20" t="n">
        <v>0</v>
      </c>
      <c r="Q78" s="18" t="n">
        <v>1.64288631</v>
      </c>
      <c r="R78" s="20" t="n">
        <v>0.66370818</v>
      </c>
    </row>
    <row customHeight="1" ht="25" r="79" spans="1:18">
      <c r="A79" s="15" t="s">
        <v>503</v>
      </c>
      <c r="B79" s="17" t="n">
        <v>787</v>
      </c>
      <c r="C79" s="18">
        <f>(661.0/B79*100)</f>
        <v/>
      </c>
      <c r="D79" s="19" t="n">
        <v>126</v>
      </c>
      <c r="E79" s="18" t="n">
        <v>18.35009734</v>
      </c>
      <c r="F79" s="20" t="n">
        <v>3.61510345</v>
      </c>
      <c r="G79" s="18" t="n">
        <v>63.02830705</v>
      </c>
      <c r="H79" s="20" t="n">
        <v>4.60666193</v>
      </c>
      <c r="I79" s="18" t="s">
        <v>431</v>
      </c>
      <c r="J79" s="20" t="s">
        <v>431</v>
      </c>
      <c r="K79" s="18" t="n">
        <v>6.94955771</v>
      </c>
      <c r="L79" s="20" t="n">
        <v>2.19882629</v>
      </c>
      <c r="M79" s="18" t="n">
        <v>0</v>
      </c>
      <c r="N79" s="20" t="n">
        <v>0</v>
      </c>
      <c r="O79" s="18" t="n">
        <v>0</v>
      </c>
      <c r="P79" s="20" t="n">
        <v>0</v>
      </c>
      <c r="Q79" s="18" t="n">
        <v>11.6720379</v>
      </c>
      <c r="R79" s="20" t="n">
        <v>2.57066801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30.90881113</v>
      </c>
      <c r="F44" s="20" t="n">
        <v>2.83863489</v>
      </c>
      <c r="G44" s="18" t="n">
        <v>40.39829242</v>
      </c>
      <c r="H44" s="20" t="n">
        <v>2.80366232</v>
      </c>
      <c r="I44" s="18" t="s">
        <v>431</v>
      </c>
      <c r="J44" s="20" t="s">
        <v>431</v>
      </c>
      <c r="K44" s="18" t="n">
        <v>7.97463939</v>
      </c>
      <c r="L44" s="20" t="n">
        <v>1.34983981</v>
      </c>
      <c r="M44" s="18" t="n">
        <v>0</v>
      </c>
      <c r="N44" s="20" t="n">
        <v>0</v>
      </c>
      <c r="O44" s="18" t="n">
        <v>0</v>
      </c>
      <c r="P44" s="20" t="n">
        <v>0</v>
      </c>
      <c r="Q44" s="18" t="n">
        <v>20.71825706</v>
      </c>
      <c r="R44" s="20" t="n">
        <v>2.3500298</v>
      </c>
    </row>
    <row r="45" spans="1:18">
      <c r="A45" s="15" t="s">
        <v>469</v>
      </c>
      <c r="B45" s="17" t="n">
        <v>2849</v>
      </c>
      <c r="C45" s="18">
        <f>(2379.0/B45*100)</f>
        <v/>
      </c>
      <c r="D45" s="19" t="n">
        <v>470</v>
      </c>
      <c r="E45" s="18" t="n">
        <v>34.87837965</v>
      </c>
      <c r="F45" s="20" t="n">
        <v>2.40180466</v>
      </c>
      <c r="G45" s="18" t="n">
        <v>35.95993015</v>
      </c>
      <c r="H45" s="20" t="n">
        <v>2.40213703</v>
      </c>
      <c r="I45" s="18" t="s">
        <v>431</v>
      </c>
      <c r="J45" s="20" t="s">
        <v>431</v>
      </c>
      <c r="K45" s="18" t="n">
        <v>13.46588559</v>
      </c>
      <c r="L45" s="20" t="n">
        <v>1.77571693</v>
      </c>
      <c r="M45" s="18" t="n">
        <v>0.73856634</v>
      </c>
      <c r="N45" s="20" t="n">
        <v>0.4565798</v>
      </c>
      <c r="O45" s="18" t="n">
        <v>0</v>
      </c>
      <c r="P45" s="20" t="n">
        <v>0</v>
      </c>
      <c r="Q45" s="18" t="n">
        <v>14.95723827</v>
      </c>
      <c r="R45" s="20" t="n">
        <v>1.85145563</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63.84046284</v>
      </c>
      <c r="F49" s="20" t="n">
        <v>2.85003118</v>
      </c>
      <c r="G49" s="18" t="n">
        <v>13.30381057</v>
      </c>
      <c r="H49" s="20" t="n">
        <v>1.7768156</v>
      </c>
      <c r="I49" s="18" t="s">
        <v>431</v>
      </c>
      <c r="J49" s="20" t="s">
        <v>431</v>
      </c>
      <c r="K49" s="18" t="n">
        <v>4.13848081</v>
      </c>
      <c r="L49" s="20" t="n">
        <v>1.27096469</v>
      </c>
      <c r="M49" s="18" t="n">
        <v>0</v>
      </c>
      <c r="N49" s="20" t="n">
        <v>0</v>
      </c>
      <c r="O49" s="18" t="n">
        <v>0</v>
      </c>
      <c r="P49" s="20" t="n">
        <v>0</v>
      </c>
      <c r="Q49" s="18" t="n">
        <v>18.71724578</v>
      </c>
      <c r="R49" s="20" t="n">
        <v>2.08022167</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17.74075374</v>
      </c>
      <c r="F55" s="20" t="n">
        <v>1.74142551</v>
      </c>
      <c r="G55" s="18" t="n">
        <v>50.0510234</v>
      </c>
      <c r="H55" s="20" t="n">
        <v>2.5358601</v>
      </c>
      <c r="I55" s="18" t="s">
        <v>431</v>
      </c>
      <c r="J55" s="20" t="s">
        <v>431</v>
      </c>
      <c r="K55" s="18" t="n">
        <v>6.4326275</v>
      </c>
      <c r="L55" s="20" t="n">
        <v>1.31477146</v>
      </c>
      <c r="M55" s="18" t="n">
        <v>0</v>
      </c>
      <c r="N55" s="20" t="n">
        <v>0</v>
      </c>
      <c r="O55" s="18" t="n">
        <v>0</v>
      </c>
      <c r="P55" s="20" t="n">
        <v>0</v>
      </c>
      <c r="Q55" s="18" t="n">
        <v>25.77559536</v>
      </c>
      <c r="R55" s="20" t="n">
        <v>2.22587949</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49.61118182</v>
      </c>
      <c r="F57" s="20" t="n">
        <v>2.24000203</v>
      </c>
      <c r="G57" s="18" t="n">
        <v>45.0783634</v>
      </c>
      <c r="H57" s="20" t="n">
        <v>2.14058836</v>
      </c>
      <c r="I57" s="18" t="s">
        <v>431</v>
      </c>
      <c r="J57" s="20" t="s">
        <v>431</v>
      </c>
      <c r="K57" s="18" t="n">
        <v>1.45787684</v>
      </c>
      <c r="L57" s="20" t="n">
        <v>0.54623643</v>
      </c>
      <c r="M57" s="18" t="n">
        <v>0</v>
      </c>
      <c r="N57" s="20" t="n">
        <v>0</v>
      </c>
      <c r="O57" s="18" t="n">
        <v>0</v>
      </c>
      <c r="P57" s="20" t="n">
        <v>0</v>
      </c>
      <c r="Q57" s="18" t="n">
        <v>3.85257794</v>
      </c>
      <c r="R57" s="20" t="n">
        <v>1.11411912</v>
      </c>
    </row>
    <row r="58" spans="1:18">
      <c r="A58" s="15" t="s">
        <v>482</v>
      </c>
      <c r="B58" s="17" t="n">
        <v>3530</v>
      </c>
      <c r="C58" s="18">
        <f>(2962.0/B58*100)</f>
        <v/>
      </c>
      <c r="D58" s="19" t="n">
        <v>568</v>
      </c>
      <c r="E58" s="18" t="n">
        <v>32.02466432</v>
      </c>
      <c r="F58" s="20" t="n">
        <v>2.19525696</v>
      </c>
      <c r="G58" s="18" t="n">
        <v>46.50730191</v>
      </c>
      <c r="H58" s="20" t="n">
        <v>2.70189544</v>
      </c>
      <c r="I58" s="18" t="s">
        <v>431</v>
      </c>
      <c r="J58" s="20" t="s">
        <v>431</v>
      </c>
      <c r="K58" s="18" t="n">
        <v>3.84026095</v>
      </c>
      <c r="L58" s="20" t="n">
        <v>0.8583131899999999</v>
      </c>
      <c r="M58" s="18" t="n">
        <v>0</v>
      </c>
      <c r="N58" s="20" t="n">
        <v>0</v>
      </c>
      <c r="O58" s="18" t="n">
        <v>0</v>
      </c>
      <c r="P58" s="20" t="n">
        <v>0</v>
      </c>
      <c r="Q58" s="18" t="n">
        <v>17.62777283</v>
      </c>
      <c r="R58" s="20" t="n">
        <v>1.77433623</v>
      </c>
    </row>
    <row r="59" spans="1:18">
      <c r="A59" s="15" t="s">
        <v>483</v>
      </c>
      <c r="B59" s="17" t="n">
        <v>2548</v>
      </c>
      <c r="C59" s="18">
        <f>(2118.0/B59*100)</f>
        <v/>
      </c>
      <c r="D59" s="19" t="n">
        <v>430</v>
      </c>
      <c r="E59" s="18" t="n">
        <v>48.56300536</v>
      </c>
      <c r="F59" s="20" t="n">
        <v>2.89568188</v>
      </c>
      <c r="G59" s="18" t="n">
        <v>31.70584279</v>
      </c>
      <c r="H59" s="20" t="n">
        <v>2.83214859</v>
      </c>
      <c r="I59" s="18" t="s">
        <v>431</v>
      </c>
      <c r="J59" s="20" t="s">
        <v>431</v>
      </c>
      <c r="K59" s="18" t="n">
        <v>1.57464288</v>
      </c>
      <c r="L59" s="20" t="n">
        <v>0.5345887499999999</v>
      </c>
      <c r="M59" s="18" t="n">
        <v>0</v>
      </c>
      <c r="N59" s="20" t="n">
        <v>0</v>
      </c>
      <c r="O59" s="18" t="n">
        <v>0</v>
      </c>
      <c r="P59" s="20" t="n">
        <v>0</v>
      </c>
      <c r="Q59" s="18" t="n">
        <v>18.15650896</v>
      </c>
      <c r="R59" s="20" t="n">
        <v>2.1671919</v>
      </c>
    </row>
    <row r="60" spans="1:18">
      <c r="A60" s="15" t="s">
        <v>484</v>
      </c>
      <c r="B60" s="17" t="n">
        <v>2095</v>
      </c>
      <c r="C60" s="18">
        <f>(1743.0/B60*100)</f>
        <v/>
      </c>
      <c r="D60" s="19" t="n">
        <v>352</v>
      </c>
      <c r="E60" s="18" t="n">
        <v>33.42858518</v>
      </c>
      <c r="F60" s="20" t="n">
        <v>2.48744127</v>
      </c>
      <c r="G60" s="18" t="n">
        <v>25.71612137</v>
      </c>
      <c r="H60" s="20" t="n">
        <v>2.672692</v>
      </c>
      <c r="I60" s="18" t="s">
        <v>431</v>
      </c>
      <c r="J60" s="20" t="s">
        <v>431</v>
      </c>
      <c r="K60" s="18" t="n">
        <v>6.98463658</v>
      </c>
      <c r="L60" s="20" t="n">
        <v>1.62978397</v>
      </c>
      <c r="M60" s="18" t="n">
        <v>0</v>
      </c>
      <c r="N60" s="20" t="n">
        <v>0</v>
      </c>
      <c r="O60" s="18" t="n">
        <v>0</v>
      </c>
      <c r="P60" s="20" t="n">
        <v>0</v>
      </c>
      <c r="Q60" s="18" t="n">
        <v>33.87065687</v>
      </c>
      <c r="R60" s="20" t="n">
        <v>2.48473516</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25.16759007</v>
      </c>
      <c r="F63" s="20" t="n">
        <v>2.07690232</v>
      </c>
      <c r="G63" s="18" t="n">
        <v>31.78781778</v>
      </c>
      <c r="H63" s="20" t="n">
        <v>2.5081595</v>
      </c>
      <c r="I63" s="18" t="s">
        <v>431</v>
      </c>
      <c r="J63" s="20" t="s">
        <v>431</v>
      </c>
      <c r="K63" s="18" t="n">
        <v>4.58010346</v>
      </c>
      <c r="L63" s="20" t="n">
        <v>0.89780596</v>
      </c>
      <c r="M63" s="18" t="n">
        <v>0</v>
      </c>
      <c r="N63" s="20" t="n">
        <v>0</v>
      </c>
      <c r="O63" s="18" t="n">
        <v>0</v>
      </c>
      <c r="P63" s="20" t="n">
        <v>0</v>
      </c>
      <c r="Q63" s="18" t="n">
        <v>38.4644887</v>
      </c>
      <c r="R63" s="20" t="n">
        <v>2.24161467</v>
      </c>
    </row>
    <row r="64" spans="1:18">
      <c r="A64" s="15" t="s">
        <v>488</v>
      </c>
      <c r="B64" s="17" t="n">
        <v>1844</v>
      </c>
      <c r="C64" s="18">
        <f>(1521.0/B64*100)</f>
        <v/>
      </c>
      <c r="D64" s="19" t="n">
        <v>323</v>
      </c>
      <c r="E64" s="18" t="n">
        <v>21.69462734</v>
      </c>
      <c r="F64" s="20" t="n">
        <v>2.52756458</v>
      </c>
      <c r="G64" s="18" t="n">
        <v>56.82887992</v>
      </c>
      <c r="H64" s="20" t="n">
        <v>2.92628569</v>
      </c>
      <c r="I64" s="18" t="s">
        <v>431</v>
      </c>
      <c r="J64" s="20" t="s">
        <v>431</v>
      </c>
      <c r="K64" s="18" t="n">
        <v>4.75071104</v>
      </c>
      <c r="L64" s="20" t="n">
        <v>1.06484353</v>
      </c>
      <c r="M64" s="18" t="n">
        <v>0</v>
      </c>
      <c r="N64" s="20" t="n">
        <v>0</v>
      </c>
      <c r="O64" s="18" t="n">
        <v>0</v>
      </c>
      <c r="P64" s="20" t="n">
        <v>0</v>
      </c>
      <c r="Q64" s="18" t="n">
        <v>16.7257817</v>
      </c>
      <c r="R64" s="20" t="n">
        <v>2.27491584</v>
      </c>
    </row>
    <row r="65" spans="1:18">
      <c r="A65" s="15" t="s">
        <v>489</v>
      </c>
      <c r="B65" s="17" t="n">
        <v>2691</v>
      </c>
      <c r="C65" s="18">
        <f>(2232.0/B65*100)</f>
        <v/>
      </c>
      <c r="D65" s="19" t="n">
        <v>459</v>
      </c>
      <c r="E65" s="18" t="n">
        <v>19.33213421</v>
      </c>
      <c r="F65" s="20" t="n">
        <v>2.00797203</v>
      </c>
      <c r="G65" s="18" t="n">
        <v>47.20713125</v>
      </c>
      <c r="H65" s="20" t="n">
        <v>2.19717023</v>
      </c>
      <c r="I65" s="18" t="s">
        <v>431</v>
      </c>
      <c r="J65" s="20" t="s">
        <v>431</v>
      </c>
      <c r="K65" s="18" t="n">
        <v>12.24905106</v>
      </c>
      <c r="L65" s="20" t="n">
        <v>1.35039044</v>
      </c>
      <c r="M65" s="18" t="n">
        <v>0</v>
      </c>
      <c r="N65" s="20" t="n">
        <v>0</v>
      </c>
      <c r="O65" s="18" t="n">
        <v>0</v>
      </c>
      <c r="P65" s="20" t="n">
        <v>0</v>
      </c>
      <c r="Q65" s="18" t="n">
        <v>21.21168348</v>
      </c>
      <c r="R65" s="20" t="n">
        <v>2.13049969</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40.11504265</v>
      </c>
      <c r="F69" s="20" t="n">
        <v>2.59652132</v>
      </c>
      <c r="G69" s="18" t="n">
        <v>59.10842992</v>
      </c>
      <c r="H69" s="20" t="n">
        <v>2.559711</v>
      </c>
      <c r="I69" s="18" t="s">
        <v>431</v>
      </c>
      <c r="J69" s="20" t="s">
        <v>431</v>
      </c>
      <c r="K69" s="18" t="n">
        <v>0</v>
      </c>
      <c r="L69" s="20" t="n">
        <v>0</v>
      </c>
      <c r="M69" s="18" t="n">
        <v>0</v>
      </c>
      <c r="N69" s="20" t="n">
        <v>0</v>
      </c>
      <c r="O69" s="18" t="n">
        <v>0</v>
      </c>
      <c r="P69" s="20" t="n">
        <v>0</v>
      </c>
      <c r="Q69" s="18" t="n">
        <v>0.77652744</v>
      </c>
      <c r="R69" s="20" t="n">
        <v>0.3938591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20.68590594</v>
      </c>
      <c r="F74" s="20" t="n">
        <v>1.97248529</v>
      </c>
      <c r="G74" s="18" t="n">
        <v>53.23245825</v>
      </c>
      <c r="H74" s="20" t="n">
        <v>2.66264368</v>
      </c>
      <c r="I74" s="18" t="s">
        <v>431</v>
      </c>
      <c r="J74" s="20" t="s">
        <v>431</v>
      </c>
      <c r="K74" s="18" t="n">
        <v>8.375271420000001</v>
      </c>
      <c r="L74" s="20" t="n">
        <v>1.23345138</v>
      </c>
      <c r="M74" s="18" t="n">
        <v>0</v>
      </c>
      <c r="N74" s="20" t="n">
        <v>0</v>
      </c>
      <c r="O74" s="18" t="n">
        <v>0</v>
      </c>
      <c r="P74" s="20" t="n">
        <v>0</v>
      </c>
      <c r="Q74" s="18" t="n">
        <v>17.70636439</v>
      </c>
      <c r="R74" s="20" t="n">
        <v>2.27099534</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24.32655234</v>
      </c>
      <c r="F78" s="20" t="n">
        <v>1.7258741</v>
      </c>
      <c r="G78" s="18" t="n">
        <v>73.49243082</v>
      </c>
      <c r="H78" s="20" t="n">
        <v>2.02264113</v>
      </c>
      <c r="I78" s="18" t="s">
        <v>431</v>
      </c>
      <c r="J78" s="20" t="s">
        <v>431</v>
      </c>
      <c r="K78" s="18" t="n">
        <v>0</v>
      </c>
      <c r="L78" s="20" t="n">
        <v>0</v>
      </c>
      <c r="M78" s="18" t="n">
        <v>0</v>
      </c>
      <c r="N78" s="20" t="n">
        <v>0</v>
      </c>
      <c r="O78" s="18" t="n">
        <v>0</v>
      </c>
      <c r="P78" s="20" t="n">
        <v>0</v>
      </c>
      <c r="Q78" s="18" t="n">
        <v>2.18101684</v>
      </c>
      <c r="R78" s="20" t="n">
        <v>0.80505118</v>
      </c>
    </row>
    <row customHeight="1" ht="25" r="79" spans="1:18">
      <c r="A79" s="15" t="s">
        <v>503</v>
      </c>
      <c r="B79" s="17" t="n">
        <v>787</v>
      </c>
      <c r="C79" s="18">
        <f>(661.0/B79*100)</f>
        <v/>
      </c>
      <c r="D79" s="19" t="n">
        <v>126</v>
      </c>
      <c r="E79" s="18" t="n">
        <v>64.08419674</v>
      </c>
      <c r="F79" s="20" t="n">
        <v>3.76789509</v>
      </c>
      <c r="G79" s="18" t="n">
        <v>18.16933579</v>
      </c>
      <c r="H79" s="20" t="n">
        <v>2.55583697</v>
      </c>
      <c r="I79" s="18" t="s">
        <v>431</v>
      </c>
      <c r="J79" s="20" t="s">
        <v>431</v>
      </c>
      <c r="K79" s="18" t="n">
        <v>6.94955771</v>
      </c>
      <c r="L79" s="20" t="n">
        <v>2.19882629</v>
      </c>
      <c r="M79" s="18" t="n">
        <v>0</v>
      </c>
      <c r="N79" s="20" t="n">
        <v>0</v>
      </c>
      <c r="O79" s="18" t="n">
        <v>0</v>
      </c>
      <c r="P79" s="20" t="n">
        <v>0</v>
      </c>
      <c r="Q79" s="18" t="n">
        <v>10.79690976</v>
      </c>
      <c r="R79" s="20" t="n">
        <v>2.73723899</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40.15895756</v>
      </c>
      <c r="F44" s="20" t="n">
        <v>3.03735931</v>
      </c>
      <c r="G44" s="18" t="n">
        <v>20.85224861</v>
      </c>
      <c r="H44" s="20" t="n">
        <v>2.38320463</v>
      </c>
      <c r="I44" s="18" t="s">
        <v>431</v>
      </c>
      <c r="J44" s="20" t="s">
        <v>431</v>
      </c>
      <c r="K44" s="18" t="n">
        <v>9.09052981</v>
      </c>
      <c r="L44" s="20" t="n">
        <v>1.4565981</v>
      </c>
      <c r="M44" s="18" t="n">
        <v>0</v>
      </c>
      <c r="N44" s="20" t="n">
        <v>0</v>
      </c>
      <c r="O44" s="18" t="n">
        <v>0</v>
      </c>
      <c r="P44" s="20" t="n">
        <v>0</v>
      </c>
      <c r="Q44" s="18" t="n">
        <v>29.89826402</v>
      </c>
      <c r="R44" s="20" t="n">
        <v>2.68254931</v>
      </c>
    </row>
    <row r="45" spans="1:18">
      <c r="A45" s="15" t="s">
        <v>469</v>
      </c>
      <c r="B45" s="17" t="n">
        <v>2849</v>
      </c>
      <c r="C45" s="18">
        <f>(2379.0/B45*100)</f>
        <v/>
      </c>
      <c r="D45" s="19" t="n">
        <v>470</v>
      </c>
      <c r="E45" s="18" t="n">
        <v>46.9033581</v>
      </c>
      <c r="F45" s="20" t="n">
        <v>2.39588986</v>
      </c>
      <c r="G45" s="18" t="n">
        <v>16.23607095</v>
      </c>
      <c r="H45" s="20" t="n">
        <v>1.69171469</v>
      </c>
      <c r="I45" s="18" t="s">
        <v>431</v>
      </c>
      <c r="J45" s="20" t="s">
        <v>431</v>
      </c>
      <c r="K45" s="18" t="n">
        <v>13.7449424</v>
      </c>
      <c r="L45" s="20" t="n">
        <v>1.80567983</v>
      </c>
      <c r="M45" s="18" t="n">
        <v>0.76489597</v>
      </c>
      <c r="N45" s="20" t="n">
        <v>0.46405201</v>
      </c>
      <c r="O45" s="18" t="n">
        <v>0</v>
      </c>
      <c r="P45" s="20" t="n">
        <v>0</v>
      </c>
      <c r="Q45" s="18" t="n">
        <v>22.35073258</v>
      </c>
      <c r="R45" s="20" t="n">
        <v>2.46978545</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52.33134238</v>
      </c>
      <c r="F49" s="20" t="n">
        <v>2.67432716</v>
      </c>
      <c r="G49" s="18" t="n">
        <v>18.87294391</v>
      </c>
      <c r="H49" s="20" t="n">
        <v>1.82678534</v>
      </c>
      <c r="I49" s="18" t="s">
        <v>431</v>
      </c>
      <c r="J49" s="20" t="s">
        <v>431</v>
      </c>
      <c r="K49" s="18" t="n">
        <v>4.60429936</v>
      </c>
      <c r="L49" s="20" t="n">
        <v>1.32664481</v>
      </c>
      <c r="M49" s="18" t="n">
        <v>0</v>
      </c>
      <c r="N49" s="20" t="n">
        <v>0</v>
      </c>
      <c r="O49" s="18" t="n">
        <v>0</v>
      </c>
      <c r="P49" s="20" t="n">
        <v>0</v>
      </c>
      <c r="Q49" s="18" t="n">
        <v>24.19141435</v>
      </c>
      <c r="R49" s="20" t="n">
        <v>2.41596537</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50.00170953</v>
      </c>
      <c r="F55" s="20" t="n">
        <v>2.60770367</v>
      </c>
      <c r="G55" s="18" t="n">
        <v>7.62899775</v>
      </c>
      <c r="H55" s="20" t="n">
        <v>1.31851329</v>
      </c>
      <c r="I55" s="18" t="s">
        <v>431</v>
      </c>
      <c r="J55" s="20" t="s">
        <v>431</v>
      </c>
      <c r="K55" s="18" t="n">
        <v>6.62643679</v>
      </c>
      <c r="L55" s="20" t="n">
        <v>1.32568494</v>
      </c>
      <c r="M55" s="18" t="n">
        <v>0</v>
      </c>
      <c r="N55" s="20" t="n">
        <v>0</v>
      </c>
      <c r="O55" s="18" t="n">
        <v>0.21447938</v>
      </c>
      <c r="P55" s="20" t="n">
        <v>0.21391245</v>
      </c>
      <c r="Q55" s="18" t="n">
        <v>35.52837654</v>
      </c>
      <c r="R55" s="20" t="n">
        <v>2.66746797</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68.51715892999999</v>
      </c>
      <c r="F57" s="20" t="n">
        <v>1.9884994</v>
      </c>
      <c r="G57" s="18" t="n">
        <v>22.46345494</v>
      </c>
      <c r="H57" s="20" t="n">
        <v>1.83074085</v>
      </c>
      <c r="I57" s="18" t="s">
        <v>431</v>
      </c>
      <c r="J57" s="20" t="s">
        <v>431</v>
      </c>
      <c r="K57" s="18" t="n">
        <v>1.45787684</v>
      </c>
      <c r="L57" s="20" t="n">
        <v>0.54623643</v>
      </c>
      <c r="M57" s="18" t="n">
        <v>0</v>
      </c>
      <c r="N57" s="20" t="n">
        <v>0</v>
      </c>
      <c r="O57" s="18" t="n">
        <v>0</v>
      </c>
      <c r="P57" s="20" t="n">
        <v>0</v>
      </c>
      <c r="Q57" s="18" t="n">
        <v>7.56150929</v>
      </c>
      <c r="R57" s="20" t="n">
        <v>1.54510607</v>
      </c>
    </row>
    <row r="58" spans="1:18">
      <c r="A58" s="15" t="s">
        <v>482</v>
      </c>
      <c r="B58" s="17" t="n">
        <v>3530</v>
      </c>
      <c r="C58" s="18">
        <f>(2962.0/B58*100)</f>
        <v/>
      </c>
      <c r="D58" s="19" t="n">
        <v>568</v>
      </c>
      <c r="E58" s="18" t="n">
        <v>42.78730783</v>
      </c>
      <c r="F58" s="20" t="n">
        <v>2.38669211</v>
      </c>
      <c r="G58" s="18" t="n">
        <v>28.83803359</v>
      </c>
      <c r="H58" s="20" t="n">
        <v>2.08638708</v>
      </c>
      <c r="I58" s="18" t="s">
        <v>431</v>
      </c>
      <c r="J58" s="20" t="s">
        <v>431</v>
      </c>
      <c r="K58" s="18" t="n">
        <v>3.84026095</v>
      </c>
      <c r="L58" s="20" t="n">
        <v>0.8583131899999999</v>
      </c>
      <c r="M58" s="18" t="n">
        <v>0</v>
      </c>
      <c r="N58" s="20" t="n">
        <v>0</v>
      </c>
      <c r="O58" s="18" t="n">
        <v>0</v>
      </c>
      <c r="P58" s="20" t="n">
        <v>0</v>
      </c>
      <c r="Q58" s="18" t="n">
        <v>24.53439763</v>
      </c>
      <c r="R58" s="20" t="n">
        <v>2.25728349</v>
      </c>
    </row>
    <row r="59" spans="1:18">
      <c r="A59" s="15" t="s">
        <v>483</v>
      </c>
      <c r="B59" s="17" t="n">
        <v>2548</v>
      </c>
      <c r="C59" s="18">
        <f>(2118.0/B59*100)</f>
        <v/>
      </c>
      <c r="D59" s="19" t="n">
        <v>430</v>
      </c>
      <c r="E59" s="18" t="n">
        <v>63.30474636</v>
      </c>
      <c r="F59" s="20" t="n">
        <v>2.41500211</v>
      </c>
      <c r="G59" s="18" t="n">
        <v>8.988719189999999</v>
      </c>
      <c r="H59" s="20" t="n">
        <v>1.76828877</v>
      </c>
      <c r="I59" s="18" t="s">
        <v>431</v>
      </c>
      <c r="J59" s="20" t="s">
        <v>431</v>
      </c>
      <c r="K59" s="18" t="n">
        <v>1.57464288</v>
      </c>
      <c r="L59" s="20" t="n">
        <v>0.5345887499999999</v>
      </c>
      <c r="M59" s="18" t="n">
        <v>0</v>
      </c>
      <c r="N59" s="20" t="n">
        <v>0</v>
      </c>
      <c r="O59" s="18" t="n">
        <v>0</v>
      </c>
      <c r="P59" s="20" t="n">
        <v>0</v>
      </c>
      <c r="Q59" s="18" t="n">
        <v>26.13189156</v>
      </c>
      <c r="R59" s="20" t="n">
        <v>2.1903918</v>
      </c>
    </row>
    <row r="60" spans="1:18">
      <c r="A60" s="15" t="s">
        <v>484</v>
      </c>
      <c r="B60" s="17" t="n">
        <v>2095</v>
      </c>
      <c r="C60" s="18">
        <f>(1743.0/B60*100)</f>
        <v/>
      </c>
      <c r="D60" s="19" t="n">
        <v>352</v>
      </c>
      <c r="E60" s="18" t="n">
        <v>36.61993948</v>
      </c>
      <c r="F60" s="20" t="n">
        <v>2.43273858</v>
      </c>
      <c r="G60" s="18" t="n">
        <v>14.10136988</v>
      </c>
      <c r="H60" s="20" t="n">
        <v>2.0974172</v>
      </c>
      <c r="I60" s="18" t="s">
        <v>431</v>
      </c>
      <c r="J60" s="20" t="s">
        <v>431</v>
      </c>
      <c r="K60" s="18" t="n">
        <v>6.98463658</v>
      </c>
      <c r="L60" s="20" t="n">
        <v>1.62978397</v>
      </c>
      <c r="M60" s="18" t="n">
        <v>0</v>
      </c>
      <c r="N60" s="20" t="n">
        <v>0</v>
      </c>
      <c r="O60" s="18" t="n">
        <v>0</v>
      </c>
      <c r="P60" s="20" t="n">
        <v>0</v>
      </c>
      <c r="Q60" s="18" t="n">
        <v>42.29405406</v>
      </c>
      <c r="R60" s="20" t="n">
        <v>2.64590909</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29.07498118</v>
      </c>
      <c r="F63" s="20" t="n">
        <v>2.46939165</v>
      </c>
      <c r="G63" s="18" t="n">
        <v>13.86484268</v>
      </c>
      <c r="H63" s="20" t="n">
        <v>1.75149228</v>
      </c>
      <c r="I63" s="18" t="s">
        <v>431</v>
      </c>
      <c r="J63" s="20" t="s">
        <v>431</v>
      </c>
      <c r="K63" s="18" t="n">
        <v>5.12435689</v>
      </c>
      <c r="L63" s="20" t="n">
        <v>0.97355815</v>
      </c>
      <c r="M63" s="18" t="n">
        <v>0</v>
      </c>
      <c r="N63" s="20" t="n">
        <v>0</v>
      </c>
      <c r="O63" s="18" t="n">
        <v>0</v>
      </c>
      <c r="P63" s="20" t="n">
        <v>0</v>
      </c>
      <c r="Q63" s="18" t="n">
        <v>51.93581924</v>
      </c>
      <c r="R63" s="20" t="n">
        <v>2.11314768</v>
      </c>
    </row>
    <row r="64" spans="1:18">
      <c r="A64" s="15" t="s">
        <v>488</v>
      </c>
      <c r="B64" s="17" t="n">
        <v>1844</v>
      </c>
      <c r="C64" s="18">
        <f>(1521.0/B64*100)</f>
        <v/>
      </c>
      <c r="D64" s="19" t="n">
        <v>323</v>
      </c>
      <c r="E64" s="18" t="n">
        <v>50.01922534</v>
      </c>
      <c r="F64" s="20" t="n">
        <v>2.73392813</v>
      </c>
      <c r="G64" s="18" t="n">
        <v>21.1762983</v>
      </c>
      <c r="H64" s="20" t="n">
        <v>2.09564972</v>
      </c>
      <c r="I64" s="18" t="s">
        <v>431</v>
      </c>
      <c r="J64" s="20" t="s">
        <v>431</v>
      </c>
      <c r="K64" s="18" t="n">
        <v>4.75071104</v>
      </c>
      <c r="L64" s="20" t="n">
        <v>1.06484353</v>
      </c>
      <c r="M64" s="18" t="n">
        <v>0</v>
      </c>
      <c r="N64" s="20" t="n">
        <v>0</v>
      </c>
      <c r="O64" s="18" t="n">
        <v>0</v>
      </c>
      <c r="P64" s="20" t="n">
        <v>0</v>
      </c>
      <c r="Q64" s="18" t="n">
        <v>24.05376532</v>
      </c>
      <c r="R64" s="20" t="n">
        <v>2.49024063</v>
      </c>
    </row>
    <row r="65" spans="1:18">
      <c r="A65" s="15" t="s">
        <v>489</v>
      </c>
      <c r="B65" s="17" t="n">
        <v>2691</v>
      </c>
      <c r="C65" s="18">
        <f>(2232.0/B65*100)</f>
        <v/>
      </c>
      <c r="D65" s="19" t="n">
        <v>459</v>
      </c>
      <c r="E65" s="18" t="n">
        <v>38.14934949</v>
      </c>
      <c r="F65" s="20" t="n">
        <v>2.48200231</v>
      </c>
      <c r="G65" s="18" t="n">
        <v>20.07620046</v>
      </c>
      <c r="H65" s="20" t="n">
        <v>1.95206686</v>
      </c>
      <c r="I65" s="18" t="s">
        <v>431</v>
      </c>
      <c r="J65" s="20" t="s">
        <v>431</v>
      </c>
      <c r="K65" s="18" t="n">
        <v>12.67607697</v>
      </c>
      <c r="L65" s="20" t="n">
        <v>1.39672449</v>
      </c>
      <c r="M65" s="18" t="n">
        <v>0</v>
      </c>
      <c r="N65" s="20" t="n">
        <v>0</v>
      </c>
      <c r="O65" s="18" t="n">
        <v>0</v>
      </c>
      <c r="P65" s="20" t="n">
        <v>0</v>
      </c>
      <c r="Q65" s="18" t="n">
        <v>29.09837307</v>
      </c>
      <c r="R65" s="20" t="n">
        <v>2.23450571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59.70763756</v>
      </c>
      <c r="F69" s="20" t="n">
        <v>2.56328453</v>
      </c>
      <c r="G69" s="18" t="n">
        <v>39.29526643</v>
      </c>
      <c r="H69" s="20" t="n">
        <v>2.60116969</v>
      </c>
      <c r="I69" s="18" t="s">
        <v>431</v>
      </c>
      <c r="J69" s="20" t="s">
        <v>431</v>
      </c>
      <c r="K69" s="18" t="n">
        <v>0</v>
      </c>
      <c r="L69" s="20" t="n">
        <v>0</v>
      </c>
      <c r="M69" s="18" t="n">
        <v>0</v>
      </c>
      <c r="N69" s="20" t="n">
        <v>0</v>
      </c>
      <c r="O69" s="18" t="n">
        <v>0</v>
      </c>
      <c r="P69" s="20" t="n">
        <v>0</v>
      </c>
      <c r="Q69" s="18" t="n">
        <v>0.997096</v>
      </c>
      <c r="R69" s="20" t="n">
        <v>0.38755091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42.26403261</v>
      </c>
      <c r="F74" s="20" t="n">
        <v>3.00498687</v>
      </c>
      <c r="G74" s="18" t="n">
        <v>14.76607152</v>
      </c>
      <c r="H74" s="20" t="n">
        <v>1.96865767</v>
      </c>
      <c r="I74" s="18" t="s">
        <v>431</v>
      </c>
      <c r="J74" s="20" t="s">
        <v>431</v>
      </c>
      <c r="K74" s="18" t="n">
        <v>9.51444637</v>
      </c>
      <c r="L74" s="20" t="n">
        <v>1.43017843</v>
      </c>
      <c r="M74" s="18" t="n">
        <v>0</v>
      </c>
      <c r="N74" s="20" t="n">
        <v>0</v>
      </c>
      <c r="O74" s="18" t="n">
        <v>0</v>
      </c>
      <c r="P74" s="20" t="n">
        <v>0</v>
      </c>
      <c r="Q74" s="18" t="n">
        <v>33.4554495</v>
      </c>
      <c r="R74" s="20" t="n">
        <v>2.72032659</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51.49117317</v>
      </c>
      <c r="F78" s="20" t="n">
        <v>2.73475978</v>
      </c>
      <c r="G78" s="18" t="n">
        <v>44.91487835</v>
      </c>
      <c r="H78" s="20" t="n">
        <v>2.94434246</v>
      </c>
      <c r="I78" s="18" t="s">
        <v>431</v>
      </c>
      <c r="J78" s="20" t="s">
        <v>431</v>
      </c>
      <c r="K78" s="18" t="n">
        <v>0</v>
      </c>
      <c r="L78" s="20" t="n">
        <v>0</v>
      </c>
      <c r="M78" s="18" t="n">
        <v>0</v>
      </c>
      <c r="N78" s="20" t="n">
        <v>0</v>
      </c>
      <c r="O78" s="18" t="n">
        <v>0</v>
      </c>
      <c r="P78" s="20" t="n">
        <v>0</v>
      </c>
      <c r="Q78" s="18" t="n">
        <v>3.59394848</v>
      </c>
      <c r="R78" s="20" t="n">
        <v>1.01256531</v>
      </c>
    </row>
    <row customHeight="1" ht="25" r="79" spans="1:18">
      <c r="A79" s="15" t="s">
        <v>503</v>
      </c>
      <c r="B79" s="17" t="n">
        <v>787</v>
      </c>
      <c r="C79" s="18">
        <f>(661.0/B79*100)</f>
        <v/>
      </c>
      <c r="D79" s="19" t="n">
        <v>126</v>
      </c>
      <c r="E79" s="18" t="n">
        <v>52.23159296</v>
      </c>
      <c r="F79" s="20" t="n">
        <v>4.11121179</v>
      </c>
      <c r="G79" s="18" t="n">
        <v>23.56269895</v>
      </c>
      <c r="H79" s="20" t="n">
        <v>3.72873255</v>
      </c>
      <c r="I79" s="18" t="s">
        <v>431</v>
      </c>
      <c r="J79" s="20" t="s">
        <v>431</v>
      </c>
      <c r="K79" s="18" t="n">
        <v>6.94955771</v>
      </c>
      <c r="L79" s="20" t="n">
        <v>2.19882629</v>
      </c>
      <c r="M79" s="18" t="n">
        <v>0</v>
      </c>
      <c r="N79" s="20" t="n">
        <v>0</v>
      </c>
      <c r="O79" s="18" t="n">
        <v>0</v>
      </c>
      <c r="P79" s="20" t="n">
        <v>0</v>
      </c>
      <c r="Q79" s="18" t="n">
        <v>17.25615038</v>
      </c>
      <c r="R79" s="20" t="n">
        <v>2.67995739</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52.03204337</v>
      </c>
      <c r="F44" s="20" t="n">
        <v>3.32428504</v>
      </c>
      <c r="G44" s="18" t="n">
        <v>11.88827072</v>
      </c>
      <c r="H44" s="20" t="n">
        <v>2.49364285</v>
      </c>
      <c r="I44" s="18" t="s">
        <v>431</v>
      </c>
      <c r="J44" s="20" t="s">
        <v>431</v>
      </c>
      <c r="K44" s="18" t="n">
        <v>9.774834289999999</v>
      </c>
      <c r="L44" s="20" t="n">
        <v>1.55478972</v>
      </c>
      <c r="M44" s="18" t="n">
        <v>0</v>
      </c>
      <c r="N44" s="20" t="n">
        <v>0</v>
      </c>
      <c r="O44" s="18" t="n">
        <v>0</v>
      </c>
      <c r="P44" s="20" t="n">
        <v>0</v>
      </c>
      <c r="Q44" s="18" t="n">
        <v>26.30485162</v>
      </c>
      <c r="R44" s="20" t="n">
        <v>2.49700763</v>
      </c>
    </row>
    <row r="45" spans="1:18">
      <c r="A45" s="15" t="s">
        <v>469</v>
      </c>
      <c r="B45" s="17" t="n">
        <v>2849</v>
      </c>
      <c r="C45" s="18">
        <f>(2379.0/B45*100)</f>
        <v/>
      </c>
      <c r="D45" s="19" t="n">
        <v>470</v>
      </c>
      <c r="E45" s="18" t="n">
        <v>65.22463707</v>
      </c>
      <c r="F45" s="20" t="n">
        <v>2.26956327</v>
      </c>
      <c r="G45" s="18" t="n">
        <v>7.06909493</v>
      </c>
      <c r="H45" s="20" t="n">
        <v>1.10296475</v>
      </c>
      <c r="I45" s="18" t="s">
        <v>431</v>
      </c>
      <c r="J45" s="20" t="s">
        <v>431</v>
      </c>
      <c r="K45" s="18" t="n">
        <v>13.82158101</v>
      </c>
      <c r="L45" s="20" t="n">
        <v>1.80795206</v>
      </c>
      <c r="M45" s="18" t="n">
        <v>0.78447874</v>
      </c>
      <c r="N45" s="20" t="n">
        <v>0.47285385</v>
      </c>
      <c r="O45" s="18" t="n">
        <v>0</v>
      </c>
      <c r="P45" s="20" t="n">
        <v>0</v>
      </c>
      <c r="Q45" s="18" t="n">
        <v>13.10020825</v>
      </c>
      <c r="R45" s="20" t="n">
        <v>1.69242875</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55.72332365</v>
      </c>
      <c r="F49" s="20" t="n">
        <v>2.92379075</v>
      </c>
      <c r="G49" s="18" t="n">
        <v>24.40798023</v>
      </c>
      <c r="H49" s="20" t="n">
        <v>2.41885363</v>
      </c>
      <c r="I49" s="18" t="s">
        <v>431</v>
      </c>
      <c r="J49" s="20" t="s">
        <v>431</v>
      </c>
      <c r="K49" s="18" t="n">
        <v>5.0857582</v>
      </c>
      <c r="L49" s="20" t="n">
        <v>1.28658005</v>
      </c>
      <c r="M49" s="18" t="n">
        <v>0</v>
      </c>
      <c r="N49" s="20" t="n">
        <v>0</v>
      </c>
      <c r="O49" s="18" t="n">
        <v>0.29167483</v>
      </c>
      <c r="P49" s="20" t="n">
        <v>0.2894647</v>
      </c>
      <c r="Q49" s="18" t="n">
        <v>14.49126308</v>
      </c>
      <c r="R49" s="20" t="n">
        <v>1.8191474</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47.52041447</v>
      </c>
      <c r="F55" s="20" t="n">
        <v>2.49966185</v>
      </c>
      <c r="G55" s="18" t="n">
        <v>8.37545313</v>
      </c>
      <c r="H55" s="20" t="n">
        <v>1.37440062</v>
      </c>
      <c r="I55" s="18" t="s">
        <v>431</v>
      </c>
      <c r="J55" s="20" t="s">
        <v>431</v>
      </c>
      <c r="K55" s="18" t="n">
        <v>7.16275923</v>
      </c>
      <c r="L55" s="20" t="n">
        <v>1.3743461</v>
      </c>
      <c r="M55" s="18" t="n">
        <v>0</v>
      </c>
      <c r="N55" s="20" t="n">
        <v>0</v>
      </c>
      <c r="O55" s="18" t="n">
        <v>0</v>
      </c>
      <c r="P55" s="20" t="n">
        <v>0</v>
      </c>
      <c r="Q55" s="18" t="n">
        <v>36.94137316</v>
      </c>
      <c r="R55" s="20" t="n">
        <v>2.78620508</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73.4314342</v>
      </c>
      <c r="F57" s="20" t="n">
        <v>2.03180636</v>
      </c>
      <c r="G57" s="18" t="n">
        <v>20.38897785</v>
      </c>
      <c r="H57" s="20" t="n">
        <v>1.420965</v>
      </c>
      <c r="I57" s="18" t="s">
        <v>431</v>
      </c>
      <c r="J57" s="20" t="s">
        <v>431</v>
      </c>
      <c r="K57" s="18" t="n">
        <v>2.29342818</v>
      </c>
      <c r="L57" s="20" t="n">
        <v>0.84741673</v>
      </c>
      <c r="M57" s="18" t="n">
        <v>0</v>
      </c>
      <c r="N57" s="20" t="n">
        <v>0</v>
      </c>
      <c r="O57" s="18" t="n">
        <v>0</v>
      </c>
      <c r="P57" s="20" t="n">
        <v>0</v>
      </c>
      <c r="Q57" s="18" t="n">
        <v>3.88615977</v>
      </c>
      <c r="R57" s="20" t="n">
        <v>0.98234796</v>
      </c>
    </row>
    <row r="58" spans="1:18">
      <c r="A58" s="15" t="s">
        <v>482</v>
      </c>
      <c r="B58" s="17" t="n">
        <v>3530</v>
      </c>
      <c r="C58" s="18">
        <f>(2962.0/B58*100)</f>
        <v/>
      </c>
      <c r="D58" s="19" t="n">
        <v>568</v>
      </c>
      <c r="E58" s="18" t="n">
        <v>60.2883505</v>
      </c>
      <c r="F58" s="20" t="n">
        <v>1.93347449</v>
      </c>
      <c r="G58" s="18" t="n">
        <v>17.08425234</v>
      </c>
      <c r="H58" s="20" t="n">
        <v>1.74959868</v>
      </c>
      <c r="I58" s="18" t="s">
        <v>431</v>
      </c>
      <c r="J58" s="20" t="s">
        <v>431</v>
      </c>
      <c r="K58" s="18" t="n">
        <v>3.87257912</v>
      </c>
      <c r="L58" s="20" t="n">
        <v>0.85785353</v>
      </c>
      <c r="M58" s="18" t="n">
        <v>0</v>
      </c>
      <c r="N58" s="20" t="n">
        <v>0</v>
      </c>
      <c r="O58" s="18" t="n">
        <v>0</v>
      </c>
      <c r="P58" s="20" t="n">
        <v>0</v>
      </c>
      <c r="Q58" s="18" t="n">
        <v>18.75481805</v>
      </c>
      <c r="R58" s="20" t="n">
        <v>1.76602918</v>
      </c>
    </row>
    <row r="59" spans="1:18">
      <c r="A59" s="15" t="s">
        <v>483</v>
      </c>
      <c r="B59" s="17" t="n">
        <v>2548</v>
      </c>
      <c r="C59" s="18">
        <f>(2118.0/B59*100)</f>
        <v/>
      </c>
      <c r="D59" s="19" t="n">
        <v>430</v>
      </c>
      <c r="E59" s="18" t="n">
        <v>68.97638938</v>
      </c>
      <c r="F59" s="20" t="n">
        <v>2.24722685</v>
      </c>
      <c r="G59" s="18" t="n">
        <v>5.48542292</v>
      </c>
      <c r="H59" s="20" t="n">
        <v>1.39466765</v>
      </c>
      <c r="I59" s="18" t="s">
        <v>431</v>
      </c>
      <c r="J59" s="20" t="s">
        <v>431</v>
      </c>
      <c r="K59" s="18" t="n">
        <v>1.57464288</v>
      </c>
      <c r="L59" s="20" t="n">
        <v>0.5345887499999999</v>
      </c>
      <c r="M59" s="18" t="n">
        <v>0</v>
      </c>
      <c r="N59" s="20" t="n">
        <v>0</v>
      </c>
      <c r="O59" s="18" t="n">
        <v>0</v>
      </c>
      <c r="P59" s="20" t="n">
        <v>0</v>
      </c>
      <c r="Q59" s="18" t="n">
        <v>23.96354482</v>
      </c>
      <c r="R59" s="20" t="n">
        <v>2.05316481</v>
      </c>
    </row>
    <row r="60" spans="1:18">
      <c r="A60" s="15" t="s">
        <v>484</v>
      </c>
      <c r="B60" s="17" t="n">
        <v>2095</v>
      </c>
      <c r="C60" s="18">
        <f>(1743.0/B60*100)</f>
        <v/>
      </c>
      <c r="D60" s="19" t="n">
        <v>352</v>
      </c>
      <c r="E60" s="18" t="n">
        <v>47.159119</v>
      </c>
      <c r="F60" s="20" t="n">
        <v>2.67337153</v>
      </c>
      <c r="G60" s="18" t="n">
        <v>16.24603323</v>
      </c>
      <c r="H60" s="20" t="n">
        <v>2.00042414</v>
      </c>
      <c r="I60" s="18" t="s">
        <v>431</v>
      </c>
      <c r="J60" s="20" t="s">
        <v>431</v>
      </c>
      <c r="K60" s="18" t="n">
        <v>8.197430410000001</v>
      </c>
      <c r="L60" s="20" t="n">
        <v>1.61786035</v>
      </c>
      <c r="M60" s="18" t="n">
        <v>0</v>
      </c>
      <c r="N60" s="20" t="n">
        <v>0</v>
      </c>
      <c r="O60" s="18" t="n">
        <v>0.53734954</v>
      </c>
      <c r="P60" s="20" t="n">
        <v>0.39237171</v>
      </c>
      <c r="Q60" s="18" t="n">
        <v>27.86006782</v>
      </c>
      <c r="R60" s="20" t="n">
        <v>2.48432224</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40.43946556</v>
      </c>
      <c r="F63" s="20" t="n">
        <v>2.54879591</v>
      </c>
      <c r="G63" s="18" t="n">
        <v>4.43346442</v>
      </c>
      <c r="H63" s="20" t="n">
        <v>1.07902276</v>
      </c>
      <c r="I63" s="18" t="s">
        <v>431</v>
      </c>
      <c r="J63" s="20" t="s">
        <v>431</v>
      </c>
      <c r="K63" s="18" t="n">
        <v>5.4303327</v>
      </c>
      <c r="L63" s="20" t="n">
        <v>1.01588537</v>
      </c>
      <c r="M63" s="18" t="n">
        <v>0</v>
      </c>
      <c r="N63" s="20" t="n">
        <v>0</v>
      </c>
      <c r="O63" s="18" t="n">
        <v>0</v>
      </c>
      <c r="P63" s="20" t="n">
        <v>0</v>
      </c>
      <c r="Q63" s="18" t="n">
        <v>49.69673732</v>
      </c>
      <c r="R63" s="20" t="n">
        <v>2.58588789</v>
      </c>
    </row>
    <row r="64" spans="1:18">
      <c r="A64" s="15" t="s">
        <v>488</v>
      </c>
      <c r="B64" s="17" t="n">
        <v>1844</v>
      </c>
      <c r="C64" s="18">
        <f>(1521.0/B64*100)</f>
        <v/>
      </c>
      <c r="D64" s="19" t="n">
        <v>323</v>
      </c>
      <c r="E64" s="18" t="n">
        <v>48.07026373</v>
      </c>
      <c r="F64" s="20" t="n">
        <v>2.81314735</v>
      </c>
      <c r="G64" s="18" t="n">
        <v>28.72312731</v>
      </c>
      <c r="H64" s="20" t="n">
        <v>2.25034889</v>
      </c>
      <c r="I64" s="18" t="s">
        <v>431</v>
      </c>
      <c r="J64" s="20" t="s">
        <v>431</v>
      </c>
      <c r="K64" s="18" t="n">
        <v>5.07736156</v>
      </c>
      <c r="L64" s="20" t="n">
        <v>1.11666192</v>
      </c>
      <c r="M64" s="18" t="n">
        <v>0</v>
      </c>
      <c r="N64" s="20" t="n">
        <v>0</v>
      </c>
      <c r="O64" s="18" t="n">
        <v>0</v>
      </c>
      <c r="P64" s="20" t="n">
        <v>0</v>
      </c>
      <c r="Q64" s="18" t="n">
        <v>18.1292474</v>
      </c>
      <c r="R64" s="20" t="n">
        <v>2.44079745</v>
      </c>
    </row>
    <row r="65" spans="1:18">
      <c r="A65" s="15" t="s">
        <v>489</v>
      </c>
      <c r="B65" s="17" t="n">
        <v>2691</v>
      </c>
      <c r="C65" s="18">
        <f>(2232.0/B65*100)</f>
        <v/>
      </c>
      <c r="D65" s="19" t="n">
        <v>459</v>
      </c>
      <c r="E65" s="18" t="n">
        <v>51.12885573</v>
      </c>
      <c r="F65" s="20" t="n">
        <v>2.16684181</v>
      </c>
      <c r="G65" s="18" t="n">
        <v>12.2141049</v>
      </c>
      <c r="H65" s="20" t="n">
        <v>1.55699353</v>
      </c>
      <c r="I65" s="18" t="s">
        <v>431</v>
      </c>
      <c r="J65" s="20" t="s">
        <v>431</v>
      </c>
      <c r="K65" s="18" t="n">
        <v>13.07791176</v>
      </c>
      <c r="L65" s="20" t="n">
        <v>1.388052</v>
      </c>
      <c r="M65" s="18" t="n">
        <v>0</v>
      </c>
      <c r="N65" s="20" t="n">
        <v>0</v>
      </c>
      <c r="O65" s="18" t="n">
        <v>0</v>
      </c>
      <c r="P65" s="20" t="n">
        <v>0</v>
      </c>
      <c r="Q65" s="18" t="n">
        <v>23.57912761</v>
      </c>
      <c r="R65" s="20" t="n">
        <v>1.88451155</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66.02642711999999</v>
      </c>
      <c r="F69" s="20" t="n">
        <v>2.5404996</v>
      </c>
      <c r="G69" s="18" t="n">
        <v>32.74178404</v>
      </c>
      <c r="H69" s="20" t="n">
        <v>2.46728452</v>
      </c>
      <c r="I69" s="18" t="s">
        <v>431</v>
      </c>
      <c r="J69" s="20" t="s">
        <v>431</v>
      </c>
      <c r="K69" s="18" t="n">
        <v>0</v>
      </c>
      <c r="L69" s="20" t="n">
        <v>0</v>
      </c>
      <c r="M69" s="18" t="n">
        <v>0</v>
      </c>
      <c r="N69" s="20" t="n">
        <v>0</v>
      </c>
      <c r="O69" s="18" t="n">
        <v>0</v>
      </c>
      <c r="P69" s="20" t="n">
        <v>0</v>
      </c>
      <c r="Q69" s="18" t="n">
        <v>1.23178884</v>
      </c>
      <c r="R69" s="20" t="n">
        <v>0.45116261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49.68618796</v>
      </c>
      <c r="F74" s="20" t="n">
        <v>2.50680047</v>
      </c>
      <c r="G74" s="18" t="n">
        <v>13.4272443</v>
      </c>
      <c r="H74" s="20" t="n">
        <v>1.78012911</v>
      </c>
      <c r="I74" s="18" t="s">
        <v>431</v>
      </c>
      <c r="J74" s="20" t="s">
        <v>431</v>
      </c>
      <c r="K74" s="18" t="n">
        <v>10.38570273</v>
      </c>
      <c r="L74" s="20" t="n">
        <v>1.36514085</v>
      </c>
      <c r="M74" s="18" t="n">
        <v>0</v>
      </c>
      <c r="N74" s="20" t="n">
        <v>0</v>
      </c>
      <c r="O74" s="18" t="n">
        <v>0</v>
      </c>
      <c r="P74" s="20" t="n">
        <v>0</v>
      </c>
      <c r="Q74" s="18" t="n">
        <v>26.50086501</v>
      </c>
      <c r="R74" s="20" t="n">
        <v>2.25361396</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73.97723684</v>
      </c>
      <c r="F78" s="20" t="n">
        <v>1.87526835</v>
      </c>
      <c r="G78" s="18" t="n">
        <v>22.66055971</v>
      </c>
      <c r="H78" s="20" t="n">
        <v>1.85883469</v>
      </c>
      <c r="I78" s="18" t="s">
        <v>431</v>
      </c>
      <c r="J78" s="20" t="s">
        <v>431</v>
      </c>
      <c r="K78" s="18" t="n">
        <v>0</v>
      </c>
      <c r="L78" s="20" t="n">
        <v>0</v>
      </c>
      <c r="M78" s="18" t="n">
        <v>0</v>
      </c>
      <c r="N78" s="20" t="n">
        <v>0</v>
      </c>
      <c r="O78" s="18" t="n">
        <v>0</v>
      </c>
      <c r="P78" s="20" t="n">
        <v>0</v>
      </c>
      <c r="Q78" s="18" t="n">
        <v>3.36220345</v>
      </c>
      <c r="R78" s="20" t="n">
        <v>1.08965481</v>
      </c>
    </row>
    <row customHeight="1" ht="25" r="79" spans="1:18">
      <c r="A79" s="15" t="s">
        <v>503</v>
      </c>
      <c r="B79" s="17" t="n">
        <v>787</v>
      </c>
      <c r="C79" s="18">
        <f>(661.0/B79*100)</f>
        <v/>
      </c>
      <c r="D79" s="19" t="n">
        <v>126</v>
      </c>
      <c r="E79" s="18" t="n">
        <v>43.66190826</v>
      </c>
      <c r="F79" s="20" t="n">
        <v>4.39551288</v>
      </c>
      <c r="G79" s="18" t="n">
        <v>34.19211055</v>
      </c>
      <c r="H79" s="20" t="n">
        <v>5.29173443</v>
      </c>
      <c r="I79" s="18" t="s">
        <v>431</v>
      </c>
      <c r="J79" s="20" t="s">
        <v>431</v>
      </c>
      <c r="K79" s="18" t="n">
        <v>6.94955771</v>
      </c>
      <c r="L79" s="20" t="n">
        <v>2.19882629</v>
      </c>
      <c r="M79" s="18" t="n">
        <v>0</v>
      </c>
      <c r="N79" s="20" t="n">
        <v>0</v>
      </c>
      <c r="O79" s="18" t="n">
        <v>0</v>
      </c>
      <c r="P79" s="20" t="n">
        <v>0</v>
      </c>
      <c r="Q79" s="18" t="n">
        <v>15.19642348</v>
      </c>
      <c r="R79" s="20" t="n">
        <v>2.83748794</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17.44874117</v>
      </c>
      <c r="F44" s="20" t="n">
        <v>1.91008545</v>
      </c>
      <c r="G44" s="18" t="n">
        <v>57.57294715</v>
      </c>
      <c r="H44" s="20" t="n">
        <v>2.871121</v>
      </c>
      <c r="I44" s="18" t="s">
        <v>431</v>
      </c>
      <c r="J44" s="20" t="s">
        <v>431</v>
      </c>
      <c r="K44" s="18" t="n">
        <v>9.92141209</v>
      </c>
      <c r="L44" s="20" t="n">
        <v>1.52911202</v>
      </c>
      <c r="M44" s="18" t="n">
        <v>0</v>
      </c>
      <c r="N44" s="20" t="n">
        <v>0</v>
      </c>
      <c r="O44" s="18" t="n">
        <v>0</v>
      </c>
      <c r="P44" s="20" t="n">
        <v>0</v>
      </c>
      <c r="Q44" s="18" t="n">
        <v>15.05689959</v>
      </c>
      <c r="R44" s="20" t="n">
        <v>2.17642558</v>
      </c>
    </row>
    <row r="45" spans="1:18">
      <c r="A45" s="15" t="s">
        <v>469</v>
      </c>
      <c r="B45" s="17" t="n">
        <v>2849</v>
      </c>
      <c r="C45" s="18">
        <f>(2379.0/B45*100)</f>
        <v/>
      </c>
      <c r="D45" s="19" t="n">
        <v>470</v>
      </c>
      <c r="E45" s="18" t="n">
        <v>14.68017959</v>
      </c>
      <c r="F45" s="20" t="n">
        <v>1.89644505</v>
      </c>
      <c r="G45" s="18" t="n">
        <v>59.63373812</v>
      </c>
      <c r="H45" s="20" t="n">
        <v>2.61923672</v>
      </c>
      <c r="I45" s="18" t="s">
        <v>431</v>
      </c>
      <c r="J45" s="20" t="s">
        <v>431</v>
      </c>
      <c r="K45" s="18" t="n">
        <v>14.26846917</v>
      </c>
      <c r="L45" s="20" t="n">
        <v>1.79248866</v>
      </c>
      <c r="M45" s="18" t="n">
        <v>0.59866077</v>
      </c>
      <c r="N45" s="20" t="n">
        <v>0.43424118</v>
      </c>
      <c r="O45" s="18" t="n">
        <v>0</v>
      </c>
      <c r="P45" s="20" t="n">
        <v>0</v>
      </c>
      <c r="Q45" s="18" t="n">
        <v>10.81895236</v>
      </c>
      <c r="R45" s="20" t="n">
        <v>1.62474526</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16.97532268</v>
      </c>
      <c r="F49" s="20" t="n">
        <v>1.88247634</v>
      </c>
      <c r="G49" s="18" t="n">
        <v>61.91766619</v>
      </c>
      <c r="H49" s="20" t="n">
        <v>2.70097265</v>
      </c>
      <c r="I49" s="18" t="s">
        <v>431</v>
      </c>
      <c r="J49" s="20" t="s">
        <v>431</v>
      </c>
      <c r="K49" s="18" t="n">
        <v>5.0857582</v>
      </c>
      <c r="L49" s="20" t="n">
        <v>1.28658005</v>
      </c>
      <c r="M49" s="18" t="n">
        <v>0</v>
      </c>
      <c r="N49" s="20" t="n">
        <v>0</v>
      </c>
      <c r="O49" s="18" t="n">
        <v>0.29167483</v>
      </c>
      <c r="P49" s="20" t="n">
        <v>0.2894647</v>
      </c>
      <c r="Q49" s="18" t="n">
        <v>15.7295781</v>
      </c>
      <c r="R49" s="20" t="n">
        <v>2.07220208</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15.01090128</v>
      </c>
      <c r="F55" s="20" t="n">
        <v>1.82298838</v>
      </c>
      <c r="G55" s="18" t="n">
        <v>44.16844976</v>
      </c>
      <c r="H55" s="20" t="n">
        <v>2.43558933</v>
      </c>
      <c r="I55" s="18" t="s">
        <v>431</v>
      </c>
      <c r="J55" s="20" t="s">
        <v>431</v>
      </c>
      <c r="K55" s="18" t="n">
        <v>7.30251249</v>
      </c>
      <c r="L55" s="20" t="n">
        <v>1.4117548</v>
      </c>
      <c r="M55" s="18" t="n">
        <v>0</v>
      </c>
      <c r="N55" s="20" t="n">
        <v>0</v>
      </c>
      <c r="O55" s="18" t="n">
        <v>0</v>
      </c>
      <c r="P55" s="20" t="n">
        <v>0</v>
      </c>
      <c r="Q55" s="18" t="n">
        <v>33.51813648</v>
      </c>
      <c r="R55" s="20" t="n">
        <v>2.6794099</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18.60694277</v>
      </c>
      <c r="F57" s="20" t="n">
        <v>2.04085856</v>
      </c>
      <c r="G57" s="18" t="n">
        <v>76.75012909</v>
      </c>
      <c r="H57" s="20" t="n">
        <v>1.95587518</v>
      </c>
      <c r="I57" s="18" t="s">
        <v>431</v>
      </c>
      <c r="J57" s="20" t="s">
        <v>431</v>
      </c>
      <c r="K57" s="18" t="n">
        <v>2.29342818</v>
      </c>
      <c r="L57" s="20" t="n">
        <v>0.84741673</v>
      </c>
      <c r="M57" s="18" t="n">
        <v>0</v>
      </c>
      <c r="N57" s="20" t="n">
        <v>0</v>
      </c>
      <c r="O57" s="18" t="n">
        <v>0</v>
      </c>
      <c r="P57" s="20" t="n">
        <v>0</v>
      </c>
      <c r="Q57" s="18" t="n">
        <v>2.34949996</v>
      </c>
      <c r="R57" s="20" t="n">
        <v>0.71832335</v>
      </c>
    </row>
    <row r="58" spans="1:18">
      <c r="A58" s="15" t="s">
        <v>482</v>
      </c>
      <c r="B58" s="17" t="n">
        <v>3530</v>
      </c>
      <c r="C58" s="18">
        <f>(2962.0/B58*100)</f>
        <v/>
      </c>
      <c r="D58" s="19" t="n">
        <v>568</v>
      </c>
      <c r="E58" s="18" t="n">
        <v>14.78163224</v>
      </c>
      <c r="F58" s="20" t="n">
        <v>1.62078452</v>
      </c>
      <c r="G58" s="18" t="n">
        <v>64.19693794</v>
      </c>
      <c r="H58" s="20" t="n">
        <v>2.56718416</v>
      </c>
      <c r="I58" s="18" t="s">
        <v>431</v>
      </c>
      <c r="J58" s="20" t="s">
        <v>431</v>
      </c>
      <c r="K58" s="18" t="n">
        <v>4.1482277</v>
      </c>
      <c r="L58" s="20" t="n">
        <v>0.8871494599999999</v>
      </c>
      <c r="M58" s="18" t="n">
        <v>0</v>
      </c>
      <c r="N58" s="20" t="n">
        <v>0</v>
      </c>
      <c r="O58" s="18" t="n">
        <v>0</v>
      </c>
      <c r="P58" s="20" t="n">
        <v>0</v>
      </c>
      <c r="Q58" s="18" t="n">
        <v>16.87320212</v>
      </c>
      <c r="R58" s="20" t="n">
        <v>2.09521605</v>
      </c>
    </row>
    <row r="59" spans="1:18">
      <c r="A59" s="15" t="s">
        <v>483</v>
      </c>
      <c r="B59" s="17" t="n">
        <v>2548</v>
      </c>
      <c r="C59" s="18">
        <f>(2118.0/B59*100)</f>
        <v/>
      </c>
      <c r="D59" s="19" t="n">
        <v>430</v>
      </c>
      <c r="E59" s="18" t="n">
        <v>29.99946788</v>
      </c>
      <c r="F59" s="20" t="n">
        <v>2.39994651</v>
      </c>
      <c r="G59" s="18" t="n">
        <v>51.69214368</v>
      </c>
      <c r="H59" s="20" t="n">
        <v>2.82516946</v>
      </c>
      <c r="I59" s="18" t="s">
        <v>431</v>
      </c>
      <c r="J59" s="20" t="s">
        <v>431</v>
      </c>
      <c r="K59" s="18" t="n">
        <v>1.57464288</v>
      </c>
      <c r="L59" s="20" t="n">
        <v>0.5345887499999999</v>
      </c>
      <c r="M59" s="18" t="n">
        <v>0</v>
      </c>
      <c r="N59" s="20" t="n">
        <v>0</v>
      </c>
      <c r="O59" s="18" t="n">
        <v>0</v>
      </c>
      <c r="P59" s="20" t="n">
        <v>0</v>
      </c>
      <c r="Q59" s="18" t="n">
        <v>16.73374556</v>
      </c>
      <c r="R59" s="20" t="n">
        <v>2.00296324</v>
      </c>
    </row>
    <row r="60" spans="1:18">
      <c r="A60" s="15" t="s">
        <v>484</v>
      </c>
      <c r="B60" s="17" t="n">
        <v>2095</v>
      </c>
      <c r="C60" s="18">
        <f>(1743.0/B60*100)</f>
        <v/>
      </c>
      <c r="D60" s="19" t="n">
        <v>352</v>
      </c>
      <c r="E60" s="18" t="n">
        <v>29.85011545</v>
      </c>
      <c r="F60" s="20" t="n">
        <v>2.30619676</v>
      </c>
      <c r="G60" s="18" t="n">
        <v>37.21219584</v>
      </c>
      <c r="H60" s="20" t="n">
        <v>2.40005171</v>
      </c>
      <c r="I60" s="18" t="s">
        <v>431</v>
      </c>
      <c r="J60" s="20" t="s">
        <v>431</v>
      </c>
      <c r="K60" s="18" t="n">
        <v>8.682796209999999</v>
      </c>
      <c r="L60" s="20" t="n">
        <v>1.61337609</v>
      </c>
      <c r="M60" s="18" t="n">
        <v>0</v>
      </c>
      <c r="N60" s="20" t="n">
        <v>0</v>
      </c>
      <c r="O60" s="18" t="n">
        <v>0.20753387</v>
      </c>
      <c r="P60" s="20" t="n">
        <v>0.20855429</v>
      </c>
      <c r="Q60" s="18" t="n">
        <v>24.04735863</v>
      </c>
      <c r="R60" s="20" t="n">
        <v>2.3092031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13.84133709</v>
      </c>
      <c r="F63" s="20" t="n">
        <v>1.74358143</v>
      </c>
      <c r="G63" s="18" t="n">
        <v>41.93184175</v>
      </c>
      <c r="H63" s="20" t="n">
        <v>2.34333685</v>
      </c>
      <c r="I63" s="18" t="s">
        <v>431</v>
      </c>
      <c r="J63" s="20" t="s">
        <v>431</v>
      </c>
      <c r="K63" s="18" t="n">
        <v>5.4303327</v>
      </c>
      <c r="L63" s="20" t="n">
        <v>1.01588537</v>
      </c>
      <c r="M63" s="18" t="n">
        <v>0</v>
      </c>
      <c r="N63" s="20" t="n">
        <v>0</v>
      </c>
      <c r="O63" s="18" t="n">
        <v>0</v>
      </c>
      <c r="P63" s="20" t="n">
        <v>0</v>
      </c>
      <c r="Q63" s="18" t="n">
        <v>38.79648846</v>
      </c>
      <c r="R63" s="20" t="n">
        <v>2.25521852</v>
      </c>
    </row>
    <row r="64" spans="1:18">
      <c r="A64" s="15" t="s">
        <v>488</v>
      </c>
      <c r="B64" s="17" t="n">
        <v>1844</v>
      </c>
      <c r="C64" s="18">
        <f>(1521.0/B64*100)</f>
        <v/>
      </c>
      <c r="D64" s="19" t="n">
        <v>323</v>
      </c>
      <c r="E64" s="18" t="n">
        <v>16.75942932</v>
      </c>
      <c r="F64" s="20" t="n">
        <v>1.91109829</v>
      </c>
      <c r="G64" s="18" t="n">
        <v>57.16412526</v>
      </c>
      <c r="H64" s="20" t="n">
        <v>3.08381095</v>
      </c>
      <c r="I64" s="18" t="s">
        <v>431</v>
      </c>
      <c r="J64" s="20" t="s">
        <v>431</v>
      </c>
      <c r="K64" s="18" t="n">
        <v>5.07736156</v>
      </c>
      <c r="L64" s="20" t="n">
        <v>1.11666192</v>
      </c>
      <c r="M64" s="18" t="n">
        <v>0</v>
      </c>
      <c r="N64" s="20" t="n">
        <v>0</v>
      </c>
      <c r="O64" s="18" t="n">
        <v>0</v>
      </c>
      <c r="P64" s="20" t="n">
        <v>0</v>
      </c>
      <c r="Q64" s="18" t="n">
        <v>20.99908386</v>
      </c>
      <c r="R64" s="20" t="n">
        <v>2.61506466</v>
      </c>
    </row>
    <row r="65" spans="1:18">
      <c r="A65" s="15" t="s">
        <v>489</v>
      </c>
      <c r="B65" s="17" t="n">
        <v>2691</v>
      </c>
      <c r="C65" s="18">
        <f>(2232.0/B65*100)</f>
        <v/>
      </c>
      <c r="D65" s="19" t="n">
        <v>459</v>
      </c>
      <c r="E65" s="18" t="n">
        <v>16.26008504</v>
      </c>
      <c r="F65" s="20" t="n">
        <v>1.77255027</v>
      </c>
      <c r="G65" s="18" t="n">
        <v>50.71203109</v>
      </c>
      <c r="H65" s="20" t="n">
        <v>2.31931315</v>
      </c>
      <c r="I65" s="18" t="s">
        <v>431</v>
      </c>
      <c r="J65" s="20" t="s">
        <v>431</v>
      </c>
      <c r="K65" s="18" t="n">
        <v>13.66377385</v>
      </c>
      <c r="L65" s="20" t="n">
        <v>1.40840331</v>
      </c>
      <c r="M65" s="18" t="n">
        <v>0</v>
      </c>
      <c r="N65" s="20" t="n">
        <v>0</v>
      </c>
      <c r="O65" s="18" t="n">
        <v>0</v>
      </c>
      <c r="P65" s="20" t="n">
        <v>0</v>
      </c>
      <c r="Q65" s="18" t="n">
        <v>19.36411003</v>
      </c>
      <c r="R65" s="20" t="n">
        <v>1.98027367</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39.96221175</v>
      </c>
      <c r="F69" s="20" t="n">
        <v>2.8526359</v>
      </c>
      <c r="G69" s="18" t="n">
        <v>59.26515398</v>
      </c>
      <c r="H69" s="20" t="n">
        <v>2.86770521</v>
      </c>
      <c r="I69" s="18" t="s">
        <v>431</v>
      </c>
      <c r="J69" s="20" t="s">
        <v>431</v>
      </c>
      <c r="K69" s="18" t="n">
        <v>0</v>
      </c>
      <c r="L69" s="20" t="n">
        <v>0</v>
      </c>
      <c r="M69" s="18" t="n">
        <v>0</v>
      </c>
      <c r="N69" s="20" t="n">
        <v>0</v>
      </c>
      <c r="O69" s="18" t="n">
        <v>0</v>
      </c>
      <c r="P69" s="20" t="n">
        <v>0</v>
      </c>
      <c r="Q69" s="18" t="n">
        <v>0.77263427</v>
      </c>
      <c r="R69" s="20" t="n">
        <v>0.31603092</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19.14282771</v>
      </c>
      <c r="F74" s="20" t="n">
        <v>2.21545449</v>
      </c>
      <c r="G74" s="18" t="n">
        <v>42.3804114</v>
      </c>
      <c r="H74" s="20" t="n">
        <v>2.97804475</v>
      </c>
      <c r="I74" s="18" t="s">
        <v>431</v>
      </c>
      <c r="J74" s="20" t="s">
        <v>431</v>
      </c>
      <c r="K74" s="18" t="n">
        <v>10.99775502</v>
      </c>
      <c r="L74" s="20" t="n">
        <v>1.36598194</v>
      </c>
      <c r="M74" s="18" t="n">
        <v>0</v>
      </c>
      <c r="N74" s="20" t="n">
        <v>0</v>
      </c>
      <c r="O74" s="18" t="n">
        <v>0</v>
      </c>
      <c r="P74" s="20" t="n">
        <v>0</v>
      </c>
      <c r="Q74" s="18" t="n">
        <v>27.47900587</v>
      </c>
      <c r="R74" s="20" t="n">
        <v>2.71422337</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16.32497872</v>
      </c>
      <c r="F78" s="20" t="n">
        <v>2.33289149</v>
      </c>
      <c r="G78" s="18" t="n">
        <v>82.03914672000001</v>
      </c>
      <c r="H78" s="20" t="n">
        <v>2.53020788</v>
      </c>
      <c r="I78" s="18" t="s">
        <v>431</v>
      </c>
      <c r="J78" s="20" t="s">
        <v>431</v>
      </c>
      <c r="K78" s="18" t="n">
        <v>0</v>
      </c>
      <c r="L78" s="20" t="n">
        <v>0</v>
      </c>
      <c r="M78" s="18" t="n">
        <v>0</v>
      </c>
      <c r="N78" s="20" t="n">
        <v>0</v>
      </c>
      <c r="O78" s="18" t="n">
        <v>0</v>
      </c>
      <c r="P78" s="20" t="n">
        <v>0</v>
      </c>
      <c r="Q78" s="18" t="n">
        <v>1.63587456</v>
      </c>
      <c r="R78" s="20" t="n">
        <v>0.72808532</v>
      </c>
    </row>
    <row customHeight="1" ht="25" r="79" spans="1:18">
      <c r="A79" s="15" t="s">
        <v>503</v>
      </c>
      <c r="B79" s="17" t="n">
        <v>787</v>
      </c>
      <c r="C79" s="18">
        <f>(661.0/B79*100)</f>
        <v/>
      </c>
      <c r="D79" s="19" t="n">
        <v>126</v>
      </c>
      <c r="E79" s="18" t="n">
        <v>11.92679285</v>
      </c>
      <c r="F79" s="20" t="n">
        <v>3.68465514</v>
      </c>
      <c r="G79" s="18" t="n">
        <v>64.24443371</v>
      </c>
      <c r="H79" s="20" t="n">
        <v>4.25583197</v>
      </c>
      <c r="I79" s="18" t="s">
        <v>431</v>
      </c>
      <c r="J79" s="20" t="s">
        <v>431</v>
      </c>
      <c r="K79" s="18" t="n">
        <v>6.94955771</v>
      </c>
      <c r="L79" s="20" t="n">
        <v>2.19882629</v>
      </c>
      <c r="M79" s="18" t="n">
        <v>0</v>
      </c>
      <c r="N79" s="20" t="n">
        <v>0</v>
      </c>
      <c r="O79" s="18" t="n">
        <v>0</v>
      </c>
      <c r="P79" s="20" t="n">
        <v>0</v>
      </c>
      <c r="Q79" s="18" t="n">
        <v>16.87921573</v>
      </c>
      <c r="R79" s="20" t="n">
        <v>3.56370895</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47.5600129</v>
      </c>
      <c r="F44" s="20" t="n">
        <v>3.5172964</v>
      </c>
      <c r="G44" s="18" t="n">
        <v>33.05559798</v>
      </c>
      <c r="H44" s="20" t="n">
        <v>3.14142885</v>
      </c>
      <c r="I44" s="18" t="s">
        <v>431</v>
      </c>
      <c r="J44" s="20" t="s">
        <v>431</v>
      </c>
      <c r="K44" s="18" t="n">
        <v>11.33321335</v>
      </c>
      <c r="L44" s="20" t="n">
        <v>1.71727898</v>
      </c>
      <c r="M44" s="18" t="n">
        <v>0</v>
      </c>
      <c r="N44" s="20" t="n">
        <v>0</v>
      </c>
      <c r="O44" s="18" t="n">
        <v>1.38222948</v>
      </c>
      <c r="P44" s="20" t="n">
        <v>0.60138551</v>
      </c>
      <c r="Q44" s="18" t="n">
        <v>6.66894629</v>
      </c>
      <c r="R44" s="20" t="n">
        <v>1.51922592</v>
      </c>
    </row>
    <row r="45" spans="1:18">
      <c r="A45" s="15" t="s">
        <v>469</v>
      </c>
      <c r="B45" s="17" t="n">
        <v>2849</v>
      </c>
      <c r="C45" s="18">
        <f>(2379.0/B45*100)</f>
        <v/>
      </c>
      <c r="D45" s="19" t="n">
        <v>470</v>
      </c>
      <c r="E45" s="18" t="n">
        <v>42.27338081</v>
      </c>
      <c r="F45" s="20" t="n">
        <v>2.34514312</v>
      </c>
      <c r="G45" s="18" t="n">
        <v>32.29484078</v>
      </c>
      <c r="H45" s="20" t="n">
        <v>2.44375578</v>
      </c>
      <c r="I45" s="18" t="s">
        <v>431</v>
      </c>
      <c r="J45" s="20" t="s">
        <v>431</v>
      </c>
      <c r="K45" s="18" t="n">
        <v>15.11654382</v>
      </c>
      <c r="L45" s="20" t="n">
        <v>1.8184613</v>
      </c>
      <c r="M45" s="18" t="n">
        <v>0.43471473</v>
      </c>
      <c r="N45" s="20" t="n">
        <v>0.2922226</v>
      </c>
      <c r="O45" s="18" t="n">
        <v>3.52278625</v>
      </c>
      <c r="P45" s="20" t="n">
        <v>0.9060173</v>
      </c>
      <c r="Q45" s="18" t="n">
        <v>6.35773362</v>
      </c>
      <c r="R45" s="20" t="n">
        <v>1.40501597</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48.37451188</v>
      </c>
      <c r="F49" s="20" t="n">
        <v>2.81552245</v>
      </c>
      <c r="G49" s="18" t="n">
        <v>42.38941436</v>
      </c>
      <c r="H49" s="20" t="n">
        <v>2.83072992</v>
      </c>
      <c r="I49" s="18" t="s">
        <v>431</v>
      </c>
      <c r="J49" s="20" t="s">
        <v>431</v>
      </c>
      <c r="K49" s="18" t="n">
        <v>6.2664303</v>
      </c>
      <c r="L49" s="20" t="n">
        <v>1.8541227</v>
      </c>
      <c r="M49" s="18" t="n">
        <v>0</v>
      </c>
      <c r="N49" s="20" t="n">
        <v>0</v>
      </c>
      <c r="O49" s="18" t="n">
        <v>0.69804478</v>
      </c>
      <c r="P49" s="20" t="n">
        <v>0.38598579</v>
      </c>
      <c r="Q49" s="18" t="n">
        <v>2.27159868</v>
      </c>
      <c r="R49" s="20" t="n">
        <v>0.79476633</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46.44004122</v>
      </c>
      <c r="F55" s="20" t="n">
        <v>2.3364369</v>
      </c>
      <c r="G55" s="18" t="n">
        <v>42.60032574</v>
      </c>
      <c r="H55" s="20" t="n">
        <v>2.36588241</v>
      </c>
      <c r="I55" s="18" t="s">
        <v>431</v>
      </c>
      <c r="J55" s="20" t="s">
        <v>431</v>
      </c>
      <c r="K55" s="18" t="n">
        <v>7.30251249</v>
      </c>
      <c r="L55" s="20" t="n">
        <v>1.4117548</v>
      </c>
      <c r="M55" s="18" t="n">
        <v>0</v>
      </c>
      <c r="N55" s="20" t="n">
        <v>0</v>
      </c>
      <c r="O55" s="18" t="n">
        <v>0.94802694</v>
      </c>
      <c r="P55" s="20" t="n">
        <v>0.42571398</v>
      </c>
      <c r="Q55" s="18" t="n">
        <v>2.70909361</v>
      </c>
      <c r="R55" s="20" t="n">
        <v>0.71581991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56.26441744</v>
      </c>
      <c r="F57" s="20" t="n">
        <v>2.81854565</v>
      </c>
      <c r="G57" s="18" t="n">
        <v>38.81113573</v>
      </c>
      <c r="H57" s="20" t="n">
        <v>2.76449295</v>
      </c>
      <c r="I57" s="18" t="s">
        <v>431</v>
      </c>
      <c r="J57" s="20" t="s">
        <v>431</v>
      </c>
      <c r="K57" s="18" t="n">
        <v>2.79474144</v>
      </c>
      <c r="L57" s="20" t="n">
        <v>0.89423582</v>
      </c>
      <c r="M57" s="18" t="n">
        <v>0</v>
      </c>
      <c r="N57" s="20" t="n">
        <v>0</v>
      </c>
      <c r="O57" s="18" t="n">
        <v>0</v>
      </c>
      <c r="P57" s="20" t="n">
        <v>0</v>
      </c>
      <c r="Q57" s="18" t="n">
        <v>2.12970539</v>
      </c>
      <c r="R57" s="20" t="n">
        <v>0.66237809</v>
      </c>
    </row>
    <row r="58" spans="1:18">
      <c r="A58" s="15" t="s">
        <v>482</v>
      </c>
      <c r="B58" s="17" t="n">
        <v>3530</v>
      </c>
      <c r="C58" s="18">
        <f>(2962.0/B58*100)</f>
        <v/>
      </c>
      <c r="D58" s="19" t="n">
        <v>568</v>
      </c>
      <c r="E58" s="18" t="n">
        <v>69.11393673000001</v>
      </c>
      <c r="F58" s="20" t="n">
        <v>2.44092782</v>
      </c>
      <c r="G58" s="18" t="n">
        <v>18.76260453</v>
      </c>
      <c r="H58" s="20" t="n">
        <v>2.02177312</v>
      </c>
      <c r="I58" s="18" t="s">
        <v>431</v>
      </c>
      <c r="J58" s="20" t="s">
        <v>431</v>
      </c>
      <c r="K58" s="18" t="n">
        <v>4.38743339</v>
      </c>
      <c r="L58" s="20" t="n">
        <v>0.91423924</v>
      </c>
      <c r="M58" s="18" t="n">
        <v>0</v>
      </c>
      <c r="N58" s="20" t="n">
        <v>0</v>
      </c>
      <c r="O58" s="18" t="n">
        <v>0.56173617</v>
      </c>
      <c r="P58" s="20" t="n">
        <v>0.35982878</v>
      </c>
      <c r="Q58" s="18" t="n">
        <v>7.17428918</v>
      </c>
      <c r="R58" s="20" t="n">
        <v>1.29597593</v>
      </c>
    </row>
    <row r="59" spans="1:18">
      <c r="A59" s="15" t="s">
        <v>483</v>
      </c>
      <c r="B59" s="17" t="n">
        <v>2548</v>
      </c>
      <c r="C59" s="18">
        <f>(2118.0/B59*100)</f>
        <v/>
      </c>
      <c r="D59" s="19" t="n">
        <v>430</v>
      </c>
      <c r="E59" s="18" t="n">
        <v>67.86848885000001</v>
      </c>
      <c r="F59" s="20" t="n">
        <v>2.39561745</v>
      </c>
      <c r="G59" s="18" t="n">
        <v>23.06350222</v>
      </c>
      <c r="H59" s="20" t="n">
        <v>2.31712548</v>
      </c>
      <c r="I59" s="18" t="s">
        <v>431</v>
      </c>
      <c r="J59" s="20" t="s">
        <v>431</v>
      </c>
      <c r="K59" s="18" t="n">
        <v>1.57464288</v>
      </c>
      <c r="L59" s="20" t="n">
        <v>0.5345887499999999</v>
      </c>
      <c r="M59" s="18" t="n">
        <v>0</v>
      </c>
      <c r="N59" s="20" t="n">
        <v>0</v>
      </c>
      <c r="O59" s="18" t="n">
        <v>4.70992738</v>
      </c>
      <c r="P59" s="20" t="n">
        <v>1.24594477</v>
      </c>
      <c r="Q59" s="18" t="n">
        <v>2.78343867</v>
      </c>
      <c r="R59" s="20" t="n">
        <v>0.75561374</v>
      </c>
    </row>
    <row r="60" spans="1:18">
      <c r="A60" s="15" t="s">
        <v>484</v>
      </c>
      <c r="B60" s="17" t="n">
        <v>2095</v>
      </c>
      <c r="C60" s="18">
        <f>(1743.0/B60*100)</f>
        <v/>
      </c>
      <c r="D60" s="19" t="n">
        <v>352</v>
      </c>
      <c r="E60" s="18" t="n">
        <v>49.75550631</v>
      </c>
      <c r="F60" s="20" t="n">
        <v>3.12336567</v>
      </c>
      <c r="G60" s="18" t="n">
        <v>28.30494116</v>
      </c>
      <c r="H60" s="20" t="n">
        <v>2.76383216</v>
      </c>
      <c r="I60" s="18" t="s">
        <v>431</v>
      </c>
      <c r="J60" s="20" t="s">
        <v>431</v>
      </c>
      <c r="K60" s="18" t="n">
        <v>8.682796209999999</v>
      </c>
      <c r="L60" s="20" t="n">
        <v>1.61337609</v>
      </c>
      <c r="M60" s="18" t="n">
        <v>0</v>
      </c>
      <c r="N60" s="20" t="n">
        <v>0</v>
      </c>
      <c r="O60" s="18" t="n">
        <v>3.84679398</v>
      </c>
      <c r="P60" s="20" t="n">
        <v>1.28769562</v>
      </c>
      <c r="Q60" s="18" t="n">
        <v>9.409962350000001</v>
      </c>
      <c r="R60" s="20" t="n">
        <v>1.64826917</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49.50340821</v>
      </c>
      <c r="F63" s="20" t="n">
        <v>2.69315659</v>
      </c>
      <c r="G63" s="18" t="n">
        <v>36.04688628</v>
      </c>
      <c r="H63" s="20" t="n">
        <v>2.54997708</v>
      </c>
      <c r="I63" s="18" t="s">
        <v>431</v>
      </c>
      <c r="J63" s="20" t="s">
        <v>431</v>
      </c>
      <c r="K63" s="18" t="n">
        <v>5.4303327</v>
      </c>
      <c r="L63" s="20" t="n">
        <v>1.01588537</v>
      </c>
      <c r="M63" s="18" t="n">
        <v>0</v>
      </c>
      <c r="N63" s="20" t="n">
        <v>0</v>
      </c>
      <c r="O63" s="18" t="n">
        <v>2.0139203</v>
      </c>
      <c r="P63" s="20" t="n">
        <v>0.82329621</v>
      </c>
      <c r="Q63" s="18" t="n">
        <v>7.00545252</v>
      </c>
      <c r="R63" s="20" t="n">
        <v>1.21472095</v>
      </c>
    </row>
    <row r="64" spans="1:18">
      <c r="A64" s="15" t="s">
        <v>488</v>
      </c>
      <c r="B64" s="17" t="n">
        <v>1844</v>
      </c>
      <c r="C64" s="18">
        <f>(1521.0/B64*100)</f>
        <v/>
      </c>
      <c r="D64" s="19" t="n">
        <v>323</v>
      </c>
      <c r="E64" s="18" t="n">
        <v>50.38827248</v>
      </c>
      <c r="F64" s="20" t="n">
        <v>2.63736577</v>
      </c>
      <c r="G64" s="18" t="n">
        <v>39.9747899</v>
      </c>
      <c r="H64" s="20" t="n">
        <v>2.78330652</v>
      </c>
      <c r="I64" s="18" t="s">
        <v>431</v>
      </c>
      <c r="J64" s="20" t="s">
        <v>431</v>
      </c>
      <c r="K64" s="18" t="n">
        <v>5.07736156</v>
      </c>
      <c r="L64" s="20" t="n">
        <v>1.11666192</v>
      </c>
      <c r="M64" s="18" t="n">
        <v>0</v>
      </c>
      <c r="N64" s="20" t="n">
        <v>0</v>
      </c>
      <c r="O64" s="18" t="n">
        <v>0.30197142</v>
      </c>
      <c r="P64" s="20" t="n">
        <v>0.30303231</v>
      </c>
      <c r="Q64" s="18" t="n">
        <v>4.25760465</v>
      </c>
      <c r="R64" s="20" t="n">
        <v>1.18489709</v>
      </c>
    </row>
    <row r="65" spans="1:18">
      <c r="A65" s="15" t="s">
        <v>489</v>
      </c>
      <c r="B65" s="17" t="n">
        <v>2691</v>
      </c>
      <c r="C65" s="18">
        <f>(2232.0/B65*100)</f>
        <v/>
      </c>
      <c r="D65" s="19" t="n">
        <v>459</v>
      </c>
      <c r="E65" s="18" t="n">
        <v>37.71957675</v>
      </c>
      <c r="F65" s="20" t="n">
        <v>2.54009837</v>
      </c>
      <c r="G65" s="18" t="n">
        <v>39.97509519</v>
      </c>
      <c r="H65" s="20" t="n">
        <v>2.43516754</v>
      </c>
      <c r="I65" s="18" t="s">
        <v>431</v>
      </c>
      <c r="J65" s="20" t="s">
        <v>431</v>
      </c>
      <c r="K65" s="18" t="n">
        <v>13.8442901</v>
      </c>
      <c r="L65" s="20" t="n">
        <v>1.44349689</v>
      </c>
      <c r="M65" s="18" t="n">
        <v>2.89946454</v>
      </c>
      <c r="N65" s="20" t="n">
        <v>0.75704565</v>
      </c>
      <c r="O65" s="18" t="n">
        <v>0</v>
      </c>
      <c r="P65" s="20" t="n">
        <v>0</v>
      </c>
      <c r="Q65" s="18" t="n">
        <v>5.56157341</v>
      </c>
      <c r="R65" s="20" t="n">
        <v>1.21215283</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55.45725611</v>
      </c>
      <c r="F69" s="20" t="n">
        <v>2.60540501</v>
      </c>
      <c r="G69" s="18" t="n">
        <v>43.66357155</v>
      </c>
      <c r="H69" s="20" t="n">
        <v>2.60150624</v>
      </c>
      <c r="I69" s="18" t="s">
        <v>431</v>
      </c>
      <c r="J69" s="20" t="s">
        <v>431</v>
      </c>
      <c r="K69" s="18" t="n">
        <v>0</v>
      </c>
      <c r="L69" s="20" t="n">
        <v>0</v>
      </c>
      <c r="M69" s="18" t="n">
        <v>0</v>
      </c>
      <c r="N69" s="20" t="n">
        <v>0</v>
      </c>
      <c r="O69" s="18" t="n">
        <v>0</v>
      </c>
      <c r="P69" s="20" t="n">
        <v>0</v>
      </c>
      <c r="Q69" s="18" t="n">
        <v>0.87917234</v>
      </c>
      <c r="R69" s="20" t="n">
        <v>0.54793479</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51.42633502</v>
      </c>
      <c r="F74" s="20" t="n">
        <v>2.71098995</v>
      </c>
      <c r="G74" s="18" t="n">
        <v>33.58193727</v>
      </c>
      <c r="H74" s="20" t="n">
        <v>2.53784044</v>
      </c>
      <c r="I74" s="18" t="s">
        <v>431</v>
      </c>
      <c r="J74" s="20" t="s">
        <v>431</v>
      </c>
      <c r="K74" s="18" t="n">
        <v>10.99775502</v>
      </c>
      <c r="L74" s="20" t="n">
        <v>1.36598194</v>
      </c>
      <c r="M74" s="18" t="n">
        <v>0</v>
      </c>
      <c r="N74" s="20" t="n">
        <v>0</v>
      </c>
      <c r="O74" s="18" t="n">
        <v>0</v>
      </c>
      <c r="P74" s="20" t="n">
        <v>0</v>
      </c>
      <c r="Q74" s="18" t="n">
        <v>3.99397269</v>
      </c>
      <c r="R74" s="20" t="n">
        <v>1.0107145</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49.85872084</v>
      </c>
      <c r="F78" s="20" t="n">
        <v>2.01176395</v>
      </c>
      <c r="G78" s="18" t="n">
        <v>50.14127916</v>
      </c>
      <c r="H78" s="20" t="n">
        <v>2.01176395</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(661.0/B79*100)</f>
        <v/>
      </c>
      <c r="D79" s="19" t="n">
        <v>126</v>
      </c>
      <c r="E79" s="18" t="n">
        <v>36.72729168</v>
      </c>
      <c r="F79" s="20" t="n">
        <v>4.81758867</v>
      </c>
      <c r="G79" s="18" t="n">
        <v>52.40713072</v>
      </c>
      <c r="H79" s="20" t="n">
        <v>6.0935266</v>
      </c>
      <c r="I79" s="18" t="s">
        <v>431</v>
      </c>
      <c r="J79" s="20" t="s">
        <v>431</v>
      </c>
      <c r="K79" s="18" t="n">
        <v>8.065934370000001</v>
      </c>
      <c r="L79" s="20" t="n">
        <v>2.62161333</v>
      </c>
      <c r="M79" s="18" t="n">
        <v>0</v>
      </c>
      <c r="N79" s="20" t="n">
        <v>0</v>
      </c>
      <c r="O79" s="18" t="n">
        <v>0</v>
      </c>
      <c r="P79" s="20" t="n">
        <v>0</v>
      </c>
      <c r="Q79" s="18" t="n">
        <v>2.79964323</v>
      </c>
      <c r="R79" s="20" t="n">
        <v>1.43153224</v>
      </c>
    </row>
    <row r="80" spans="1:18">
      <c r="A80" s="15" t="s">
        <v>504</v>
      </c>
      <c r="B80" s="17" t="n">
        <v>3798</v>
      </c>
      <c r="C80" s="18">
        <f>(3158.0/B80*100)</f>
        <v/>
      </c>
      <c r="D80" s="19" t="n">
        <v>640</v>
      </c>
      <c r="E80" s="18" t="n">
        <v>52.93892501</v>
      </c>
      <c r="F80" s="20" t="n">
        <v>2.37237069</v>
      </c>
      <c r="G80" s="18" t="n">
        <v>46.2626171</v>
      </c>
      <c r="H80" s="20" t="n">
        <v>2.43402383</v>
      </c>
      <c r="I80" s="18" t="s">
        <v>431</v>
      </c>
      <c r="J80" s="20" t="s">
        <v>431</v>
      </c>
      <c r="K80" s="18" t="n">
        <v>0.63580104</v>
      </c>
      <c r="L80" s="20" t="n">
        <v>0.26827075</v>
      </c>
      <c r="M80" s="18" t="n">
        <v>0</v>
      </c>
      <c r="N80" s="20" t="n">
        <v>0</v>
      </c>
      <c r="O80" s="18" t="n">
        <v>0</v>
      </c>
      <c r="P80" s="20" t="n">
        <v>0</v>
      </c>
      <c r="Q80" s="18" t="n">
        <v>0.16265685</v>
      </c>
      <c r="R80" s="20" t="n">
        <v>0.11067204</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(2107.0/B44*100)</f>
        <v/>
      </c>
      <c r="D44" s="19" t="n">
        <v>417</v>
      </c>
      <c r="E44" s="18" t="n">
        <v>79.48647013999999</v>
      </c>
      <c r="F44" s="20" t="n">
        <v>2.09411166</v>
      </c>
      <c r="G44" s="18" t="n">
        <v>7.66759716</v>
      </c>
      <c r="H44" s="20" t="n">
        <v>1.52568241</v>
      </c>
      <c r="I44" s="18" t="s">
        <v>431</v>
      </c>
      <c r="J44" s="20" t="s">
        <v>431</v>
      </c>
      <c r="K44" s="18" t="n">
        <v>12.65931792</v>
      </c>
      <c r="L44" s="20" t="n">
        <v>1.80735294</v>
      </c>
      <c r="M44" s="18" t="n">
        <v>0</v>
      </c>
      <c r="N44" s="20" t="n">
        <v>0</v>
      </c>
      <c r="O44" s="18" t="n">
        <v>0.18661478</v>
      </c>
      <c r="P44" s="20" t="n">
        <v>0.19394198</v>
      </c>
      <c r="Q44" s="18" t="n">
        <v>0</v>
      </c>
      <c r="R44" s="20" t="n">
        <v>0</v>
      </c>
    </row>
    <row r="45" spans="1:18">
      <c r="A45" s="15" t="s">
        <v>469</v>
      </c>
      <c r="B45" s="17" t="n">
        <v>2849</v>
      </c>
      <c r="C45" s="18">
        <f>(2379.0/B45*100)</f>
        <v/>
      </c>
      <c r="D45" s="19" t="n">
        <v>470</v>
      </c>
      <c r="E45" s="18" t="n">
        <v>80.14284691</v>
      </c>
      <c r="F45" s="20" t="n">
        <v>1.93899258</v>
      </c>
      <c r="G45" s="18" t="n">
        <v>3.67787349</v>
      </c>
      <c r="H45" s="20" t="n">
        <v>1.1770085</v>
      </c>
      <c r="I45" s="18" t="s">
        <v>431</v>
      </c>
      <c r="J45" s="20" t="s">
        <v>431</v>
      </c>
      <c r="K45" s="18" t="n">
        <v>15.36454434</v>
      </c>
      <c r="L45" s="20" t="n">
        <v>1.79875253</v>
      </c>
      <c r="M45" s="18" t="n">
        <v>0.14298852</v>
      </c>
      <c r="N45" s="20" t="n">
        <v>0.19646499</v>
      </c>
      <c r="O45" s="18" t="n">
        <v>0.67174674</v>
      </c>
      <c r="P45" s="20" t="n">
        <v>0.37152742</v>
      </c>
      <c r="Q45" s="18" t="n">
        <v>0</v>
      </c>
      <c r="R45" s="20" t="n">
        <v>0</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(2511.0/B49*100)</f>
        <v/>
      </c>
      <c r="D49" s="19" t="n">
        <v>507</v>
      </c>
      <c r="E49" s="18" t="n">
        <v>77.19876384</v>
      </c>
      <c r="F49" s="20" t="n">
        <v>2.75551622</v>
      </c>
      <c r="G49" s="18" t="n">
        <v>16.1123709</v>
      </c>
      <c r="H49" s="20" t="n">
        <v>1.96020652</v>
      </c>
      <c r="I49" s="18" t="s">
        <v>431</v>
      </c>
      <c r="J49" s="20" t="s">
        <v>431</v>
      </c>
      <c r="K49" s="18" t="n">
        <v>6.68886525</v>
      </c>
      <c r="L49" s="20" t="n">
        <v>1.87352723</v>
      </c>
      <c r="M49" s="18" t="n">
        <v>0</v>
      </c>
      <c r="N49" s="20" t="n">
        <v>0</v>
      </c>
      <c r="O49" s="18" t="n">
        <v>0</v>
      </c>
      <c r="P49" s="20" t="n">
        <v>0</v>
      </c>
      <c r="Q49" s="18" t="n">
        <v>0</v>
      </c>
      <c r="R49" s="20" t="n">
        <v>0</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(2296.0/B55*100)</f>
        <v/>
      </c>
      <c r="D55" s="19" t="n">
        <v>463</v>
      </c>
      <c r="E55" s="18" t="n">
        <v>81.48594819</v>
      </c>
      <c r="F55" s="20" t="n">
        <v>1.98927195</v>
      </c>
      <c r="G55" s="18" t="n">
        <v>8.103339419999999</v>
      </c>
      <c r="H55" s="20" t="n">
        <v>1.39607007</v>
      </c>
      <c r="I55" s="18" t="s">
        <v>431</v>
      </c>
      <c r="J55" s="20" t="s">
        <v>431</v>
      </c>
      <c r="K55" s="18" t="n">
        <v>10.41071239</v>
      </c>
      <c r="L55" s="20" t="n">
        <v>1.76375938</v>
      </c>
      <c r="M55" s="18" t="n">
        <v>0</v>
      </c>
      <c r="N55" s="20" t="n">
        <v>0</v>
      </c>
      <c r="O55" s="18" t="n">
        <v>0</v>
      </c>
      <c r="P55" s="20" t="n">
        <v>0</v>
      </c>
      <c r="Q55" s="18" t="n">
        <v>0</v>
      </c>
      <c r="R55" s="20" t="n">
        <v>0</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(2642.0/B57*100)</f>
        <v/>
      </c>
      <c r="D57" s="19" t="n">
        <v>528</v>
      </c>
      <c r="E57" s="18" t="n">
        <v>94.14079968</v>
      </c>
      <c r="F57" s="20" t="n">
        <v>1.05000547</v>
      </c>
      <c r="G57" s="18" t="n">
        <v>2.88284899</v>
      </c>
      <c r="H57" s="20" t="n">
        <v>0.64081864</v>
      </c>
      <c r="I57" s="18" t="s">
        <v>431</v>
      </c>
      <c r="J57" s="20" t="s">
        <v>431</v>
      </c>
      <c r="K57" s="18" t="n">
        <v>2.97635133</v>
      </c>
      <c r="L57" s="20" t="n">
        <v>0.91306357</v>
      </c>
      <c r="M57" s="18" t="n">
        <v>0</v>
      </c>
      <c r="N57" s="20" t="n">
        <v>0</v>
      </c>
      <c r="O57" s="18" t="n">
        <v>0</v>
      </c>
      <c r="P57" s="20" t="n">
        <v>0</v>
      </c>
      <c r="Q57" s="18" t="n">
        <v>0</v>
      </c>
      <c r="R57" s="20" t="n">
        <v>0</v>
      </c>
    </row>
    <row r="58" spans="1:18">
      <c r="A58" s="15" t="s">
        <v>482</v>
      </c>
      <c r="B58" s="17" t="n">
        <v>3530</v>
      </c>
      <c r="C58" s="18">
        <f>(2962.0/B58*100)</f>
        <v/>
      </c>
      <c r="D58" s="19" t="n">
        <v>568</v>
      </c>
      <c r="E58" s="18" t="n">
        <v>92.63365052</v>
      </c>
      <c r="F58" s="20" t="n">
        <v>1.04915721</v>
      </c>
      <c r="G58" s="18" t="n">
        <v>1.89291413</v>
      </c>
      <c r="H58" s="20" t="n">
        <v>0.64795684</v>
      </c>
      <c r="I58" s="18" t="s">
        <v>431</v>
      </c>
      <c r="J58" s="20" t="s">
        <v>431</v>
      </c>
      <c r="K58" s="18" t="n">
        <v>5.47343535</v>
      </c>
      <c r="L58" s="20" t="n">
        <v>1.05954935</v>
      </c>
      <c r="M58" s="18" t="n">
        <v>0</v>
      </c>
      <c r="N58" s="20" t="n">
        <v>0</v>
      </c>
      <c r="O58" s="18" t="n">
        <v>0</v>
      </c>
      <c r="P58" s="20" t="n">
        <v>0</v>
      </c>
      <c r="Q58" s="18" t="n">
        <v>0</v>
      </c>
      <c r="R58" s="20" t="n">
        <v>0</v>
      </c>
    </row>
    <row r="59" spans="1:18">
      <c r="A59" s="15" t="s">
        <v>483</v>
      </c>
      <c r="B59" s="17" t="n">
        <v>2548</v>
      </c>
      <c r="C59" s="18">
        <f>(2118.0/B59*100)</f>
        <v/>
      </c>
      <c r="D59" s="19" t="n">
        <v>430</v>
      </c>
      <c r="E59" s="18" t="n">
        <v>92.05071599999999</v>
      </c>
      <c r="F59" s="20" t="n">
        <v>1.56440344</v>
      </c>
      <c r="G59" s="18" t="n">
        <v>3.06023076</v>
      </c>
      <c r="H59" s="20" t="n">
        <v>0.87400685</v>
      </c>
      <c r="I59" s="18" t="s">
        <v>431</v>
      </c>
      <c r="J59" s="20" t="s">
        <v>431</v>
      </c>
      <c r="K59" s="18" t="n">
        <v>4.88905324</v>
      </c>
      <c r="L59" s="20" t="n">
        <v>1.18358501</v>
      </c>
      <c r="M59" s="18" t="n">
        <v>0</v>
      </c>
      <c r="N59" s="20" t="n">
        <v>0</v>
      </c>
      <c r="O59" s="18" t="n">
        <v>0</v>
      </c>
      <c r="P59" s="20" t="n">
        <v>0</v>
      </c>
      <c r="Q59" s="18" t="n">
        <v>0</v>
      </c>
      <c r="R59" s="20" t="n">
        <v>0</v>
      </c>
    </row>
    <row r="60" spans="1:18">
      <c r="A60" s="15" t="s">
        <v>484</v>
      </c>
      <c r="B60" s="17" t="n">
        <v>2095</v>
      </c>
      <c r="C60" s="18">
        <f>(1743.0/B60*100)</f>
        <v/>
      </c>
      <c r="D60" s="19" t="n">
        <v>352</v>
      </c>
      <c r="E60" s="18" t="n">
        <v>84.95183292</v>
      </c>
      <c r="F60" s="20" t="n">
        <v>2.07414465</v>
      </c>
      <c r="G60" s="18" t="n">
        <v>5.88702153</v>
      </c>
      <c r="H60" s="20" t="n">
        <v>1.13349271</v>
      </c>
      <c r="I60" s="18" t="s">
        <v>431</v>
      </c>
      <c r="J60" s="20" t="s">
        <v>431</v>
      </c>
      <c r="K60" s="18" t="n">
        <v>9.161145550000001</v>
      </c>
      <c r="L60" s="20" t="n">
        <v>1.72647718</v>
      </c>
      <c r="M60" s="18" t="n">
        <v>0</v>
      </c>
      <c r="N60" s="20" t="n">
        <v>0</v>
      </c>
      <c r="O60" s="18" t="n">
        <v>0</v>
      </c>
      <c r="P60" s="20" t="n">
        <v>0</v>
      </c>
      <c r="Q60" s="18" t="n">
        <v>0</v>
      </c>
      <c r="R60" s="20" t="n">
        <v>0</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(2340.0/B63*100)</f>
        <v/>
      </c>
      <c r="D63" s="19" t="n">
        <v>473</v>
      </c>
      <c r="E63" s="18" t="n">
        <v>79.84439948000001</v>
      </c>
      <c r="F63" s="20" t="n">
        <v>1.8654</v>
      </c>
      <c r="G63" s="18" t="n">
        <v>12.59114858</v>
      </c>
      <c r="H63" s="20" t="n">
        <v>1.73042065</v>
      </c>
      <c r="I63" s="18" t="s">
        <v>431</v>
      </c>
      <c r="J63" s="20" t="s">
        <v>431</v>
      </c>
      <c r="K63" s="18" t="n">
        <v>7.56445194</v>
      </c>
      <c r="L63" s="20" t="n">
        <v>1.15932353</v>
      </c>
      <c r="M63" s="18" t="n">
        <v>0</v>
      </c>
      <c r="N63" s="20" t="n">
        <v>0</v>
      </c>
      <c r="O63" s="18" t="n">
        <v>0</v>
      </c>
      <c r="P63" s="20" t="n">
        <v>0</v>
      </c>
      <c r="Q63" s="18" t="n">
        <v>0</v>
      </c>
      <c r="R63" s="20" t="n">
        <v>0</v>
      </c>
    </row>
    <row r="64" spans="1:18">
      <c r="A64" s="15" t="s">
        <v>488</v>
      </c>
      <c r="B64" s="17" t="n">
        <v>1844</v>
      </c>
      <c r="C64" s="18">
        <f>(1521.0/B64*100)</f>
        <v/>
      </c>
      <c r="D64" s="19" t="n">
        <v>323</v>
      </c>
      <c r="E64" s="18" t="n">
        <v>80.46499249999999</v>
      </c>
      <c r="F64" s="20" t="n">
        <v>2.21181266</v>
      </c>
      <c r="G64" s="18" t="n">
        <v>14.45764595</v>
      </c>
      <c r="H64" s="20" t="n">
        <v>1.91496454</v>
      </c>
      <c r="I64" s="18" t="s">
        <v>431</v>
      </c>
      <c r="J64" s="20" t="s">
        <v>431</v>
      </c>
      <c r="K64" s="18" t="n">
        <v>5.07736156</v>
      </c>
      <c r="L64" s="20" t="n">
        <v>1.11666192</v>
      </c>
      <c r="M64" s="18" t="n">
        <v>0</v>
      </c>
      <c r="N64" s="20" t="n">
        <v>0</v>
      </c>
      <c r="O64" s="18" t="n">
        <v>0</v>
      </c>
      <c r="P64" s="20" t="n">
        <v>0</v>
      </c>
      <c r="Q64" s="18" t="n">
        <v>0</v>
      </c>
      <c r="R64" s="20" t="n">
        <v>0</v>
      </c>
    </row>
    <row r="65" spans="1:18">
      <c r="A65" s="15" t="s">
        <v>489</v>
      </c>
      <c r="B65" s="17" t="n">
        <v>2691</v>
      </c>
      <c r="C65" s="18">
        <f>(2232.0/B65*100)</f>
        <v/>
      </c>
      <c r="D65" s="19" t="n">
        <v>459</v>
      </c>
      <c r="E65" s="18" t="n">
        <v>78.91828975</v>
      </c>
      <c r="F65" s="20" t="n">
        <v>1.85651518</v>
      </c>
      <c r="G65" s="18" t="n">
        <v>6.85398186</v>
      </c>
      <c r="H65" s="20" t="n">
        <v>1.42416877</v>
      </c>
      <c r="I65" s="18" t="s">
        <v>431</v>
      </c>
      <c r="J65" s="20" t="s">
        <v>431</v>
      </c>
      <c r="K65" s="18" t="n">
        <v>14.22772839</v>
      </c>
      <c r="L65" s="20" t="n">
        <v>1.4515896</v>
      </c>
      <c r="M65" s="18" t="n">
        <v>0</v>
      </c>
      <c r="N65" s="20" t="n">
        <v>0</v>
      </c>
      <c r="O65" s="18" t="n">
        <v>0</v>
      </c>
      <c r="P65" s="20" t="n">
        <v>0</v>
      </c>
      <c r="Q65" s="18" t="n">
        <v>0</v>
      </c>
      <c r="R65" s="20" t="n">
        <v>0</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(1995.0/B69*100)</f>
        <v/>
      </c>
      <c r="D69" s="19" t="n">
        <v>415</v>
      </c>
      <c r="E69" s="18" t="n">
        <v>91.01916222</v>
      </c>
      <c r="F69" s="20" t="n">
        <v>1.48370996</v>
      </c>
      <c r="G69" s="18" t="n">
        <v>8.98083778</v>
      </c>
      <c r="H69" s="20" t="n">
        <v>1.48370996</v>
      </c>
      <c r="I69" s="18" t="s">
        <v>431</v>
      </c>
      <c r="J69" s="20" t="s">
        <v>431</v>
      </c>
      <c r="K69" s="18" t="n">
        <v>0</v>
      </c>
      <c r="L69" s="20" t="n">
        <v>0</v>
      </c>
      <c r="M69" s="18" t="n">
        <v>0</v>
      </c>
      <c r="N69" s="20" t="n">
        <v>0</v>
      </c>
      <c r="O69" s="18" t="n">
        <v>0</v>
      </c>
      <c r="P69" s="20" t="n">
        <v>0</v>
      </c>
      <c r="Q69" s="18" t="n">
        <v>0</v>
      </c>
      <c r="R69" s="20" t="n">
        <v>0</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(1848.0/B74*100)</f>
        <v/>
      </c>
      <c r="D74" s="19" t="n">
        <v>391</v>
      </c>
      <c r="E74" s="18" t="n">
        <v>77.58338421000001</v>
      </c>
      <c r="F74" s="20" t="n">
        <v>2.04465126</v>
      </c>
      <c r="G74" s="18" t="n">
        <v>9.98848286</v>
      </c>
      <c r="H74" s="20" t="n">
        <v>1.58771835</v>
      </c>
      <c r="I74" s="18" t="s">
        <v>431</v>
      </c>
      <c r="J74" s="20" t="s">
        <v>431</v>
      </c>
      <c r="K74" s="18" t="n">
        <v>12.42813293</v>
      </c>
      <c r="L74" s="20" t="n">
        <v>1.43624422</v>
      </c>
      <c r="M74" s="18" t="n">
        <v>0</v>
      </c>
      <c r="N74" s="20" t="n">
        <v>0</v>
      </c>
      <c r="O74" s="18" t="n">
        <v>0</v>
      </c>
      <c r="P74" s="20" t="n">
        <v>0</v>
      </c>
      <c r="Q74" s="18" t="n">
        <v>0</v>
      </c>
      <c r="R74" s="20" t="n">
        <v>0</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(2306.0/B78*100)</f>
        <v/>
      </c>
      <c r="D78" s="19" t="n">
        <v>480</v>
      </c>
      <c r="E78" s="18" t="n">
        <v>56.16208873</v>
      </c>
      <c r="F78" s="20" t="n">
        <v>2.23426082</v>
      </c>
      <c r="G78" s="18" t="n">
        <v>43.83791127</v>
      </c>
      <c r="H78" s="20" t="n">
        <v>2.23426082</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(661.0/B79*100)</f>
        <v/>
      </c>
      <c r="D79" s="19" t="n">
        <v>126</v>
      </c>
      <c r="E79" s="18" t="n">
        <v>72.29735085</v>
      </c>
      <c r="F79" s="20" t="n">
        <v>3.89306944</v>
      </c>
      <c r="G79" s="18" t="n">
        <v>19.63671478</v>
      </c>
      <c r="H79" s="20" t="n">
        <v>3.53933329</v>
      </c>
      <c r="I79" s="18" t="s">
        <v>431</v>
      </c>
      <c r="J79" s="20" t="s">
        <v>431</v>
      </c>
      <c r="K79" s="18" t="n">
        <v>8.065934370000001</v>
      </c>
      <c r="L79" s="20" t="n">
        <v>2.62161333</v>
      </c>
      <c r="M79" s="18" t="n">
        <v>0</v>
      </c>
      <c r="N79" s="20" t="n">
        <v>0</v>
      </c>
      <c r="O79" s="18" t="n">
        <v>0</v>
      </c>
      <c r="P79" s="20" t="n">
        <v>0</v>
      </c>
      <c r="Q79" s="18" t="n">
        <v>0</v>
      </c>
      <c r="R79" s="20" t="n">
        <v>0</v>
      </c>
    </row>
    <row r="80" spans="1:18">
      <c r="A80" s="15" t="s">
        <v>504</v>
      </c>
      <c r="B80" s="17" t="n">
        <v>3798</v>
      </c>
      <c r="C80" s="18">
        <f>(3158.0/B80*100)</f>
        <v/>
      </c>
      <c r="D80" s="19" t="n">
        <v>640</v>
      </c>
      <c r="E80" s="18" t="n">
        <v>86.13125164</v>
      </c>
      <c r="F80" s="20" t="n">
        <v>1.81297614</v>
      </c>
      <c r="G80" s="18" t="n">
        <v>13.23294732</v>
      </c>
      <c r="H80" s="20" t="n">
        <v>1.78243201</v>
      </c>
      <c r="I80" s="18" t="s">
        <v>431</v>
      </c>
      <c r="J80" s="20" t="s">
        <v>431</v>
      </c>
      <c r="K80" s="18" t="n">
        <v>0.63580104</v>
      </c>
      <c r="L80" s="20" t="n">
        <v>0.26827075</v>
      </c>
      <c r="M80" s="18" t="n">
        <v>0</v>
      </c>
      <c r="N80" s="20" t="n">
        <v>0</v>
      </c>
      <c r="O80" s="18" t="n">
        <v>0</v>
      </c>
      <c r="P80" s="20" t="n">
        <v>0</v>
      </c>
      <c r="Q80" s="18" t="n">
        <v>0</v>
      </c>
      <c r="R80" s="20" t="n">
        <v>0</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700</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45.69470161</v>
      </c>
      <c r="F55" s="20" t="n">
        <v>2.34130365</v>
      </c>
      <c r="G55" s="18" t="n">
        <v>44.67445204</v>
      </c>
      <c r="H55" s="20" t="n">
        <v>2.5637619</v>
      </c>
      <c r="I55" s="18" t="s">
        <v>431</v>
      </c>
      <c r="J55" s="20" t="s">
        <v>431</v>
      </c>
      <c r="K55" s="18" t="n">
        <v>1.35017616</v>
      </c>
      <c r="L55" s="20" t="n">
        <v>0.57872785</v>
      </c>
      <c r="M55" s="18" t="n">
        <v>0</v>
      </c>
      <c r="N55" s="20" t="n">
        <v>0</v>
      </c>
      <c r="O55" s="18" t="n">
        <v>0.44861636</v>
      </c>
      <c r="P55" s="20" t="n">
        <v>0.31806624</v>
      </c>
      <c r="Q55" s="18" t="n">
        <v>7.83205383</v>
      </c>
      <c r="R55" s="20" t="n">
        <v>1.37468557</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82.77251867</v>
      </c>
      <c r="F57" s="20" t="n">
        <v>1.91824337</v>
      </c>
      <c r="G57" s="18" t="n">
        <v>14.57670184</v>
      </c>
      <c r="H57" s="20" t="n">
        <v>1.71759479</v>
      </c>
      <c r="I57" s="18" t="s">
        <v>431</v>
      </c>
      <c r="J57" s="20" t="s">
        <v>431</v>
      </c>
      <c r="K57" s="18" t="n">
        <v>0.55206012</v>
      </c>
      <c r="L57" s="20" t="n">
        <v>0.39437725</v>
      </c>
      <c r="M57" s="18" t="n">
        <v>0</v>
      </c>
      <c r="N57" s="20" t="n">
        <v>0</v>
      </c>
      <c r="O57" s="18" t="n">
        <v>0</v>
      </c>
      <c r="P57" s="20" t="n">
        <v>0</v>
      </c>
      <c r="Q57" s="18" t="n">
        <v>2.09871937</v>
      </c>
      <c r="R57" s="20" t="n">
        <v>0.5862997599999999</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49.44381605</v>
      </c>
      <c r="F64" s="20" t="n">
        <v>2.81594572</v>
      </c>
      <c r="G64" s="18" t="n">
        <v>43.49522699</v>
      </c>
      <c r="H64" s="20" t="n">
        <v>2.75818976</v>
      </c>
      <c r="I64" s="18" t="s">
        <v>431</v>
      </c>
      <c r="J64" s="20" t="s">
        <v>431</v>
      </c>
      <c r="K64" s="18" t="n">
        <v>3.59313984</v>
      </c>
      <c r="L64" s="20" t="n">
        <v>1.06091638</v>
      </c>
      <c r="M64" s="18" t="n">
        <v>0</v>
      </c>
      <c r="N64" s="20" t="n">
        <v>0</v>
      </c>
      <c r="O64" s="18" t="n">
        <v>0.26257696</v>
      </c>
      <c r="P64" s="20" t="n">
        <v>0.26266316</v>
      </c>
      <c r="Q64" s="18" t="n">
        <v>3.20524015</v>
      </c>
      <c r="R64" s="20" t="n">
        <v>0.91104243</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31.0387985</v>
      </c>
      <c r="F55" s="20" t="n">
        <v>2.15958481</v>
      </c>
      <c r="G55" s="18" t="n">
        <v>53.56538793</v>
      </c>
      <c r="H55" s="20" t="n">
        <v>2.31956234</v>
      </c>
      <c r="I55" s="18" t="s">
        <v>431</v>
      </c>
      <c r="J55" s="20" t="s">
        <v>431</v>
      </c>
      <c r="K55" s="18" t="n">
        <v>1.35017616</v>
      </c>
      <c r="L55" s="20" t="n">
        <v>0.57872785</v>
      </c>
      <c r="M55" s="18" t="n">
        <v>0</v>
      </c>
      <c r="N55" s="20" t="n">
        <v>0</v>
      </c>
      <c r="O55" s="18" t="n">
        <v>0.17204315</v>
      </c>
      <c r="P55" s="20" t="n">
        <v>0.16865671</v>
      </c>
      <c r="Q55" s="18" t="n">
        <v>13.87359426</v>
      </c>
      <c r="R55" s="20" t="n">
        <v>1.83923908</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31.76482283</v>
      </c>
      <c r="F57" s="20" t="n">
        <v>2.49839751</v>
      </c>
      <c r="G57" s="18" t="n">
        <v>65.62589134</v>
      </c>
      <c r="H57" s="20" t="n">
        <v>2.57261961</v>
      </c>
      <c r="I57" s="18" t="s">
        <v>431</v>
      </c>
      <c r="J57" s="20" t="s">
        <v>431</v>
      </c>
      <c r="K57" s="18" t="n">
        <v>0.6369146</v>
      </c>
      <c r="L57" s="20" t="n">
        <v>0.40270754</v>
      </c>
      <c r="M57" s="18" t="n">
        <v>0</v>
      </c>
      <c r="N57" s="20" t="n">
        <v>0</v>
      </c>
      <c r="O57" s="18" t="n">
        <v>0</v>
      </c>
      <c r="P57" s="20" t="n">
        <v>0</v>
      </c>
      <c r="Q57" s="18" t="n">
        <v>1.97237123</v>
      </c>
      <c r="R57" s="20" t="n">
        <v>0.81655059</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20.71890262</v>
      </c>
      <c r="F64" s="20" t="n">
        <v>2.75676203</v>
      </c>
      <c r="G64" s="18" t="n">
        <v>64.46593566999999</v>
      </c>
      <c r="H64" s="20" t="n">
        <v>3.13847665</v>
      </c>
      <c r="I64" s="18" t="s">
        <v>431</v>
      </c>
      <c r="J64" s="20" t="s">
        <v>431</v>
      </c>
      <c r="K64" s="18" t="n">
        <v>3.59313984</v>
      </c>
      <c r="L64" s="20" t="n">
        <v>1.06091638</v>
      </c>
      <c r="M64" s="18" t="n">
        <v>0</v>
      </c>
      <c r="N64" s="20" t="n">
        <v>0</v>
      </c>
      <c r="O64" s="18" t="n">
        <v>0</v>
      </c>
      <c r="P64" s="20" t="n">
        <v>0</v>
      </c>
      <c r="Q64" s="18" t="n">
        <v>11.22202187</v>
      </c>
      <c r="R64" s="20" t="n">
        <v>2.03672979</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32.75856998</v>
      </c>
      <c r="F55" s="20" t="n">
        <v>2.20107778</v>
      </c>
      <c r="G55" s="18" t="n">
        <v>51.35887241</v>
      </c>
      <c r="H55" s="20" t="n">
        <v>2.38296447</v>
      </c>
      <c r="I55" s="18" t="s">
        <v>431</v>
      </c>
      <c r="J55" s="20" t="s">
        <v>431</v>
      </c>
      <c r="K55" s="18" t="n">
        <v>1.35017616</v>
      </c>
      <c r="L55" s="20" t="n">
        <v>0.57872785</v>
      </c>
      <c r="M55" s="18" t="n">
        <v>0</v>
      </c>
      <c r="N55" s="20" t="n">
        <v>0</v>
      </c>
      <c r="O55" s="18" t="n">
        <v>0.17204315</v>
      </c>
      <c r="P55" s="20" t="n">
        <v>0.16865671</v>
      </c>
      <c r="Q55" s="18" t="n">
        <v>14.3603383</v>
      </c>
      <c r="R55" s="20" t="n">
        <v>1.66323683</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35.54523235</v>
      </c>
      <c r="F57" s="20" t="n">
        <v>2.51918085</v>
      </c>
      <c r="G57" s="18" t="n">
        <v>62.37414885</v>
      </c>
      <c r="H57" s="20" t="n">
        <v>2.57012537</v>
      </c>
      <c r="I57" s="18" t="s">
        <v>431</v>
      </c>
      <c r="J57" s="20" t="s">
        <v>431</v>
      </c>
      <c r="K57" s="18" t="n">
        <v>0.6369146</v>
      </c>
      <c r="L57" s="20" t="n">
        <v>0.40270754</v>
      </c>
      <c r="M57" s="18" t="n">
        <v>0</v>
      </c>
      <c r="N57" s="20" t="n">
        <v>0</v>
      </c>
      <c r="O57" s="18" t="n">
        <v>0</v>
      </c>
      <c r="P57" s="20" t="n">
        <v>0</v>
      </c>
      <c r="Q57" s="18" t="n">
        <v>1.4437042</v>
      </c>
      <c r="R57" s="20" t="n">
        <v>0.60494303</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26.5702962</v>
      </c>
      <c r="F64" s="20" t="n">
        <v>2.49388442</v>
      </c>
      <c r="G64" s="18" t="n">
        <v>56.43897385</v>
      </c>
      <c r="H64" s="20" t="n">
        <v>2.88815785</v>
      </c>
      <c r="I64" s="18" t="s">
        <v>431</v>
      </c>
      <c r="J64" s="20" t="s">
        <v>431</v>
      </c>
      <c r="K64" s="18" t="n">
        <v>3.59313984</v>
      </c>
      <c r="L64" s="20" t="n">
        <v>1.06091638</v>
      </c>
      <c r="M64" s="18" t="n">
        <v>0</v>
      </c>
      <c r="N64" s="20" t="n">
        <v>0</v>
      </c>
      <c r="O64" s="18" t="n">
        <v>0</v>
      </c>
      <c r="P64" s="20" t="n">
        <v>0</v>
      </c>
      <c r="Q64" s="18" t="n">
        <v>13.39759012</v>
      </c>
      <c r="R64" s="20" t="n">
        <v>2.13654473</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28.60419273</v>
      </c>
      <c r="F55" s="20" t="n">
        <v>2.31590199</v>
      </c>
      <c r="G55" s="18" t="n">
        <v>67.25903781</v>
      </c>
      <c r="H55" s="20" t="n">
        <v>2.41970662</v>
      </c>
      <c r="I55" s="18" t="s">
        <v>431</v>
      </c>
      <c r="J55" s="20" t="s">
        <v>431</v>
      </c>
      <c r="K55" s="18" t="n">
        <v>1.35017616</v>
      </c>
      <c r="L55" s="20" t="n">
        <v>0.57872785</v>
      </c>
      <c r="M55" s="18" t="n">
        <v>0</v>
      </c>
      <c r="N55" s="20" t="n">
        <v>0</v>
      </c>
      <c r="O55" s="18" t="n">
        <v>0</v>
      </c>
      <c r="P55" s="20" t="n">
        <v>0</v>
      </c>
      <c r="Q55" s="18" t="n">
        <v>2.7865933</v>
      </c>
      <c r="R55" s="20" t="n">
        <v>0.92961606</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33.94371844</v>
      </c>
      <c r="F57" s="20" t="n">
        <v>2.21242848</v>
      </c>
      <c r="G57" s="18" t="n">
        <v>63.26571158</v>
      </c>
      <c r="H57" s="20" t="n">
        <v>2.23128821</v>
      </c>
      <c r="I57" s="18" t="s">
        <v>431</v>
      </c>
      <c r="J57" s="20" t="s">
        <v>431</v>
      </c>
      <c r="K57" s="18" t="n">
        <v>0.6369146</v>
      </c>
      <c r="L57" s="20" t="n">
        <v>0.40270754</v>
      </c>
      <c r="M57" s="18" t="n">
        <v>0</v>
      </c>
      <c r="N57" s="20" t="n">
        <v>0</v>
      </c>
      <c r="O57" s="18" t="n">
        <v>0</v>
      </c>
      <c r="P57" s="20" t="n">
        <v>0</v>
      </c>
      <c r="Q57" s="18" t="n">
        <v>2.15365538</v>
      </c>
      <c r="R57" s="20" t="n">
        <v>0.77492158</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39.33686137</v>
      </c>
      <c r="F64" s="20" t="n">
        <v>2.78582558</v>
      </c>
      <c r="G64" s="18" t="n">
        <v>53.00934855</v>
      </c>
      <c r="H64" s="20" t="n">
        <v>2.99669788</v>
      </c>
      <c r="I64" s="18" t="s">
        <v>431</v>
      </c>
      <c r="J64" s="20" t="s">
        <v>431</v>
      </c>
      <c r="K64" s="18" t="n">
        <v>3.59313984</v>
      </c>
      <c r="L64" s="20" t="n">
        <v>1.06091638</v>
      </c>
      <c r="M64" s="18" t="n">
        <v>0</v>
      </c>
      <c r="N64" s="20" t="n">
        <v>0</v>
      </c>
      <c r="O64" s="18" t="n">
        <v>0</v>
      </c>
      <c r="P64" s="20" t="n">
        <v>0</v>
      </c>
      <c r="Q64" s="18" t="n">
        <v>4.06065024</v>
      </c>
      <c r="R64" s="20" t="n">
        <v>1.13217307</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16.19448237</v>
      </c>
      <c r="F55" s="20" t="n">
        <v>1.72847797</v>
      </c>
      <c r="G55" s="18" t="n">
        <v>57.38717775</v>
      </c>
      <c r="H55" s="20" t="n">
        <v>2.32749744</v>
      </c>
      <c r="I55" s="18" t="s">
        <v>431</v>
      </c>
      <c r="J55" s="20" t="s">
        <v>431</v>
      </c>
      <c r="K55" s="18" t="n">
        <v>2.25472909</v>
      </c>
      <c r="L55" s="20" t="n">
        <v>0.69833142</v>
      </c>
      <c r="M55" s="18" t="n">
        <v>0</v>
      </c>
      <c r="N55" s="20" t="n">
        <v>0</v>
      </c>
      <c r="O55" s="18" t="n">
        <v>0.17204315</v>
      </c>
      <c r="P55" s="20" t="n">
        <v>0.16865671</v>
      </c>
      <c r="Q55" s="18" t="n">
        <v>23.99156764</v>
      </c>
      <c r="R55" s="20" t="n">
        <v>2.10996946</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25.55580779</v>
      </c>
      <c r="F57" s="20" t="n">
        <v>2.28394536</v>
      </c>
      <c r="G57" s="18" t="n">
        <v>68.27551234000001</v>
      </c>
      <c r="H57" s="20" t="n">
        <v>2.34212548</v>
      </c>
      <c r="I57" s="18" t="s">
        <v>431</v>
      </c>
      <c r="J57" s="20" t="s">
        <v>431</v>
      </c>
      <c r="K57" s="18" t="n">
        <v>1.19314034</v>
      </c>
      <c r="L57" s="20" t="n">
        <v>0.73451073</v>
      </c>
      <c r="M57" s="18" t="n">
        <v>0</v>
      </c>
      <c r="N57" s="20" t="n">
        <v>0</v>
      </c>
      <c r="O57" s="18" t="n">
        <v>0</v>
      </c>
      <c r="P57" s="20" t="n">
        <v>0</v>
      </c>
      <c r="Q57" s="18" t="n">
        <v>4.97553953</v>
      </c>
      <c r="R57" s="20" t="n">
        <v>0.97978475</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18.46658576</v>
      </c>
      <c r="F64" s="20" t="n">
        <v>2.18191104</v>
      </c>
      <c r="G64" s="18" t="n">
        <v>54.3049479</v>
      </c>
      <c r="H64" s="20" t="n">
        <v>2.96832341</v>
      </c>
      <c r="I64" s="18" t="s">
        <v>431</v>
      </c>
      <c r="J64" s="20" t="s">
        <v>431</v>
      </c>
      <c r="K64" s="18" t="n">
        <v>5.11955746</v>
      </c>
      <c r="L64" s="20" t="n">
        <v>1.28562093</v>
      </c>
      <c r="M64" s="18" t="n">
        <v>0</v>
      </c>
      <c r="N64" s="20" t="n">
        <v>0</v>
      </c>
      <c r="O64" s="18" t="n">
        <v>0</v>
      </c>
      <c r="P64" s="20" t="n">
        <v>0</v>
      </c>
      <c r="Q64" s="18" t="n">
        <v>22.10890889</v>
      </c>
      <c r="R64" s="20" t="n">
        <v>2.27352448</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16.07168251</v>
      </c>
      <c r="F55" s="20" t="n">
        <v>1.78170773</v>
      </c>
      <c r="G55" s="18" t="n">
        <v>45.80740257</v>
      </c>
      <c r="H55" s="20" t="n">
        <v>2.22723087</v>
      </c>
      <c r="I55" s="18" t="s">
        <v>431</v>
      </c>
      <c r="J55" s="20" t="s">
        <v>431</v>
      </c>
      <c r="K55" s="18" t="n">
        <v>2.25472909</v>
      </c>
      <c r="L55" s="20" t="n">
        <v>0.69833142</v>
      </c>
      <c r="M55" s="18" t="n">
        <v>0</v>
      </c>
      <c r="N55" s="20" t="n">
        <v>0</v>
      </c>
      <c r="O55" s="18" t="n">
        <v>0.16984207</v>
      </c>
      <c r="P55" s="20" t="n">
        <v>0.16888447</v>
      </c>
      <c r="Q55" s="18" t="n">
        <v>35.69634376</v>
      </c>
      <c r="R55" s="20" t="n">
        <v>2.05210694</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51.05243754</v>
      </c>
      <c r="F57" s="20" t="n">
        <v>2.48392845</v>
      </c>
      <c r="G57" s="18" t="n">
        <v>38.86758715</v>
      </c>
      <c r="H57" s="20" t="n">
        <v>2.55211147</v>
      </c>
      <c r="I57" s="18" t="s">
        <v>431</v>
      </c>
      <c r="J57" s="20" t="s">
        <v>431</v>
      </c>
      <c r="K57" s="18" t="n">
        <v>1.19314034</v>
      </c>
      <c r="L57" s="20" t="n">
        <v>0.73451073</v>
      </c>
      <c r="M57" s="18" t="n">
        <v>0</v>
      </c>
      <c r="N57" s="20" t="n">
        <v>0</v>
      </c>
      <c r="O57" s="18" t="n">
        <v>0</v>
      </c>
      <c r="P57" s="20" t="n">
        <v>0</v>
      </c>
      <c r="Q57" s="18" t="n">
        <v>8.886834970000001</v>
      </c>
      <c r="R57" s="20" t="n">
        <v>1.48582725</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15.29805124</v>
      </c>
      <c r="F64" s="20" t="n">
        <v>2.0111961</v>
      </c>
      <c r="G64" s="18" t="n">
        <v>48.81402785</v>
      </c>
      <c r="H64" s="20" t="n">
        <v>2.94412869</v>
      </c>
      <c r="I64" s="18" t="s">
        <v>431</v>
      </c>
      <c r="J64" s="20" t="s">
        <v>431</v>
      </c>
      <c r="K64" s="18" t="n">
        <v>5.460041</v>
      </c>
      <c r="L64" s="20" t="n">
        <v>1.40717595</v>
      </c>
      <c r="M64" s="18" t="n">
        <v>0</v>
      </c>
      <c r="N64" s="20" t="n">
        <v>0</v>
      </c>
      <c r="O64" s="18" t="n">
        <v>0</v>
      </c>
      <c r="P64" s="20" t="n">
        <v>0</v>
      </c>
      <c r="Q64" s="18" t="n">
        <v>30.42787992</v>
      </c>
      <c r="R64" s="20" t="n">
        <v>2.66653703</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38.91489319</v>
      </c>
      <c r="F55" s="20" t="n">
        <v>2.4891374</v>
      </c>
      <c r="G55" s="18" t="n">
        <v>17.19273956</v>
      </c>
      <c r="H55" s="20" t="n">
        <v>2.12557683</v>
      </c>
      <c r="I55" s="18" t="s">
        <v>431</v>
      </c>
      <c r="J55" s="20" t="s">
        <v>431</v>
      </c>
      <c r="K55" s="18" t="n">
        <v>2.79880433</v>
      </c>
      <c r="L55" s="20" t="n">
        <v>0.8084658300000001</v>
      </c>
      <c r="M55" s="18" t="n">
        <v>0</v>
      </c>
      <c r="N55" s="20" t="n">
        <v>0</v>
      </c>
      <c r="O55" s="18" t="n">
        <v>0.36428667</v>
      </c>
      <c r="P55" s="20" t="n">
        <v>0.25611035</v>
      </c>
      <c r="Q55" s="18" t="n">
        <v>40.72927626</v>
      </c>
      <c r="R55" s="20" t="n">
        <v>2.64539164</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68.41491734</v>
      </c>
      <c r="F57" s="20" t="n">
        <v>2.03282867</v>
      </c>
      <c r="G57" s="18" t="n">
        <v>18.78559676</v>
      </c>
      <c r="H57" s="20" t="n">
        <v>1.75729887</v>
      </c>
      <c r="I57" s="18" t="s">
        <v>431</v>
      </c>
      <c r="J57" s="20" t="s">
        <v>431</v>
      </c>
      <c r="K57" s="18" t="n">
        <v>1.19314034</v>
      </c>
      <c r="L57" s="20" t="n">
        <v>0.73451073</v>
      </c>
      <c r="M57" s="18" t="n">
        <v>0</v>
      </c>
      <c r="N57" s="20" t="n">
        <v>0</v>
      </c>
      <c r="O57" s="18" t="n">
        <v>0</v>
      </c>
      <c r="P57" s="20" t="n">
        <v>0</v>
      </c>
      <c r="Q57" s="18" t="n">
        <v>11.60634557</v>
      </c>
      <c r="R57" s="20" t="n">
        <v>1.55296023</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48.53926207</v>
      </c>
      <c r="F64" s="20" t="n">
        <v>3.20338182</v>
      </c>
      <c r="G64" s="18" t="n">
        <v>17.10665243</v>
      </c>
      <c r="H64" s="20" t="n">
        <v>1.95867253</v>
      </c>
      <c r="I64" s="18" t="s">
        <v>431</v>
      </c>
      <c r="J64" s="20" t="s">
        <v>431</v>
      </c>
      <c r="K64" s="18" t="n">
        <v>5.460041</v>
      </c>
      <c r="L64" s="20" t="n">
        <v>1.40717595</v>
      </c>
      <c r="M64" s="18" t="n">
        <v>0</v>
      </c>
      <c r="N64" s="20" t="n">
        <v>0</v>
      </c>
      <c r="O64" s="18" t="n">
        <v>0</v>
      </c>
      <c r="P64" s="20" t="n">
        <v>0</v>
      </c>
      <c r="Q64" s="18" t="n">
        <v>28.8940445</v>
      </c>
      <c r="R64" s="20" t="n">
        <v>2.66424508</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28.4213759</v>
      </c>
      <c r="F55" s="20" t="n">
        <v>2.16474158</v>
      </c>
      <c r="G55" s="18" t="n">
        <v>10.51503064</v>
      </c>
      <c r="H55" s="20" t="n">
        <v>1.76280024</v>
      </c>
      <c r="I55" s="18" t="s">
        <v>431</v>
      </c>
      <c r="J55" s="20" t="s">
        <v>431</v>
      </c>
      <c r="K55" s="18" t="n">
        <v>2.99400556</v>
      </c>
      <c r="L55" s="20" t="n">
        <v>0.83495801</v>
      </c>
      <c r="M55" s="18" t="n">
        <v>0</v>
      </c>
      <c r="N55" s="20" t="n">
        <v>0</v>
      </c>
      <c r="O55" s="18" t="n">
        <v>0.26537801</v>
      </c>
      <c r="P55" s="20" t="n">
        <v>0.31674461</v>
      </c>
      <c r="Q55" s="18" t="n">
        <v>57.80420988</v>
      </c>
      <c r="R55" s="20" t="n">
        <v>2.93962067</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55.62725832</v>
      </c>
      <c r="F57" s="20" t="n">
        <v>2.63768242</v>
      </c>
      <c r="G57" s="18" t="n">
        <v>26.94015946</v>
      </c>
      <c r="H57" s="20" t="n">
        <v>2.25554747</v>
      </c>
      <c r="I57" s="18" t="s">
        <v>431</v>
      </c>
      <c r="J57" s="20" t="s">
        <v>431</v>
      </c>
      <c r="K57" s="18" t="n">
        <v>1.19314034</v>
      </c>
      <c r="L57" s="20" t="n">
        <v>0.73451073</v>
      </c>
      <c r="M57" s="18" t="n">
        <v>0</v>
      </c>
      <c r="N57" s="20" t="n">
        <v>0</v>
      </c>
      <c r="O57" s="18" t="n">
        <v>0</v>
      </c>
      <c r="P57" s="20" t="n">
        <v>0</v>
      </c>
      <c r="Q57" s="18" t="n">
        <v>16.23944187</v>
      </c>
      <c r="R57" s="20" t="n">
        <v>2.04077212</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23.67944469</v>
      </c>
      <c r="F64" s="20" t="n">
        <v>2.4957316</v>
      </c>
      <c r="G64" s="18" t="n">
        <v>15.99406398</v>
      </c>
      <c r="H64" s="20" t="n">
        <v>2.26676933</v>
      </c>
      <c r="I64" s="18" t="s">
        <v>431</v>
      </c>
      <c r="J64" s="20" t="s">
        <v>431</v>
      </c>
      <c r="K64" s="18" t="n">
        <v>5.460041</v>
      </c>
      <c r="L64" s="20" t="n">
        <v>1.40717595</v>
      </c>
      <c r="M64" s="18" t="n">
        <v>0</v>
      </c>
      <c r="N64" s="20" t="n">
        <v>0</v>
      </c>
      <c r="O64" s="18" t="n">
        <v>0</v>
      </c>
      <c r="P64" s="20" t="n">
        <v>0</v>
      </c>
      <c r="Q64" s="18" t="n">
        <v>54.86645034</v>
      </c>
      <c r="R64" s="20" t="n">
        <v>2.96898125</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59.77149436</v>
      </c>
      <c r="F55" s="20" t="n">
        <v>2.31661781</v>
      </c>
      <c r="G55" s="18" t="n">
        <v>29.31198668</v>
      </c>
      <c r="H55" s="20" t="n">
        <v>2.20240345</v>
      </c>
      <c r="I55" s="18" t="s">
        <v>431</v>
      </c>
      <c r="J55" s="20" t="s">
        <v>431</v>
      </c>
      <c r="K55" s="18" t="n">
        <v>3.17070894</v>
      </c>
      <c r="L55" s="20" t="n">
        <v>0.85229143</v>
      </c>
      <c r="M55" s="18" t="n">
        <v>0</v>
      </c>
      <c r="N55" s="20" t="n">
        <v>0</v>
      </c>
      <c r="O55" s="18" t="n">
        <v>1.27436269</v>
      </c>
      <c r="P55" s="20" t="n">
        <v>0.54254557</v>
      </c>
      <c r="Q55" s="18" t="n">
        <v>6.47144732</v>
      </c>
      <c r="R55" s="20" t="n">
        <v>1.08824463</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90.9669435</v>
      </c>
      <c r="F57" s="20" t="n">
        <v>1.33963866</v>
      </c>
      <c r="G57" s="18" t="n">
        <v>5.6851286</v>
      </c>
      <c r="H57" s="20" t="n">
        <v>1.20329138</v>
      </c>
      <c r="I57" s="18" t="s">
        <v>431</v>
      </c>
      <c r="J57" s="20" t="s">
        <v>431</v>
      </c>
      <c r="K57" s="18" t="n">
        <v>1.19314034</v>
      </c>
      <c r="L57" s="20" t="n">
        <v>0.73451073</v>
      </c>
      <c r="M57" s="18" t="n">
        <v>0</v>
      </c>
      <c r="N57" s="20" t="n">
        <v>0</v>
      </c>
      <c r="O57" s="18" t="n">
        <v>0</v>
      </c>
      <c r="P57" s="20" t="n">
        <v>0</v>
      </c>
      <c r="Q57" s="18" t="n">
        <v>2.15478756</v>
      </c>
      <c r="R57" s="20" t="n">
        <v>0.7192216299999999</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67.17415965000001</v>
      </c>
      <c r="F64" s="20" t="n">
        <v>2.46737867</v>
      </c>
      <c r="G64" s="18" t="n">
        <v>21.0312064</v>
      </c>
      <c r="H64" s="20" t="n">
        <v>2.26050681</v>
      </c>
      <c r="I64" s="18" t="s">
        <v>431</v>
      </c>
      <c r="J64" s="20" t="s">
        <v>431</v>
      </c>
      <c r="K64" s="18" t="n">
        <v>5.460041</v>
      </c>
      <c r="L64" s="20" t="n">
        <v>1.40717595</v>
      </c>
      <c r="M64" s="18" t="n">
        <v>0</v>
      </c>
      <c r="N64" s="20" t="n">
        <v>0</v>
      </c>
      <c r="O64" s="18" t="n">
        <v>0</v>
      </c>
      <c r="P64" s="20" t="n">
        <v>0</v>
      </c>
      <c r="Q64" s="18" t="n">
        <v>6.33459294</v>
      </c>
      <c r="R64" s="20" t="n">
        <v>1.29020257</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39.14438849</v>
      </c>
      <c r="F55" s="20" t="n">
        <v>2.51298215</v>
      </c>
      <c r="G55" s="18" t="n">
        <v>38.41683553</v>
      </c>
      <c r="H55" s="20" t="n">
        <v>2.33352942</v>
      </c>
      <c r="I55" s="18" t="s">
        <v>431</v>
      </c>
      <c r="J55" s="20" t="s">
        <v>431</v>
      </c>
      <c r="K55" s="18" t="n">
        <v>4.06948836</v>
      </c>
      <c r="L55" s="20" t="n">
        <v>0.99838945</v>
      </c>
      <c r="M55" s="18" t="n">
        <v>0</v>
      </c>
      <c r="N55" s="20" t="n">
        <v>0</v>
      </c>
      <c r="O55" s="18" t="n">
        <v>0.37165164</v>
      </c>
      <c r="P55" s="20" t="n">
        <v>0.26067933</v>
      </c>
      <c r="Q55" s="18" t="n">
        <v>17.99763597</v>
      </c>
      <c r="R55" s="20" t="n">
        <v>1.82724357</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33.46247121</v>
      </c>
      <c r="F57" s="20" t="n">
        <v>2.26529187</v>
      </c>
      <c r="G57" s="18" t="n">
        <v>63.17823718</v>
      </c>
      <c r="H57" s="20" t="n">
        <v>2.32772023</v>
      </c>
      <c r="I57" s="18" t="s">
        <v>431</v>
      </c>
      <c r="J57" s="20" t="s">
        <v>431</v>
      </c>
      <c r="K57" s="18" t="n">
        <v>1.40656735</v>
      </c>
      <c r="L57" s="20" t="n">
        <v>0.7489759</v>
      </c>
      <c r="M57" s="18" t="n">
        <v>0</v>
      </c>
      <c r="N57" s="20" t="n">
        <v>0</v>
      </c>
      <c r="O57" s="18" t="n">
        <v>0</v>
      </c>
      <c r="P57" s="20" t="n">
        <v>0</v>
      </c>
      <c r="Q57" s="18" t="n">
        <v>1.95272425</v>
      </c>
      <c r="R57" s="20" t="n">
        <v>0.57454535</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38.44703007</v>
      </c>
      <c r="F64" s="20" t="n">
        <v>2.62355531</v>
      </c>
      <c r="G64" s="18" t="n">
        <v>41.44790133</v>
      </c>
      <c r="H64" s="20" t="n">
        <v>2.19360757</v>
      </c>
      <c r="I64" s="18" t="s">
        <v>431</v>
      </c>
      <c r="J64" s="20" t="s">
        <v>431</v>
      </c>
      <c r="K64" s="18" t="n">
        <v>5.75716783</v>
      </c>
      <c r="L64" s="20" t="n">
        <v>1.44683378</v>
      </c>
      <c r="M64" s="18" t="n">
        <v>0</v>
      </c>
      <c r="N64" s="20" t="n">
        <v>0</v>
      </c>
      <c r="O64" s="18" t="n">
        <v>0</v>
      </c>
      <c r="P64" s="20" t="n">
        <v>0</v>
      </c>
      <c r="Q64" s="18" t="n">
        <v>14.34790076</v>
      </c>
      <c r="R64" s="20" t="n">
        <v>2.07852037</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32.12755633</v>
      </c>
      <c r="F55" s="20" t="n">
        <v>1.91197274</v>
      </c>
      <c r="G55" s="18" t="n">
        <v>43.62676404</v>
      </c>
      <c r="H55" s="20" t="n">
        <v>2.13291416</v>
      </c>
      <c r="I55" s="18" t="s">
        <v>431</v>
      </c>
      <c r="J55" s="20" t="s">
        <v>431</v>
      </c>
      <c r="K55" s="18" t="n">
        <v>4.62374494</v>
      </c>
      <c r="L55" s="20" t="n">
        <v>1.12505559</v>
      </c>
      <c r="M55" s="18" t="n">
        <v>0</v>
      </c>
      <c r="N55" s="20" t="n">
        <v>0</v>
      </c>
      <c r="O55" s="18" t="n">
        <v>0.37165164</v>
      </c>
      <c r="P55" s="20" t="n">
        <v>0.26067933</v>
      </c>
      <c r="Q55" s="18" t="n">
        <v>19.25028304</v>
      </c>
      <c r="R55" s="20" t="n">
        <v>1.83656838</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36.44942239</v>
      </c>
      <c r="F57" s="20" t="n">
        <v>2.1965631</v>
      </c>
      <c r="G57" s="18" t="n">
        <v>60.12090713</v>
      </c>
      <c r="H57" s="20" t="n">
        <v>2.29856936</v>
      </c>
      <c r="I57" s="18" t="s">
        <v>431</v>
      </c>
      <c r="J57" s="20" t="s">
        <v>431</v>
      </c>
      <c r="K57" s="18" t="n">
        <v>1.40656735</v>
      </c>
      <c r="L57" s="20" t="n">
        <v>0.7489759</v>
      </c>
      <c r="M57" s="18" t="n">
        <v>0</v>
      </c>
      <c r="N57" s="20" t="n">
        <v>0</v>
      </c>
      <c r="O57" s="18" t="n">
        <v>0</v>
      </c>
      <c r="P57" s="20" t="n">
        <v>0</v>
      </c>
      <c r="Q57" s="18" t="n">
        <v>2.02310312</v>
      </c>
      <c r="R57" s="20" t="n">
        <v>0.58750976</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30.35466033</v>
      </c>
      <c r="F64" s="20" t="n">
        <v>2.88169393</v>
      </c>
      <c r="G64" s="18" t="n">
        <v>46.98585417</v>
      </c>
      <c r="H64" s="20" t="n">
        <v>2.63286317</v>
      </c>
      <c r="I64" s="18" t="s">
        <v>431</v>
      </c>
      <c r="J64" s="20" t="s">
        <v>431</v>
      </c>
      <c r="K64" s="18" t="n">
        <v>6.08538903</v>
      </c>
      <c r="L64" s="20" t="n">
        <v>1.4741532</v>
      </c>
      <c r="M64" s="18" t="n">
        <v>0</v>
      </c>
      <c r="N64" s="20" t="n">
        <v>0</v>
      </c>
      <c r="O64" s="18" t="n">
        <v>0</v>
      </c>
      <c r="P64" s="20" t="n">
        <v>0</v>
      </c>
      <c r="Q64" s="18" t="n">
        <v>16.57409647</v>
      </c>
      <c r="R64" s="20" t="n">
        <v>2.30925834</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711</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64.40132357</v>
      </c>
      <c r="F55" s="20" t="n">
        <v>2.53722664</v>
      </c>
      <c r="G55" s="18" t="n">
        <v>25.37236119</v>
      </c>
      <c r="H55" s="20" t="n">
        <v>2.03119679</v>
      </c>
      <c r="I55" s="18" t="s">
        <v>431</v>
      </c>
      <c r="J55" s="20" t="s">
        <v>431</v>
      </c>
      <c r="K55" s="18" t="n">
        <v>5.1803805</v>
      </c>
      <c r="L55" s="20" t="n">
        <v>1.15051329</v>
      </c>
      <c r="M55" s="18" t="n">
        <v>0</v>
      </c>
      <c r="N55" s="20" t="n">
        <v>0</v>
      </c>
      <c r="O55" s="18" t="n">
        <v>0.5149428</v>
      </c>
      <c r="P55" s="20" t="n">
        <v>0.27437183</v>
      </c>
      <c r="Q55" s="18" t="n">
        <v>4.53099194</v>
      </c>
      <c r="R55" s="20" t="n">
        <v>0.91192148</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71.57168749</v>
      </c>
      <c r="F57" s="20" t="n">
        <v>1.98812885</v>
      </c>
      <c r="G57" s="18" t="n">
        <v>26.35570084</v>
      </c>
      <c r="H57" s="20" t="n">
        <v>1.99679287</v>
      </c>
      <c r="I57" s="18" t="s">
        <v>431</v>
      </c>
      <c r="J57" s="20" t="s">
        <v>431</v>
      </c>
      <c r="K57" s="18" t="n">
        <v>1.59580753</v>
      </c>
      <c r="L57" s="20" t="n">
        <v>0.7719335899999999</v>
      </c>
      <c r="M57" s="18" t="n">
        <v>0</v>
      </c>
      <c r="N57" s="20" t="n">
        <v>0</v>
      </c>
      <c r="O57" s="18" t="n">
        <v>0</v>
      </c>
      <c r="P57" s="20" t="n">
        <v>0</v>
      </c>
      <c r="Q57" s="18" t="n">
        <v>0.47680414</v>
      </c>
      <c r="R57" s="20" t="n">
        <v>0.28778699</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62.96317361</v>
      </c>
      <c r="F64" s="20" t="n">
        <v>2.70378399</v>
      </c>
      <c r="G64" s="18" t="n">
        <v>28.70044914</v>
      </c>
      <c r="H64" s="20" t="n">
        <v>2.49610896</v>
      </c>
      <c r="I64" s="18" t="s">
        <v>431</v>
      </c>
      <c r="J64" s="20" t="s">
        <v>431</v>
      </c>
      <c r="K64" s="18" t="n">
        <v>7.03688127</v>
      </c>
      <c r="L64" s="20" t="n">
        <v>1.6328948</v>
      </c>
      <c r="M64" s="18" t="n">
        <v>0</v>
      </c>
      <c r="N64" s="20" t="n">
        <v>0</v>
      </c>
      <c r="O64" s="18" t="n">
        <v>0.30035653</v>
      </c>
      <c r="P64" s="20" t="n">
        <v>0.29879903</v>
      </c>
      <c r="Q64" s="18" t="n">
        <v>0.99913946</v>
      </c>
      <c r="R64" s="20" t="n">
        <v>0.5688456200000001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24.91110916</v>
      </c>
      <c r="F55" s="20" t="n">
        <v>2.39019004</v>
      </c>
      <c r="G55" s="18" t="n">
        <v>67.96786176000001</v>
      </c>
      <c r="H55" s="20" t="n">
        <v>2.56963891</v>
      </c>
      <c r="I55" s="18" t="s">
        <v>431</v>
      </c>
      <c r="J55" s="20" t="s">
        <v>431</v>
      </c>
      <c r="K55" s="18" t="n">
        <v>5.1803805</v>
      </c>
      <c r="L55" s="20" t="n">
        <v>1.15051329</v>
      </c>
      <c r="M55" s="18" t="n">
        <v>0</v>
      </c>
      <c r="N55" s="20" t="n">
        <v>0</v>
      </c>
      <c r="O55" s="18" t="n">
        <v>0</v>
      </c>
      <c r="P55" s="20" t="n">
        <v>0</v>
      </c>
      <c r="Q55" s="18" t="n">
        <v>1.94064858</v>
      </c>
      <c r="R55" s="20" t="n">
        <v>0.55822374</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26.11844029</v>
      </c>
      <c r="F57" s="20" t="n">
        <v>2.41564356</v>
      </c>
      <c r="G57" s="18" t="n">
        <v>71.90435416</v>
      </c>
      <c r="H57" s="20" t="n">
        <v>2.49046641</v>
      </c>
      <c r="I57" s="18" t="s">
        <v>431</v>
      </c>
      <c r="J57" s="20" t="s">
        <v>431</v>
      </c>
      <c r="K57" s="18" t="n">
        <v>1.59580753</v>
      </c>
      <c r="L57" s="20" t="n">
        <v>0.7719335899999999</v>
      </c>
      <c r="M57" s="18" t="n">
        <v>0</v>
      </c>
      <c r="N57" s="20" t="n">
        <v>0</v>
      </c>
      <c r="O57" s="18" t="n">
        <v>0</v>
      </c>
      <c r="P57" s="20" t="n">
        <v>0</v>
      </c>
      <c r="Q57" s="18" t="n">
        <v>0.38139802</v>
      </c>
      <c r="R57" s="20" t="n">
        <v>0.23065465</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26.08824429</v>
      </c>
      <c r="F64" s="20" t="n">
        <v>2.21662455</v>
      </c>
      <c r="G64" s="18" t="n">
        <v>65.77234793</v>
      </c>
      <c r="H64" s="20" t="n">
        <v>2.52127385</v>
      </c>
      <c r="I64" s="18" t="s">
        <v>431</v>
      </c>
      <c r="J64" s="20" t="s">
        <v>431</v>
      </c>
      <c r="K64" s="18" t="n">
        <v>7.03688127</v>
      </c>
      <c r="L64" s="20" t="n">
        <v>1.6328948</v>
      </c>
      <c r="M64" s="18" t="n">
        <v>0</v>
      </c>
      <c r="N64" s="20" t="n">
        <v>0</v>
      </c>
      <c r="O64" s="18" t="n">
        <v>0</v>
      </c>
      <c r="P64" s="20" t="n">
        <v>0</v>
      </c>
      <c r="Q64" s="18" t="n">
        <v>1.10252651</v>
      </c>
      <c r="R64" s="20" t="n">
        <v>0.61484071</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713</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51.61305097</v>
      </c>
      <c r="F55" s="20" t="n">
        <v>2.6486678</v>
      </c>
      <c r="G55" s="18" t="n">
        <v>40.83024748</v>
      </c>
      <c r="H55" s="20" t="n">
        <v>2.49539096</v>
      </c>
      <c r="I55" s="18" t="s">
        <v>431</v>
      </c>
      <c r="J55" s="20" t="s">
        <v>431</v>
      </c>
      <c r="K55" s="18" t="n">
        <v>5.44575851</v>
      </c>
      <c r="L55" s="20" t="n">
        <v>1.15582782</v>
      </c>
      <c r="M55" s="18" t="n">
        <v>0</v>
      </c>
      <c r="N55" s="20" t="n">
        <v>0</v>
      </c>
      <c r="O55" s="18" t="n">
        <v>0</v>
      </c>
      <c r="P55" s="20" t="n">
        <v>0</v>
      </c>
      <c r="Q55" s="18" t="n">
        <v>2.11094305</v>
      </c>
      <c r="R55" s="20" t="n">
        <v>0.74114501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71.89492747</v>
      </c>
      <c r="F57" s="20" t="n">
        <v>2.27995477</v>
      </c>
      <c r="G57" s="18" t="n">
        <v>25.05404051</v>
      </c>
      <c r="H57" s="20" t="n">
        <v>2.20443705</v>
      </c>
      <c r="I57" s="18" t="s">
        <v>431</v>
      </c>
      <c r="J57" s="20" t="s">
        <v>431</v>
      </c>
      <c r="K57" s="18" t="n">
        <v>1.59580753</v>
      </c>
      <c r="L57" s="20" t="n">
        <v>0.7719335899999999</v>
      </c>
      <c r="M57" s="18" t="n">
        <v>0</v>
      </c>
      <c r="N57" s="20" t="n">
        <v>0</v>
      </c>
      <c r="O57" s="18" t="n">
        <v>0</v>
      </c>
      <c r="P57" s="20" t="n">
        <v>0</v>
      </c>
      <c r="Q57" s="18" t="n">
        <v>1.45522449</v>
      </c>
      <c r="R57" s="20" t="n">
        <v>0.58368711</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45.50315561</v>
      </c>
      <c r="F64" s="20" t="n">
        <v>3.03009341</v>
      </c>
      <c r="G64" s="18" t="n">
        <v>45.61021874</v>
      </c>
      <c r="H64" s="20" t="n">
        <v>3.16387457</v>
      </c>
      <c r="I64" s="18" t="s">
        <v>431</v>
      </c>
      <c r="J64" s="20" t="s">
        <v>431</v>
      </c>
      <c r="K64" s="18" t="n">
        <v>7.97380574</v>
      </c>
      <c r="L64" s="20" t="n">
        <v>1.7046691</v>
      </c>
      <c r="M64" s="18" t="n">
        <v>0</v>
      </c>
      <c r="N64" s="20" t="n">
        <v>0</v>
      </c>
      <c r="O64" s="18" t="n">
        <v>0</v>
      </c>
      <c r="P64" s="20" t="n">
        <v>0</v>
      </c>
      <c r="Q64" s="18" t="n">
        <v>0.91281991</v>
      </c>
      <c r="R64" s="20" t="n">
        <v>0.52671642</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37.42992397</v>
      </c>
      <c r="F55" s="20" t="n">
        <v>2.64917348</v>
      </c>
      <c r="G55" s="18" t="n">
        <v>56.40001803</v>
      </c>
      <c r="H55" s="20" t="n">
        <v>2.69737966</v>
      </c>
      <c r="I55" s="18" t="s">
        <v>431</v>
      </c>
      <c r="J55" s="20" t="s">
        <v>431</v>
      </c>
      <c r="K55" s="18" t="n">
        <v>5.44575851</v>
      </c>
      <c r="L55" s="20" t="n">
        <v>1.15582782</v>
      </c>
      <c r="M55" s="18" t="n">
        <v>0</v>
      </c>
      <c r="N55" s="20" t="n">
        <v>0</v>
      </c>
      <c r="O55" s="18" t="n">
        <v>0.33463894</v>
      </c>
      <c r="P55" s="20" t="n">
        <v>0.23941876</v>
      </c>
      <c r="Q55" s="18" t="n">
        <v>0.38966056</v>
      </c>
      <c r="R55" s="20" t="n">
        <v>0.26369854</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34.57565214</v>
      </c>
      <c r="F57" s="20" t="n">
        <v>2.33240815</v>
      </c>
      <c r="G57" s="18" t="n">
        <v>63.25055519</v>
      </c>
      <c r="H57" s="20" t="n">
        <v>2.51091975</v>
      </c>
      <c r="I57" s="18" t="s">
        <v>431</v>
      </c>
      <c r="J57" s="20" t="s">
        <v>431</v>
      </c>
      <c r="K57" s="18" t="n">
        <v>1.59580753</v>
      </c>
      <c r="L57" s="20" t="n">
        <v>0.7719335899999999</v>
      </c>
      <c r="M57" s="18" t="n">
        <v>0</v>
      </c>
      <c r="N57" s="20" t="n">
        <v>0</v>
      </c>
      <c r="O57" s="18" t="n">
        <v>0</v>
      </c>
      <c r="P57" s="20" t="n">
        <v>0</v>
      </c>
      <c r="Q57" s="18" t="n">
        <v>0.5779851499999999</v>
      </c>
      <c r="R57" s="20" t="n">
        <v>0.298974</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32.79482213</v>
      </c>
      <c r="F64" s="20" t="n">
        <v>2.54025872</v>
      </c>
      <c r="G64" s="18" t="n">
        <v>59.23137213</v>
      </c>
      <c r="H64" s="20" t="n">
        <v>2.94850381</v>
      </c>
      <c r="I64" s="18" t="s">
        <v>431</v>
      </c>
      <c r="J64" s="20" t="s">
        <v>431</v>
      </c>
      <c r="K64" s="18" t="n">
        <v>7.97380574</v>
      </c>
      <c r="L64" s="20" t="n">
        <v>1.7046691</v>
      </c>
      <c r="M64" s="18" t="n">
        <v>0</v>
      </c>
      <c r="N64" s="20" t="n">
        <v>0</v>
      </c>
      <c r="O64" s="18" t="n">
        <v>0</v>
      </c>
      <c r="P64" s="20" t="n">
        <v>0</v>
      </c>
      <c r="Q64" s="18" t="n">
        <v>0</v>
      </c>
      <c r="R64" s="20" t="n">
        <v>0</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715</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(2524.0/B44*100)</f>
        <v/>
      </c>
      <c r="D44" s="19" t="n">
        <v>0</v>
      </c>
      <c r="E44" s="18" t="s">
        <v>431</v>
      </c>
      <c r="F44" s="20" t="s">
        <v>431</v>
      </c>
      <c r="G44" s="18" t="s">
        <v>431</v>
      </c>
      <c r="H44" s="20" t="s">
        <v>431</v>
      </c>
      <c r="I44" s="18" t="s">
        <v>431</v>
      </c>
      <c r="J44" s="20" t="s">
        <v>431</v>
      </c>
      <c r="K44" s="18" t="s">
        <v>431</v>
      </c>
      <c r="L44" s="20" t="s">
        <v>431</v>
      </c>
      <c r="M44" s="18" t="s">
        <v>431</v>
      </c>
      <c r="N44" s="20" t="s">
        <v>431</v>
      </c>
      <c r="O44" s="18" t="s">
        <v>431</v>
      </c>
      <c r="P44" s="20" t="s">
        <v>431</v>
      </c>
      <c r="Q44" s="18" t="s">
        <v>431</v>
      </c>
      <c r="R44" s="20" t="s">
        <v>431</v>
      </c>
    </row>
    <row r="45" spans="1:18">
      <c r="A45" s="15" t="s">
        <v>469</v>
      </c>
      <c r="B45" s="17" t="n">
        <v>2849</v>
      </c>
      <c r="C45" s="18">
        <f>(2849.0/B45*100)</f>
        <v/>
      </c>
      <c r="D45" s="19" t="n">
        <v>0</v>
      </c>
      <c r="E45" s="18" t="s">
        <v>431</v>
      </c>
      <c r="F45" s="20" t="s">
        <v>431</v>
      </c>
      <c r="G45" s="18" t="s">
        <v>431</v>
      </c>
      <c r="H45" s="20" t="s">
        <v>431</v>
      </c>
      <c r="I45" s="18" t="s">
        <v>431</v>
      </c>
      <c r="J45" s="20" t="s">
        <v>431</v>
      </c>
      <c r="K45" s="18" t="s">
        <v>431</v>
      </c>
      <c r="L45" s="20" t="s">
        <v>431</v>
      </c>
      <c r="M45" s="18" t="s">
        <v>431</v>
      </c>
      <c r="N45" s="20" t="s">
        <v>431</v>
      </c>
      <c r="O45" s="18" t="s">
        <v>431</v>
      </c>
      <c r="P45" s="20" t="s">
        <v>431</v>
      </c>
      <c r="Q45" s="18" t="s">
        <v>431</v>
      </c>
      <c r="R45" s="20" t="s">
        <v>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(3018.0/B49*100)</f>
        <v/>
      </c>
      <c r="D49" s="19" t="n">
        <v>0</v>
      </c>
      <c r="E49" s="18" t="s">
        <v>431</v>
      </c>
      <c r="F49" s="20" t="s">
        <v>431</v>
      </c>
      <c r="G49" s="18" t="s">
        <v>431</v>
      </c>
      <c r="H49" s="20" t="s">
        <v>431</v>
      </c>
      <c r="I49" s="18" t="s">
        <v>431</v>
      </c>
      <c r="J49" s="20" t="s">
        <v>431</v>
      </c>
      <c r="K49" s="18" t="s">
        <v>431</v>
      </c>
      <c r="L49" s="20" t="s">
        <v>431</v>
      </c>
      <c r="M49" s="18" t="s">
        <v>431</v>
      </c>
      <c r="N49" s="20" t="s">
        <v>431</v>
      </c>
      <c r="O49" s="18" t="s">
        <v>431</v>
      </c>
      <c r="P49" s="20" t="s">
        <v>431</v>
      </c>
      <c r="Q49" s="18" t="s">
        <v>431</v>
      </c>
      <c r="R49" s="20" t="s">
        <v>431</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(2285.0/B55*100)</f>
        <v/>
      </c>
      <c r="D55" s="19" t="n">
        <v>474</v>
      </c>
      <c r="E55" s="18" t="n">
        <v>59.10551725</v>
      </c>
      <c r="F55" s="20" t="n">
        <v>2.6332692</v>
      </c>
      <c r="G55" s="18" t="n">
        <v>33.04035014</v>
      </c>
      <c r="H55" s="20" t="n">
        <v>2.28868139</v>
      </c>
      <c r="I55" s="18" t="s">
        <v>431</v>
      </c>
      <c r="J55" s="20" t="s">
        <v>431</v>
      </c>
      <c r="K55" s="18" t="n">
        <v>7.52654166</v>
      </c>
      <c r="L55" s="20" t="n">
        <v>1.39192426</v>
      </c>
      <c r="M55" s="18" t="n">
        <v>0</v>
      </c>
      <c r="N55" s="20" t="n">
        <v>0</v>
      </c>
      <c r="O55" s="18" t="n">
        <v>0.32759095</v>
      </c>
      <c r="P55" s="20" t="n">
        <v>0.22585889</v>
      </c>
      <c r="Q55" s="18" t="n">
        <v>0</v>
      </c>
      <c r="R55" s="20" t="n">
        <v>0</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(2634.0/B57*100)</f>
        <v/>
      </c>
      <c r="D57" s="19" t="n">
        <v>536</v>
      </c>
      <c r="E57" s="18" t="n">
        <v>68.81731659</v>
      </c>
      <c r="F57" s="20" t="n">
        <v>2.48248856</v>
      </c>
      <c r="G57" s="18" t="n">
        <v>27.10941632</v>
      </c>
      <c r="H57" s="20" t="n">
        <v>2.4912823</v>
      </c>
      <c r="I57" s="18" t="s">
        <v>431</v>
      </c>
      <c r="J57" s="20" t="s">
        <v>431</v>
      </c>
      <c r="K57" s="18" t="n">
        <v>4.0732671</v>
      </c>
      <c r="L57" s="20" t="n">
        <v>0.99817673</v>
      </c>
      <c r="M57" s="18" t="n">
        <v>0</v>
      </c>
      <c r="N57" s="20" t="n">
        <v>0</v>
      </c>
      <c r="O57" s="18" t="n">
        <v>0</v>
      </c>
      <c r="P57" s="20" t="n">
        <v>0</v>
      </c>
      <c r="Q57" s="18" t="n">
        <v>0</v>
      </c>
      <c r="R57" s="20" t="n">
        <v>0</v>
      </c>
    </row>
    <row r="58" spans="1:18">
      <c r="A58" s="15" t="s">
        <v>482</v>
      </c>
      <c r="B58" s="17" t="n">
        <v>3530</v>
      </c>
      <c r="C58" s="18">
        <f>(3530.0/B58*100)</f>
        <v/>
      </c>
      <c r="D58" s="19" t="n">
        <v>0</v>
      </c>
      <c r="E58" s="18" t="s">
        <v>431</v>
      </c>
      <c r="F58" s="20" t="s">
        <v>431</v>
      </c>
      <c r="G58" s="18" t="s">
        <v>431</v>
      </c>
      <c r="H58" s="20" t="s">
        <v>431</v>
      </c>
      <c r="I58" s="18" t="s">
        <v>431</v>
      </c>
      <c r="J58" s="20" t="s">
        <v>431</v>
      </c>
      <c r="K58" s="18" t="s">
        <v>431</v>
      </c>
      <c r="L58" s="20" t="s">
        <v>431</v>
      </c>
      <c r="M58" s="18" t="s">
        <v>431</v>
      </c>
      <c r="N58" s="20" t="s">
        <v>431</v>
      </c>
      <c r="O58" s="18" t="s">
        <v>431</v>
      </c>
      <c r="P58" s="20" t="s">
        <v>431</v>
      </c>
      <c r="Q58" s="18" t="s">
        <v>431</v>
      </c>
      <c r="R58" s="20" t="s">
        <v>431</v>
      </c>
    </row>
    <row r="59" spans="1:18">
      <c r="A59" s="15" t="s">
        <v>483</v>
      </c>
      <c r="B59" s="17" t="n">
        <v>2548</v>
      </c>
      <c r="C59" s="18">
        <f>(2548.0/B59*100)</f>
        <v/>
      </c>
      <c r="D59" s="19" t="n">
        <v>0</v>
      </c>
      <c r="E59" s="18" t="s">
        <v>431</v>
      </c>
      <c r="F59" s="20" t="s">
        <v>431</v>
      </c>
      <c r="G59" s="18" t="s">
        <v>431</v>
      </c>
      <c r="H59" s="20" t="s">
        <v>431</v>
      </c>
      <c r="I59" s="18" t="s">
        <v>431</v>
      </c>
      <c r="J59" s="20" t="s">
        <v>431</v>
      </c>
      <c r="K59" s="18" t="s">
        <v>431</v>
      </c>
      <c r="L59" s="20" t="s">
        <v>431</v>
      </c>
      <c r="M59" s="18" t="s">
        <v>431</v>
      </c>
      <c r="N59" s="20" t="s">
        <v>431</v>
      </c>
      <c r="O59" s="18" t="s">
        <v>431</v>
      </c>
      <c r="P59" s="20" t="s">
        <v>431</v>
      </c>
      <c r="Q59" s="18" t="s">
        <v>431</v>
      </c>
      <c r="R59" s="20" t="s">
        <v>431</v>
      </c>
    </row>
    <row r="60" spans="1:18">
      <c r="A60" s="15" t="s">
        <v>484</v>
      </c>
      <c r="B60" s="17" t="n">
        <v>2095</v>
      </c>
      <c r="C60" s="18">
        <f>(2095.0/B60*100)</f>
        <v/>
      </c>
      <c r="D60" s="19" t="n">
        <v>0</v>
      </c>
      <c r="E60" s="18" t="s">
        <v>431</v>
      </c>
      <c r="F60" s="20" t="s">
        <v>431</v>
      </c>
      <c r="G60" s="18" t="s">
        <v>431</v>
      </c>
      <c r="H60" s="20" t="s">
        <v>431</v>
      </c>
      <c r="I60" s="18" t="s">
        <v>431</v>
      </c>
      <c r="J60" s="20" t="s">
        <v>431</v>
      </c>
      <c r="K60" s="18" t="s">
        <v>431</v>
      </c>
      <c r="L60" s="20" t="s">
        <v>431</v>
      </c>
      <c r="M60" s="18" t="s">
        <v>431</v>
      </c>
      <c r="N60" s="20" t="s">
        <v>431</v>
      </c>
      <c r="O60" s="18" t="s">
        <v>431</v>
      </c>
      <c r="P60" s="20" t="s">
        <v>431</v>
      </c>
      <c r="Q60" s="18" t="s">
        <v>431</v>
      </c>
      <c r="R60" s="20" t="s">
        <v>431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(2813.0/B63*100)</f>
        <v/>
      </c>
      <c r="D63" s="19" t="n">
        <v>0</v>
      </c>
      <c r="E63" s="18" t="s">
        <v>431</v>
      </c>
      <c r="F63" s="20" t="s">
        <v>431</v>
      </c>
      <c r="G63" s="18" t="s">
        <v>431</v>
      </c>
      <c r="H63" s="20" t="s">
        <v>431</v>
      </c>
      <c r="I63" s="18" t="s">
        <v>431</v>
      </c>
      <c r="J63" s="20" t="s">
        <v>431</v>
      </c>
      <c r="K63" s="18" t="s">
        <v>431</v>
      </c>
      <c r="L63" s="20" t="s">
        <v>431</v>
      </c>
      <c r="M63" s="18" t="s">
        <v>431</v>
      </c>
      <c r="N63" s="20" t="s">
        <v>431</v>
      </c>
      <c r="O63" s="18" t="s">
        <v>431</v>
      </c>
      <c r="P63" s="20" t="s">
        <v>431</v>
      </c>
      <c r="Q63" s="18" t="s">
        <v>431</v>
      </c>
      <c r="R63" s="20" t="s">
        <v>431</v>
      </c>
    </row>
    <row r="64" spans="1:18">
      <c r="A64" s="15" t="s">
        <v>488</v>
      </c>
      <c r="B64" s="17" t="n">
        <v>1844</v>
      </c>
      <c r="C64" s="18">
        <f>(1523.0/B64*100)</f>
        <v/>
      </c>
      <c r="D64" s="19" t="n">
        <v>321</v>
      </c>
      <c r="E64" s="18" t="n">
        <v>61.83068444</v>
      </c>
      <c r="F64" s="20" t="n">
        <v>2.71833433</v>
      </c>
      <c r="G64" s="18" t="n">
        <v>29.85502627</v>
      </c>
      <c r="H64" s="20" t="n">
        <v>2.53941467</v>
      </c>
      <c r="I64" s="18" t="s">
        <v>431</v>
      </c>
      <c r="J64" s="20" t="s">
        <v>431</v>
      </c>
      <c r="K64" s="18" t="n">
        <v>8.314289280000001</v>
      </c>
      <c r="L64" s="20" t="n">
        <v>1.75816435</v>
      </c>
      <c r="M64" s="18" t="n">
        <v>0</v>
      </c>
      <c r="N64" s="20" t="n">
        <v>0</v>
      </c>
      <c r="O64" s="18" t="n">
        <v>0</v>
      </c>
      <c r="P64" s="20" t="n">
        <v>0</v>
      </c>
      <c r="Q64" s="18" t="n">
        <v>0</v>
      </c>
      <c r="R64" s="20" t="n">
        <v>0</v>
      </c>
    </row>
    <row r="65" spans="1:18">
      <c r="A65" s="15" t="s">
        <v>489</v>
      </c>
      <c r="B65" s="17" t="n">
        <v>2691</v>
      </c>
      <c r="C65" s="18">
        <f>(2691.0/B65*100)</f>
        <v/>
      </c>
      <c r="D65" s="19" t="n">
        <v>0</v>
      </c>
      <c r="E65" s="18" t="s">
        <v>431</v>
      </c>
      <c r="F65" s="20" t="s">
        <v>431</v>
      </c>
      <c r="G65" s="18" t="s">
        <v>431</v>
      </c>
      <c r="H65" s="20" t="s">
        <v>431</v>
      </c>
      <c r="I65" s="18" t="s">
        <v>431</v>
      </c>
      <c r="J65" s="20" t="s">
        <v>431</v>
      </c>
      <c r="K65" s="18" t="s">
        <v>431</v>
      </c>
      <c r="L65" s="20" t="s">
        <v>431</v>
      </c>
      <c r="M65" s="18" t="s">
        <v>431</v>
      </c>
      <c r="N65" s="20" t="s">
        <v>431</v>
      </c>
      <c r="O65" s="18" t="s">
        <v>431</v>
      </c>
      <c r="P65" s="20" t="s">
        <v>431</v>
      </c>
      <c r="Q65" s="18" t="s">
        <v>431</v>
      </c>
      <c r="R65" s="20" t="s">
        <v>431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(2410.0/B69*100)</f>
        <v/>
      </c>
      <c r="D69" s="19" t="n">
        <v>0</v>
      </c>
      <c r="E69" s="18" t="s">
        <v>431</v>
      </c>
      <c r="F69" s="20" t="s">
        <v>431</v>
      </c>
      <c r="G69" s="18" t="s">
        <v>431</v>
      </c>
      <c r="H69" s="20" t="s">
        <v>431</v>
      </c>
      <c r="I69" s="18" t="s">
        <v>431</v>
      </c>
      <c r="J69" s="20" t="s">
        <v>431</v>
      </c>
      <c r="K69" s="18" t="s">
        <v>431</v>
      </c>
      <c r="L69" s="20" t="s">
        <v>431</v>
      </c>
      <c r="M69" s="18" t="s">
        <v>431</v>
      </c>
      <c r="N69" s="20" t="s">
        <v>431</v>
      </c>
      <c r="O69" s="18" t="s">
        <v>431</v>
      </c>
      <c r="P69" s="20" t="s">
        <v>431</v>
      </c>
      <c r="Q69" s="18" t="s">
        <v>431</v>
      </c>
      <c r="R69" s="20" t="s">
        <v>431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(2239.0/B74*100)</f>
        <v/>
      </c>
      <c r="D74" s="19" t="n">
        <v>0</v>
      </c>
      <c r="E74" s="18" t="s">
        <v>431</v>
      </c>
      <c r="F74" s="20" t="s">
        <v>431</v>
      </c>
      <c r="G74" s="18" t="s">
        <v>431</v>
      </c>
      <c r="H74" s="20" t="s">
        <v>431</v>
      </c>
      <c r="I74" s="18" t="s">
        <v>431</v>
      </c>
      <c r="J74" s="20" t="s">
        <v>431</v>
      </c>
      <c r="K74" s="18" t="s">
        <v>431</v>
      </c>
      <c r="L74" s="20" t="s">
        <v>431</v>
      </c>
      <c r="M74" s="18" t="s">
        <v>431</v>
      </c>
      <c r="N74" s="20" t="s">
        <v>431</v>
      </c>
      <c r="O74" s="18" t="s">
        <v>431</v>
      </c>
      <c r="P74" s="20" t="s">
        <v>431</v>
      </c>
      <c r="Q74" s="18" t="s">
        <v>431</v>
      </c>
      <c r="R74" s="20" t="s">
        <v>431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(2786.0/B78*100)</f>
        <v/>
      </c>
      <c r="D78" s="19" t="n">
        <v>0</v>
      </c>
      <c r="E78" s="18" t="s">
        <v>431</v>
      </c>
      <c r="F78" s="20" t="s">
        <v>431</v>
      </c>
      <c r="G78" s="18" t="s">
        <v>431</v>
      </c>
      <c r="H78" s="20" t="s">
        <v>431</v>
      </c>
      <c r="I78" s="18" t="s">
        <v>431</v>
      </c>
      <c r="J78" s="20" t="s">
        <v>431</v>
      </c>
      <c r="K78" s="18" t="s">
        <v>431</v>
      </c>
      <c r="L78" s="20" t="s">
        <v>431</v>
      </c>
      <c r="M78" s="18" t="s">
        <v>431</v>
      </c>
      <c r="N78" s="20" t="s">
        <v>431</v>
      </c>
      <c r="O78" s="18" t="s">
        <v>431</v>
      </c>
      <c r="P78" s="20" t="s">
        <v>431</v>
      </c>
      <c r="Q78" s="18" t="s">
        <v>431</v>
      </c>
      <c r="R78" s="20" t="s">
        <v>431</v>
      </c>
    </row>
    <row customHeight="1" ht="25" r="79" spans="1:18">
      <c r="A79" s="15" t="s">
        <v>503</v>
      </c>
      <c r="B79" s="17" t="n">
        <v>787</v>
      </c>
      <c r="C79" s="18">
        <f>(787.0/B79*100)</f>
        <v/>
      </c>
      <c r="D79" s="19" t="n">
        <v>0</v>
      </c>
      <c r="E79" s="18" t="s">
        <v>431</v>
      </c>
      <c r="F79" s="20" t="s">
        <v>431</v>
      </c>
      <c r="G79" s="18" t="s">
        <v>431</v>
      </c>
      <c r="H79" s="20" t="s">
        <v>431</v>
      </c>
      <c r="I79" s="18" t="s">
        <v>431</v>
      </c>
      <c r="J79" s="20" t="s">
        <v>431</v>
      </c>
      <c r="K79" s="18" t="s">
        <v>431</v>
      </c>
      <c r="L79" s="20" t="s">
        <v>431</v>
      </c>
      <c r="M79" s="18" t="s">
        <v>431</v>
      </c>
      <c r="N79" s="20" t="s">
        <v>431</v>
      </c>
      <c r="O79" s="18" t="s">
        <v>431</v>
      </c>
      <c r="P79" s="20" t="s">
        <v>431</v>
      </c>
      <c r="Q79" s="18" t="s">
        <v>431</v>
      </c>
      <c r="R79" s="20" t="s">
        <v>431</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19.29031285</v>
      </c>
      <c r="F44" s="20" t="n">
        <v>2.41141772</v>
      </c>
      <c r="G44" s="18" t="n">
        <v>75.39902106</v>
      </c>
      <c r="H44" s="20" t="n">
        <v>2.31843008</v>
      </c>
      <c r="I44" s="18" t="s">
        <v>431</v>
      </c>
      <c r="J44" s="20" t="s">
        <v>431</v>
      </c>
      <c r="K44" s="18" t="n">
        <v>1.52173807</v>
      </c>
      <c r="L44" s="20" t="n">
        <v>0.69432844</v>
      </c>
      <c r="M44" s="18" t="n">
        <v>0</v>
      </c>
      <c r="N44" s="20" t="n">
        <v>0</v>
      </c>
      <c r="O44" s="18" t="n">
        <v>1.5635948</v>
      </c>
      <c r="P44" s="20" t="n">
        <v>0.6884165799999999</v>
      </c>
      <c r="Q44" s="18" t="n">
        <v>2.22533322</v>
      </c>
      <c r="R44" s="20" t="n">
        <v>0.8296686599999999</v>
      </c>
    </row>
    <row r="45" spans="1:18">
      <c r="A45" s="15" t="s">
        <v>469</v>
      </c>
      <c r="B45" s="17" t="n">
        <v>2849</v>
      </c>
      <c r="C45" s="18">
        <f>(2372.0/B45*100)</f>
        <v/>
      </c>
      <c r="D45" s="19" t="n">
        <v>477</v>
      </c>
      <c r="E45" s="18" t="n">
        <v>25.97103786</v>
      </c>
      <c r="F45" s="20" t="n">
        <v>2.51178767</v>
      </c>
      <c r="G45" s="18" t="n">
        <v>64.32146118999999</v>
      </c>
      <c r="H45" s="20" t="n">
        <v>2.65227834</v>
      </c>
      <c r="I45" s="18" t="s">
        <v>431</v>
      </c>
      <c r="J45" s="20" t="s">
        <v>431</v>
      </c>
      <c r="K45" s="18" t="n">
        <v>2.47701958</v>
      </c>
      <c r="L45" s="20" t="n">
        <v>1.01161061</v>
      </c>
      <c r="M45" s="18" t="n">
        <v>0.19375424</v>
      </c>
      <c r="N45" s="20" t="n">
        <v>0.19593054</v>
      </c>
      <c r="O45" s="18" t="n">
        <v>3.04403238</v>
      </c>
      <c r="P45" s="20" t="n">
        <v>0.814399</v>
      </c>
      <c r="Q45" s="18" t="n">
        <v>3.99269475</v>
      </c>
      <c r="R45" s="20" t="n">
        <v>0.82859573</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10.55674289</v>
      </c>
      <c r="F49" s="20" t="n">
        <v>1.72081242</v>
      </c>
      <c r="G49" s="18" t="n">
        <v>86.1659341</v>
      </c>
      <c r="H49" s="20" t="n">
        <v>1.88044944</v>
      </c>
      <c r="I49" s="18" t="s">
        <v>431</v>
      </c>
      <c r="J49" s="20" t="s">
        <v>431</v>
      </c>
      <c r="K49" s="18" t="n">
        <v>2.53707727</v>
      </c>
      <c r="L49" s="20" t="n">
        <v>1.08365261</v>
      </c>
      <c r="M49" s="18" t="n">
        <v>0</v>
      </c>
      <c r="N49" s="20" t="n">
        <v>0</v>
      </c>
      <c r="O49" s="18" t="n">
        <v>0.0601658</v>
      </c>
      <c r="P49" s="20" t="n">
        <v>0.05900642</v>
      </c>
      <c r="Q49" s="18" t="n">
        <v>0.68007994</v>
      </c>
      <c r="R49" s="20" t="n">
        <v>0.39123797</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22.0336731</v>
      </c>
      <c r="F58" s="20" t="n">
        <v>1.84890568</v>
      </c>
      <c r="G58" s="18" t="n">
        <v>71.26904484000001</v>
      </c>
      <c r="H58" s="20" t="n">
        <v>2.12378186</v>
      </c>
      <c r="I58" s="18" t="s">
        <v>431</v>
      </c>
      <c r="J58" s="20" t="s">
        <v>431</v>
      </c>
      <c r="K58" s="18" t="n">
        <v>1.60070311</v>
      </c>
      <c r="L58" s="20" t="n">
        <v>0.7281219799999999</v>
      </c>
      <c r="M58" s="18" t="n">
        <v>0</v>
      </c>
      <c r="N58" s="20" t="n">
        <v>0</v>
      </c>
      <c r="O58" s="18" t="n">
        <v>1.00502213</v>
      </c>
      <c r="P58" s="20" t="n">
        <v>0.47929283</v>
      </c>
      <c r="Q58" s="18" t="n">
        <v>4.09155681</v>
      </c>
      <c r="R58" s="20" t="n">
        <v>0.92297432</v>
      </c>
    </row>
    <row r="59" spans="1:18">
      <c r="A59" s="15" t="s">
        <v>483</v>
      </c>
      <c r="B59" s="17" t="n">
        <v>2548</v>
      </c>
      <c r="C59" s="18">
        <f>(2102.0/B59*100)</f>
        <v/>
      </c>
      <c r="D59" s="19" t="n">
        <v>446</v>
      </c>
      <c r="E59" s="18" t="n">
        <v>19.4334843</v>
      </c>
      <c r="F59" s="20" t="n">
        <v>2.43732702</v>
      </c>
      <c r="G59" s="18" t="n">
        <v>77.08336165</v>
      </c>
      <c r="H59" s="20" t="n">
        <v>2.48168225</v>
      </c>
      <c r="I59" s="18" t="s">
        <v>431</v>
      </c>
      <c r="J59" s="20" t="s">
        <v>431</v>
      </c>
      <c r="K59" s="18" t="n">
        <v>0.23864426</v>
      </c>
      <c r="L59" s="20" t="n">
        <v>0.17742558</v>
      </c>
      <c r="M59" s="18" t="n">
        <v>0</v>
      </c>
      <c r="N59" s="20" t="n">
        <v>0</v>
      </c>
      <c r="O59" s="18" t="n">
        <v>2.08255373</v>
      </c>
      <c r="P59" s="20" t="n">
        <v>0.7120923300000001</v>
      </c>
      <c r="Q59" s="18" t="n">
        <v>1.16195606</v>
      </c>
      <c r="R59" s="20" t="n">
        <v>0.60734164</v>
      </c>
    </row>
    <row r="60" spans="1:18">
      <c r="A60" s="15" t="s">
        <v>484</v>
      </c>
      <c r="B60" s="17" t="n">
        <v>2095</v>
      </c>
      <c r="C60" s="18">
        <f>(1726.0/B60*100)</f>
        <v/>
      </c>
      <c r="D60" s="19" t="n">
        <v>369</v>
      </c>
      <c r="E60" s="18" t="n">
        <v>35.2808104</v>
      </c>
      <c r="F60" s="20" t="n">
        <v>2.58415744</v>
      </c>
      <c r="G60" s="18" t="n">
        <v>53.28579942</v>
      </c>
      <c r="H60" s="20" t="n">
        <v>2.75052708</v>
      </c>
      <c r="I60" s="18" t="s">
        <v>431</v>
      </c>
      <c r="J60" s="20" t="s">
        <v>431</v>
      </c>
      <c r="K60" s="18" t="n">
        <v>2.70679849</v>
      </c>
      <c r="L60" s="20" t="n">
        <v>1.02159971</v>
      </c>
      <c r="M60" s="18" t="n">
        <v>0</v>
      </c>
      <c r="N60" s="20" t="n">
        <v>0</v>
      </c>
      <c r="O60" s="18" t="n">
        <v>2.88170958</v>
      </c>
      <c r="P60" s="20" t="n">
        <v>0.9822915800000001</v>
      </c>
      <c r="Q60" s="18" t="n">
        <v>5.8448821</v>
      </c>
      <c r="R60" s="20" t="n">
        <v>1.1893516</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24.13707593</v>
      </c>
      <c r="F63" s="20" t="n">
        <v>2.17095663</v>
      </c>
      <c r="G63" s="18" t="n">
        <v>69.36426052</v>
      </c>
      <c r="H63" s="20" t="n">
        <v>2.33143714</v>
      </c>
      <c r="I63" s="18" t="s">
        <v>431</v>
      </c>
      <c r="J63" s="20" t="s">
        <v>431</v>
      </c>
      <c r="K63" s="18" t="n">
        <v>2.4054417</v>
      </c>
      <c r="L63" s="20" t="n">
        <v>0.7088191700000001</v>
      </c>
      <c r="M63" s="18" t="n">
        <v>0</v>
      </c>
      <c r="N63" s="20" t="n">
        <v>0</v>
      </c>
      <c r="O63" s="18" t="n">
        <v>1.00405506</v>
      </c>
      <c r="P63" s="20" t="n">
        <v>0.51922511</v>
      </c>
      <c r="Q63" s="18" t="n">
        <v>3.08916678</v>
      </c>
      <c r="R63" s="20" t="n">
        <v>0.91207839</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35.7349588</v>
      </c>
      <c r="F65" s="20" t="n">
        <v>2.19114722</v>
      </c>
      <c r="G65" s="18" t="n">
        <v>58.46932229</v>
      </c>
      <c r="H65" s="20" t="n">
        <v>2.16603498</v>
      </c>
      <c r="I65" s="18" t="s">
        <v>431</v>
      </c>
      <c r="J65" s="20" t="s">
        <v>431</v>
      </c>
      <c r="K65" s="18" t="n">
        <v>1.54338017</v>
      </c>
      <c r="L65" s="20" t="n">
        <v>0.56984782</v>
      </c>
      <c r="M65" s="18" t="n">
        <v>2.52299461</v>
      </c>
      <c r="N65" s="20" t="n">
        <v>0.82940418</v>
      </c>
      <c r="O65" s="18" t="n">
        <v>0</v>
      </c>
      <c r="P65" s="20" t="n">
        <v>0</v>
      </c>
      <c r="Q65" s="18" t="n">
        <v>1.72934413</v>
      </c>
      <c r="R65" s="20" t="n">
        <v>0.54882845</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26.73916736</v>
      </c>
      <c r="F69" s="20" t="n">
        <v>2.61601197</v>
      </c>
      <c r="G69" s="18" t="n">
        <v>72.8165281</v>
      </c>
      <c r="H69" s="20" t="n">
        <v>2.58319786</v>
      </c>
      <c r="I69" s="18" t="s">
        <v>431</v>
      </c>
      <c r="J69" s="20" t="s">
        <v>431</v>
      </c>
      <c r="K69" s="18" t="n">
        <v>0.2382037</v>
      </c>
      <c r="L69" s="20" t="n">
        <v>0.23884517</v>
      </c>
      <c r="M69" s="18" t="n">
        <v>0</v>
      </c>
      <c r="N69" s="20" t="n">
        <v>0</v>
      </c>
      <c r="O69" s="18" t="n">
        <v>0</v>
      </c>
      <c r="P69" s="20" t="n">
        <v>0</v>
      </c>
      <c r="Q69" s="18" t="n">
        <v>0.20610084</v>
      </c>
      <c r="R69" s="20" t="n">
        <v>0.21470083</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9.428436230000001</v>
      </c>
      <c r="F74" s="20" t="n">
        <v>1.6165267</v>
      </c>
      <c r="G74" s="18" t="n">
        <v>86.93401679999999</v>
      </c>
      <c r="H74" s="20" t="n">
        <v>1.90671014</v>
      </c>
      <c r="I74" s="18" t="s">
        <v>431</v>
      </c>
      <c r="J74" s="20" t="s">
        <v>431</v>
      </c>
      <c r="K74" s="18" t="n">
        <v>2.33630606</v>
      </c>
      <c r="L74" s="20" t="n">
        <v>0.88575558</v>
      </c>
      <c r="M74" s="18" t="n">
        <v>0</v>
      </c>
      <c r="N74" s="20" t="n">
        <v>0</v>
      </c>
      <c r="O74" s="18" t="n">
        <v>0</v>
      </c>
      <c r="P74" s="20" t="n">
        <v>0</v>
      </c>
      <c r="Q74" s="18" t="n">
        <v>1.30124091</v>
      </c>
      <c r="R74" s="20" t="n">
        <v>0.6362958</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5.49871505</v>
      </c>
      <c r="F78" s="20" t="n">
        <v>1.57325055</v>
      </c>
      <c r="G78" s="18" t="n">
        <v>94.50128495</v>
      </c>
      <c r="H78" s="20" t="n">
        <v>1.57325055</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(648.0/B79*100)</f>
        <v/>
      </c>
      <c r="D79" s="19" t="n">
        <v>139</v>
      </c>
      <c r="E79" s="18" t="n">
        <v>5.05194183</v>
      </c>
      <c r="F79" s="20" t="n">
        <v>1.84617752</v>
      </c>
      <c r="G79" s="18" t="n">
        <v>90.20389418000001</v>
      </c>
      <c r="H79" s="20" t="n">
        <v>2.67661967</v>
      </c>
      <c r="I79" s="18" t="s">
        <v>431</v>
      </c>
      <c r="J79" s="20" t="s">
        <v>431</v>
      </c>
      <c r="K79" s="18" t="n">
        <v>1.46620016</v>
      </c>
      <c r="L79" s="20" t="n">
        <v>1.37314958</v>
      </c>
      <c r="M79" s="18" t="n">
        <v>0</v>
      </c>
      <c r="N79" s="20" t="n">
        <v>0</v>
      </c>
      <c r="O79" s="18" t="n">
        <v>0.70542069</v>
      </c>
      <c r="P79" s="20" t="n">
        <v>0.72117908</v>
      </c>
      <c r="Q79" s="18" t="n">
        <v>2.57254315</v>
      </c>
      <c r="R79" s="20" t="n">
        <v>1.50512591</v>
      </c>
    </row>
    <row r="80" spans="1:18">
      <c r="A80" s="15" t="s">
        <v>504</v>
      </c>
      <c r="B80" s="17" t="n">
        <v>3798</v>
      </c>
      <c r="C80" s="18">
        <f>(3147.0/B80*100)</f>
        <v/>
      </c>
      <c r="D80" s="19" t="n">
        <v>651</v>
      </c>
      <c r="E80" s="18" t="n">
        <v>11.7176121</v>
      </c>
      <c r="F80" s="20" t="n">
        <v>1.28554947</v>
      </c>
      <c r="G80" s="18" t="n">
        <v>88.2823879</v>
      </c>
      <c r="H80" s="20" t="n">
        <v>1.28554947</v>
      </c>
      <c r="I80" s="18" t="s">
        <v>431</v>
      </c>
      <c r="J80" s="20" t="s">
        <v>431</v>
      </c>
      <c r="K80" s="18" t="n">
        <v>0</v>
      </c>
      <c r="L80" s="20" t="n">
        <v>0</v>
      </c>
      <c r="M80" s="18" t="n">
        <v>0</v>
      </c>
      <c r="N80" s="20" t="n">
        <v>0</v>
      </c>
      <c r="O80" s="18" t="n">
        <v>0</v>
      </c>
      <c r="P80" s="20" t="n">
        <v>0</v>
      </c>
      <c r="Q80" s="18" t="n">
        <v>0</v>
      </c>
      <c r="R80" s="20" t="n">
        <v>0</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32.59718282</v>
      </c>
      <c r="F44" s="20" t="n">
        <v>2.53387523</v>
      </c>
      <c r="G44" s="18" t="n">
        <v>51.28200671</v>
      </c>
      <c r="H44" s="20" t="n">
        <v>3.10196812</v>
      </c>
      <c r="I44" s="18" t="s">
        <v>431</v>
      </c>
      <c r="J44" s="20" t="s">
        <v>431</v>
      </c>
      <c r="K44" s="18" t="n">
        <v>1.72243665</v>
      </c>
      <c r="L44" s="20" t="n">
        <v>0.72557497</v>
      </c>
      <c r="M44" s="18" t="n">
        <v>0</v>
      </c>
      <c r="N44" s="20" t="n">
        <v>0</v>
      </c>
      <c r="O44" s="18" t="n">
        <v>0.19067812</v>
      </c>
      <c r="P44" s="20" t="n">
        <v>0.18942485</v>
      </c>
      <c r="Q44" s="18" t="n">
        <v>14.2076957</v>
      </c>
      <c r="R44" s="20" t="n">
        <v>1.91543056</v>
      </c>
    </row>
    <row r="45" spans="1:18">
      <c r="A45" s="15" t="s">
        <v>469</v>
      </c>
      <c r="B45" s="17" t="n">
        <v>2849</v>
      </c>
      <c r="C45" s="18">
        <f>(2372.0/B45*100)</f>
        <v/>
      </c>
      <c r="D45" s="19" t="n">
        <v>477</v>
      </c>
      <c r="E45" s="18" t="n">
        <v>43.16938426</v>
      </c>
      <c r="F45" s="20" t="n">
        <v>2.61851656</v>
      </c>
      <c r="G45" s="18" t="n">
        <v>42.08463517</v>
      </c>
      <c r="H45" s="20" t="n">
        <v>2.48187135</v>
      </c>
      <c r="I45" s="18" t="s">
        <v>431</v>
      </c>
      <c r="J45" s="20" t="s">
        <v>431</v>
      </c>
      <c r="K45" s="18" t="n">
        <v>2.47701958</v>
      </c>
      <c r="L45" s="20" t="n">
        <v>1.01161061</v>
      </c>
      <c r="M45" s="18" t="n">
        <v>3.71311201</v>
      </c>
      <c r="N45" s="20" t="n">
        <v>1.06737844</v>
      </c>
      <c r="O45" s="18" t="n">
        <v>0</v>
      </c>
      <c r="P45" s="20" t="n">
        <v>0</v>
      </c>
      <c r="Q45" s="18" t="n">
        <v>8.55584898</v>
      </c>
      <c r="R45" s="20" t="n">
        <v>1.33667784</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23.06520547</v>
      </c>
      <c r="F49" s="20" t="n">
        <v>2.44806029</v>
      </c>
      <c r="G49" s="18" t="n">
        <v>69.48780318</v>
      </c>
      <c r="H49" s="20" t="n">
        <v>2.78614863</v>
      </c>
      <c r="I49" s="18" t="s">
        <v>431</v>
      </c>
      <c r="J49" s="20" t="s">
        <v>431</v>
      </c>
      <c r="K49" s="18" t="n">
        <v>2.53707727</v>
      </c>
      <c r="L49" s="20" t="n">
        <v>1.08365261</v>
      </c>
      <c r="M49" s="18" t="n">
        <v>0</v>
      </c>
      <c r="N49" s="20" t="n">
        <v>0</v>
      </c>
      <c r="O49" s="18" t="n">
        <v>0</v>
      </c>
      <c r="P49" s="20" t="n">
        <v>0</v>
      </c>
      <c r="Q49" s="18" t="n">
        <v>4.90991408</v>
      </c>
      <c r="R49" s="20" t="n">
        <v>1.19651213</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20.06971774</v>
      </c>
      <c r="F58" s="20" t="n">
        <v>2.1266603</v>
      </c>
      <c r="G58" s="18" t="n">
        <v>68.52499041</v>
      </c>
      <c r="H58" s="20" t="n">
        <v>2.42355924</v>
      </c>
      <c r="I58" s="18" t="s">
        <v>431</v>
      </c>
      <c r="J58" s="20" t="s">
        <v>431</v>
      </c>
      <c r="K58" s="18" t="n">
        <v>1.83592514</v>
      </c>
      <c r="L58" s="20" t="n">
        <v>0.68880959</v>
      </c>
      <c r="M58" s="18" t="n">
        <v>0</v>
      </c>
      <c r="N58" s="20" t="n">
        <v>0</v>
      </c>
      <c r="O58" s="18" t="n">
        <v>0</v>
      </c>
      <c r="P58" s="20" t="n">
        <v>0</v>
      </c>
      <c r="Q58" s="18" t="n">
        <v>9.569366710000001</v>
      </c>
      <c r="R58" s="20" t="n">
        <v>1.38499549</v>
      </c>
    </row>
    <row r="59" spans="1:18">
      <c r="A59" s="15" t="s">
        <v>483</v>
      </c>
      <c r="B59" s="17" t="n">
        <v>2548</v>
      </c>
      <c r="C59" s="18">
        <f>(2102.0/B59*100)</f>
        <v/>
      </c>
      <c r="D59" s="19" t="n">
        <v>446</v>
      </c>
      <c r="E59" s="18" t="n">
        <v>44.36030917</v>
      </c>
      <c r="F59" s="20" t="n">
        <v>2.89355016</v>
      </c>
      <c r="G59" s="18" t="n">
        <v>46.86147235</v>
      </c>
      <c r="H59" s="20" t="n">
        <v>3.18984048</v>
      </c>
      <c r="I59" s="18" t="s">
        <v>431</v>
      </c>
      <c r="J59" s="20" t="s">
        <v>431</v>
      </c>
      <c r="K59" s="18" t="n">
        <v>0.23864426</v>
      </c>
      <c r="L59" s="20" t="n">
        <v>0.17742558</v>
      </c>
      <c r="M59" s="18" t="n">
        <v>0</v>
      </c>
      <c r="N59" s="20" t="n">
        <v>0</v>
      </c>
      <c r="O59" s="18" t="n">
        <v>0</v>
      </c>
      <c r="P59" s="20" t="n">
        <v>0</v>
      </c>
      <c r="Q59" s="18" t="n">
        <v>8.53957422</v>
      </c>
      <c r="R59" s="20" t="n">
        <v>1.57501674</v>
      </c>
    </row>
    <row r="60" spans="1:18">
      <c r="A60" s="15" t="s">
        <v>484</v>
      </c>
      <c r="B60" s="17" t="n">
        <v>2095</v>
      </c>
      <c r="C60" s="18">
        <f>(1726.0/B60*100)</f>
        <v/>
      </c>
      <c r="D60" s="19" t="n">
        <v>369</v>
      </c>
      <c r="E60" s="18" t="n">
        <v>36.08531664</v>
      </c>
      <c r="F60" s="20" t="n">
        <v>3.18427919</v>
      </c>
      <c r="G60" s="18" t="n">
        <v>37.80035913</v>
      </c>
      <c r="H60" s="20" t="n">
        <v>2.81386477</v>
      </c>
      <c r="I60" s="18" t="s">
        <v>431</v>
      </c>
      <c r="J60" s="20" t="s">
        <v>431</v>
      </c>
      <c r="K60" s="18" t="n">
        <v>2.70679849</v>
      </c>
      <c r="L60" s="20" t="n">
        <v>1.02159971</v>
      </c>
      <c r="M60" s="18" t="n">
        <v>0</v>
      </c>
      <c r="N60" s="20" t="n">
        <v>0</v>
      </c>
      <c r="O60" s="18" t="n">
        <v>0</v>
      </c>
      <c r="P60" s="20" t="n">
        <v>0</v>
      </c>
      <c r="Q60" s="18" t="n">
        <v>23.40752574</v>
      </c>
      <c r="R60" s="20" t="n">
        <v>2.70184539</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37.72383864</v>
      </c>
      <c r="F63" s="20" t="n">
        <v>2.3700881</v>
      </c>
      <c r="G63" s="18" t="n">
        <v>34.03693809</v>
      </c>
      <c r="H63" s="20" t="n">
        <v>2.77230821</v>
      </c>
      <c r="I63" s="18" t="s">
        <v>431</v>
      </c>
      <c r="J63" s="20" t="s">
        <v>431</v>
      </c>
      <c r="K63" s="18" t="n">
        <v>2.76365671</v>
      </c>
      <c r="L63" s="20" t="n">
        <v>0.81699252</v>
      </c>
      <c r="M63" s="18" t="n">
        <v>0</v>
      </c>
      <c r="N63" s="20" t="n">
        <v>0</v>
      </c>
      <c r="O63" s="18" t="n">
        <v>0</v>
      </c>
      <c r="P63" s="20" t="n">
        <v>0</v>
      </c>
      <c r="Q63" s="18" t="n">
        <v>25.47556657</v>
      </c>
      <c r="R63" s="20" t="n">
        <v>2.55154145</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34.14673024</v>
      </c>
      <c r="F65" s="20" t="n">
        <v>2.15020116</v>
      </c>
      <c r="G65" s="18" t="n">
        <v>51.86225725</v>
      </c>
      <c r="H65" s="20" t="n">
        <v>2.37997826</v>
      </c>
      <c r="I65" s="18" t="s">
        <v>431</v>
      </c>
      <c r="J65" s="20" t="s">
        <v>431</v>
      </c>
      <c r="K65" s="18" t="n">
        <v>1.54338017</v>
      </c>
      <c r="L65" s="20" t="n">
        <v>0.56984782</v>
      </c>
      <c r="M65" s="18" t="n">
        <v>0.18666541</v>
      </c>
      <c r="N65" s="20" t="n">
        <v>0.18062983</v>
      </c>
      <c r="O65" s="18" t="n">
        <v>0</v>
      </c>
      <c r="P65" s="20" t="n">
        <v>0</v>
      </c>
      <c r="Q65" s="18" t="n">
        <v>12.26096694</v>
      </c>
      <c r="R65" s="20" t="n">
        <v>1.70909513</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21.66455113</v>
      </c>
      <c r="F69" s="20" t="n">
        <v>2.44669399</v>
      </c>
      <c r="G69" s="18" t="n">
        <v>77.41260492000001</v>
      </c>
      <c r="H69" s="20" t="n">
        <v>2.45514765</v>
      </c>
      <c r="I69" s="18" t="s">
        <v>431</v>
      </c>
      <c r="J69" s="20" t="s">
        <v>431</v>
      </c>
      <c r="K69" s="18" t="n">
        <v>0.2382037</v>
      </c>
      <c r="L69" s="20" t="n">
        <v>0.23884517</v>
      </c>
      <c r="M69" s="18" t="n">
        <v>0</v>
      </c>
      <c r="N69" s="20" t="n">
        <v>0</v>
      </c>
      <c r="O69" s="18" t="n">
        <v>0</v>
      </c>
      <c r="P69" s="20" t="n">
        <v>0</v>
      </c>
      <c r="Q69" s="18" t="n">
        <v>0.68464025</v>
      </c>
      <c r="R69" s="20" t="n">
        <v>0.50944411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34.33603518</v>
      </c>
      <c r="F74" s="20" t="n">
        <v>2.31858431</v>
      </c>
      <c r="G74" s="18" t="n">
        <v>53.84932593</v>
      </c>
      <c r="H74" s="20" t="n">
        <v>2.57217197</v>
      </c>
      <c r="I74" s="18" t="s">
        <v>431</v>
      </c>
      <c r="J74" s="20" t="s">
        <v>431</v>
      </c>
      <c r="K74" s="18" t="n">
        <v>2.59285532</v>
      </c>
      <c r="L74" s="20" t="n">
        <v>0.92041863</v>
      </c>
      <c r="M74" s="18" t="n">
        <v>0</v>
      </c>
      <c r="N74" s="20" t="n">
        <v>0</v>
      </c>
      <c r="O74" s="18" t="n">
        <v>0</v>
      </c>
      <c r="P74" s="20" t="n">
        <v>0</v>
      </c>
      <c r="Q74" s="18" t="n">
        <v>9.221783569999999</v>
      </c>
      <c r="R74" s="20" t="n">
        <v>1.59760662</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33.97492416</v>
      </c>
      <c r="F78" s="20" t="n">
        <v>2.90584317</v>
      </c>
      <c r="G78" s="18" t="n">
        <v>65.33900237</v>
      </c>
      <c r="H78" s="20" t="n">
        <v>2.9809918</v>
      </c>
      <c r="I78" s="18" t="s">
        <v>431</v>
      </c>
      <c r="J78" s="20" t="s">
        <v>431</v>
      </c>
      <c r="K78" s="18" t="n">
        <v>0</v>
      </c>
      <c r="L78" s="20" t="n">
        <v>0</v>
      </c>
      <c r="M78" s="18" t="n">
        <v>0</v>
      </c>
      <c r="N78" s="20" t="n">
        <v>0</v>
      </c>
      <c r="O78" s="18" t="n">
        <v>0</v>
      </c>
      <c r="P78" s="20" t="n">
        <v>0</v>
      </c>
      <c r="Q78" s="18" t="n">
        <v>0.68607348</v>
      </c>
      <c r="R78" s="20" t="n">
        <v>0.527178</v>
      </c>
    </row>
    <row customHeight="1" ht="25" r="79" spans="1:18">
      <c r="A79" s="15" t="s">
        <v>503</v>
      </c>
      <c r="B79" s="17" t="n">
        <v>787</v>
      </c>
      <c r="C79" s="18">
        <f>(648.0/B79*100)</f>
        <v/>
      </c>
      <c r="D79" s="19" t="n">
        <v>139</v>
      </c>
      <c r="E79" s="18" t="n">
        <v>13.61806308</v>
      </c>
      <c r="F79" s="20" t="n">
        <v>3.58472499</v>
      </c>
      <c r="G79" s="18" t="n">
        <v>79.25187749</v>
      </c>
      <c r="H79" s="20" t="n">
        <v>4.56313662</v>
      </c>
      <c r="I79" s="18" t="s">
        <v>431</v>
      </c>
      <c r="J79" s="20" t="s">
        <v>431</v>
      </c>
      <c r="K79" s="18" t="n">
        <v>1.46620016</v>
      </c>
      <c r="L79" s="20" t="n">
        <v>1.37314958</v>
      </c>
      <c r="M79" s="18" t="n">
        <v>0</v>
      </c>
      <c r="N79" s="20" t="n">
        <v>0</v>
      </c>
      <c r="O79" s="18" t="n">
        <v>0</v>
      </c>
      <c r="P79" s="20" t="n">
        <v>0</v>
      </c>
      <c r="Q79" s="18" t="n">
        <v>5.66385928</v>
      </c>
      <c r="R79" s="20" t="n">
        <v>2.11829865</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718</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19.70755378</v>
      </c>
      <c r="F44" s="20" t="n">
        <v>2.10654365</v>
      </c>
      <c r="G44" s="18" t="n">
        <v>73.29021953</v>
      </c>
      <c r="H44" s="20" t="n">
        <v>2.4835248</v>
      </c>
      <c r="I44" s="18" t="s">
        <v>431</v>
      </c>
      <c r="J44" s="20" t="s">
        <v>431</v>
      </c>
      <c r="K44" s="18" t="n">
        <v>1.72243665</v>
      </c>
      <c r="L44" s="20" t="n">
        <v>0.72557497</v>
      </c>
      <c r="M44" s="18" t="n">
        <v>0</v>
      </c>
      <c r="N44" s="20" t="n">
        <v>0</v>
      </c>
      <c r="O44" s="18" t="n">
        <v>2.29522104</v>
      </c>
      <c r="P44" s="20" t="n">
        <v>0.85059942</v>
      </c>
      <c r="Q44" s="18" t="n">
        <v>2.984569</v>
      </c>
      <c r="R44" s="20" t="n">
        <v>0.8684546400000001</v>
      </c>
    </row>
    <row r="45" spans="1:18">
      <c r="A45" s="15" t="s">
        <v>469</v>
      </c>
      <c r="B45" s="17" t="n">
        <v>2849</v>
      </c>
      <c r="C45" s="18">
        <f>(2372.0/B45*100)</f>
        <v/>
      </c>
      <c r="D45" s="19" t="n">
        <v>477</v>
      </c>
      <c r="E45" s="18" t="n">
        <v>29.95447689</v>
      </c>
      <c r="F45" s="20" t="n">
        <v>2.31859049</v>
      </c>
      <c r="G45" s="18" t="n">
        <v>60.31008899</v>
      </c>
      <c r="H45" s="20" t="n">
        <v>2.22789456</v>
      </c>
      <c r="I45" s="18" t="s">
        <v>431</v>
      </c>
      <c r="J45" s="20" t="s">
        <v>431</v>
      </c>
      <c r="K45" s="18" t="n">
        <v>2.47701958</v>
      </c>
      <c r="L45" s="20" t="n">
        <v>1.01161061</v>
      </c>
      <c r="M45" s="18" t="n">
        <v>0.19375424</v>
      </c>
      <c r="N45" s="20" t="n">
        <v>0.19593054</v>
      </c>
      <c r="O45" s="18" t="n">
        <v>4.15593467</v>
      </c>
      <c r="P45" s="20" t="n">
        <v>1.05227316</v>
      </c>
      <c r="Q45" s="18" t="n">
        <v>2.90872563</v>
      </c>
      <c r="R45" s="20" t="n">
        <v>0.63706633</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13.04669484</v>
      </c>
      <c r="F49" s="20" t="n">
        <v>1.82818956</v>
      </c>
      <c r="G49" s="18" t="n">
        <v>83.50147848</v>
      </c>
      <c r="H49" s="20" t="n">
        <v>2.06563045</v>
      </c>
      <c r="I49" s="18" t="s">
        <v>431</v>
      </c>
      <c r="J49" s="20" t="s">
        <v>431</v>
      </c>
      <c r="K49" s="18" t="n">
        <v>2.53707727</v>
      </c>
      <c r="L49" s="20" t="n">
        <v>1.08365261</v>
      </c>
      <c r="M49" s="18" t="n">
        <v>0</v>
      </c>
      <c r="N49" s="20" t="n">
        <v>0</v>
      </c>
      <c r="O49" s="18" t="n">
        <v>0.23466947</v>
      </c>
      <c r="P49" s="20" t="n">
        <v>0.24035696</v>
      </c>
      <c r="Q49" s="18" t="n">
        <v>0.68007994</v>
      </c>
      <c r="R49" s="20" t="n">
        <v>0.39123797</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21.96796688</v>
      </c>
      <c r="F58" s="20" t="n">
        <v>1.63497082</v>
      </c>
      <c r="G58" s="18" t="n">
        <v>70.18950565999999</v>
      </c>
      <c r="H58" s="20" t="n">
        <v>1.88765704</v>
      </c>
      <c r="I58" s="18" t="s">
        <v>431</v>
      </c>
      <c r="J58" s="20" t="s">
        <v>431</v>
      </c>
      <c r="K58" s="18" t="n">
        <v>1.83592514</v>
      </c>
      <c r="L58" s="20" t="n">
        <v>0.68880959</v>
      </c>
      <c r="M58" s="18" t="n">
        <v>0</v>
      </c>
      <c r="N58" s="20" t="n">
        <v>0</v>
      </c>
      <c r="O58" s="18" t="n">
        <v>0.48350643</v>
      </c>
      <c r="P58" s="20" t="n">
        <v>0.3382763</v>
      </c>
      <c r="Q58" s="18" t="n">
        <v>5.5230959</v>
      </c>
      <c r="R58" s="20" t="n">
        <v>1.1694283</v>
      </c>
    </row>
    <row r="59" spans="1:18">
      <c r="A59" s="15" t="s">
        <v>483</v>
      </c>
      <c r="B59" s="17" t="n">
        <v>2548</v>
      </c>
      <c r="C59" s="18">
        <f>(2102.0/B59*100)</f>
        <v/>
      </c>
      <c r="D59" s="19" t="n">
        <v>446</v>
      </c>
      <c r="E59" s="18" t="n">
        <v>30.84596217</v>
      </c>
      <c r="F59" s="20" t="n">
        <v>2.74374711</v>
      </c>
      <c r="G59" s="18" t="n">
        <v>65.12923558999999</v>
      </c>
      <c r="H59" s="20" t="n">
        <v>2.81619786</v>
      </c>
      <c r="I59" s="18" t="s">
        <v>431</v>
      </c>
      <c r="J59" s="20" t="s">
        <v>431</v>
      </c>
      <c r="K59" s="18" t="n">
        <v>0.23864426</v>
      </c>
      <c r="L59" s="20" t="n">
        <v>0.17742558</v>
      </c>
      <c r="M59" s="18" t="n">
        <v>0</v>
      </c>
      <c r="N59" s="20" t="n">
        <v>0</v>
      </c>
      <c r="O59" s="18" t="n">
        <v>1.72328657</v>
      </c>
      <c r="P59" s="20" t="n">
        <v>0.72331092</v>
      </c>
      <c r="Q59" s="18" t="n">
        <v>2.0628714</v>
      </c>
      <c r="R59" s="20" t="n">
        <v>0.86509839</v>
      </c>
    </row>
    <row r="60" spans="1:18">
      <c r="A60" s="15" t="s">
        <v>484</v>
      </c>
      <c r="B60" s="17" t="n">
        <v>2095</v>
      </c>
      <c r="C60" s="18">
        <f>(1726.0/B60*100)</f>
        <v/>
      </c>
      <c r="D60" s="19" t="n">
        <v>369</v>
      </c>
      <c r="E60" s="18" t="n">
        <v>36.61228251</v>
      </c>
      <c r="F60" s="20" t="n">
        <v>3.00893642</v>
      </c>
      <c r="G60" s="18" t="n">
        <v>51.61063062</v>
      </c>
      <c r="H60" s="20" t="n">
        <v>2.81422704</v>
      </c>
      <c r="I60" s="18" t="s">
        <v>431</v>
      </c>
      <c r="J60" s="20" t="s">
        <v>431</v>
      </c>
      <c r="K60" s="18" t="n">
        <v>2.70679849</v>
      </c>
      <c r="L60" s="20" t="n">
        <v>1.02159971</v>
      </c>
      <c r="M60" s="18" t="n">
        <v>0</v>
      </c>
      <c r="N60" s="20" t="n">
        <v>0</v>
      </c>
      <c r="O60" s="18" t="n">
        <v>3.99690223</v>
      </c>
      <c r="P60" s="20" t="n">
        <v>1.04194089</v>
      </c>
      <c r="Q60" s="18" t="n">
        <v>5.07338614</v>
      </c>
      <c r="R60" s="20" t="n">
        <v>1.11974564</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34.95056485</v>
      </c>
      <c r="F63" s="20" t="n">
        <v>2.08041596</v>
      </c>
      <c r="G63" s="18" t="n">
        <v>58.02604233</v>
      </c>
      <c r="H63" s="20" t="n">
        <v>2.32326041</v>
      </c>
      <c r="I63" s="18" t="s">
        <v>431</v>
      </c>
      <c r="J63" s="20" t="s">
        <v>431</v>
      </c>
      <c r="K63" s="18" t="n">
        <v>2.76365671</v>
      </c>
      <c r="L63" s="20" t="n">
        <v>0.81699252</v>
      </c>
      <c r="M63" s="18" t="n">
        <v>0</v>
      </c>
      <c r="N63" s="20" t="n">
        <v>0</v>
      </c>
      <c r="O63" s="18" t="n">
        <v>1.70700758</v>
      </c>
      <c r="P63" s="20" t="n">
        <v>0.70933506</v>
      </c>
      <c r="Q63" s="18" t="n">
        <v>2.55272853</v>
      </c>
      <c r="R63" s="20" t="n">
        <v>0.80426944</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23.31151499</v>
      </c>
      <c r="F65" s="20" t="n">
        <v>2.35471739</v>
      </c>
      <c r="G65" s="18" t="n">
        <v>69.67517736000001</v>
      </c>
      <c r="H65" s="20" t="n">
        <v>2.24458668</v>
      </c>
      <c r="I65" s="18" t="s">
        <v>431</v>
      </c>
      <c r="J65" s="20" t="s">
        <v>431</v>
      </c>
      <c r="K65" s="18" t="n">
        <v>1.90885963</v>
      </c>
      <c r="L65" s="20" t="n">
        <v>0.55708983</v>
      </c>
      <c r="M65" s="18" t="n">
        <v>3.2605495</v>
      </c>
      <c r="N65" s="20" t="n">
        <v>0.8853664</v>
      </c>
      <c r="O65" s="18" t="n">
        <v>0</v>
      </c>
      <c r="P65" s="20" t="n">
        <v>0</v>
      </c>
      <c r="Q65" s="18" t="n">
        <v>1.84389853</v>
      </c>
      <c r="R65" s="20" t="n">
        <v>0.5993638</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22.33476267</v>
      </c>
      <c r="F69" s="20" t="n">
        <v>2.53723901</v>
      </c>
      <c r="G69" s="18" t="n">
        <v>77.2209328</v>
      </c>
      <c r="H69" s="20" t="n">
        <v>2.53898343</v>
      </c>
      <c r="I69" s="18" t="s">
        <v>431</v>
      </c>
      <c r="J69" s="20" t="s">
        <v>431</v>
      </c>
      <c r="K69" s="18" t="n">
        <v>0.2382037</v>
      </c>
      <c r="L69" s="20" t="n">
        <v>0.23884517</v>
      </c>
      <c r="M69" s="18" t="n">
        <v>0</v>
      </c>
      <c r="N69" s="20" t="n">
        <v>0</v>
      </c>
      <c r="O69" s="18" t="n">
        <v>0</v>
      </c>
      <c r="P69" s="20" t="n">
        <v>0</v>
      </c>
      <c r="Q69" s="18" t="n">
        <v>0.20610084</v>
      </c>
      <c r="R69" s="20" t="n">
        <v>0.21470083</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8.304932490000001</v>
      </c>
      <c r="F74" s="20" t="n">
        <v>1.58060105</v>
      </c>
      <c r="G74" s="18" t="n">
        <v>87.58668382</v>
      </c>
      <c r="H74" s="20" t="n">
        <v>1.72488714</v>
      </c>
      <c r="I74" s="18" t="s">
        <v>431</v>
      </c>
      <c r="J74" s="20" t="s">
        <v>431</v>
      </c>
      <c r="K74" s="18" t="n">
        <v>2.59285532</v>
      </c>
      <c r="L74" s="20" t="n">
        <v>0.92041863</v>
      </c>
      <c r="M74" s="18" t="n">
        <v>0</v>
      </c>
      <c r="N74" s="20" t="n">
        <v>0</v>
      </c>
      <c r="O74" s="18" t="n">
        <v>0</v>
      </c>
      <c r="P74" s="20" t="n">
        <v>0</v>
      </c>
      <c r="Q74" s="18" t="n">
        <v>1.51552837</v>
      </c>
      <c r="R74" s="20" t="n">
        <v>0.67524202</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6.36954389</v>
      </c>
      <c r="F78" s="20" t="n">
        <v>1.23932755</v>
      </c>
      <c r="G78" s="18" t="n">
        <v>93.63045611</v>
      </c>
      <c r="H78" s="20" t="n">
        <v>1.23932755</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(648.0/B79*100)</f>
        <v/>
      </c>
      <c r="D79" s="19" t="n">
        <v>139</v>
      </c>
      <c r="E79" s="18" t="n">
        <v>5.86884263</v>
      </c>
      <c r="F79" s="20" t="n">
        <v>2.21558433</v>
      </c>
      <c r="G79" s="18" t="n">
        <v>90.09241407</v>
      </c>
      <c r="H79" s="20" t="n">
        <v>2.42286554</v>
      </c>
      <c r="I79" s="18" t="s">
        <v>431</v>
      </c>
      <c r="J79" s="20" t="s">
        <v>431</v>
      </c>
      <c r="K79" s="18" t="n">
        <v>1.46620016</v>
      </c>
      <c r="L79" s="20" t="n">
        <v>1.37314958</v>
      </c>
      <c r="M79" s="18" t="n">
        <v>0</v>
      </c>
      <c r="N79" s="20" t="n">
        <v>0</v>
      </c>
      <c r="O79" s="18" t="n">
        <v>0</v>
      </c>
      <c r="P79" s="20" t="n">
        <v>0</v>
      </c>
      <c r="Q79" s="18" t="n">
        <v>2.57254315</v>
      </c>
      <c r="R79" s="20" t="n">
        <v>1.50512591</v>
      </c>
    </row>
    <row r="80" spans="1:18">
      <c r="A80" s="15" t="s">
        <v>504</v>
      </c>
      <c r="B80" s="17" t="n">
        <v>3798</v>
      </c>
      <c r="C80" s="18">
        <f>(3147.0/B80*100)</f>
        <v/>
      </c>
      <c r="D80" s="19" t="n">
        <v>651</v>
      </c>
      <c r="E80" s="18" t="n">
        <v>12.35484137</v>
      </c>
      <c r="F80" s="20" t="n">
        <v>1.6257451</v>
      </c>
      <c r="G80" s="18" t="n">
        <v>87.64515863</v>
      </c>
      <c r="H80" s="20" t="n">
        <v>1.6257451</v>
      </c>
      <c r="I80" s="18" t="s">
        <v>431</v>
      </c>
      <c r="J80" s="20" t="s">
        <v>431</v>
      </c>
      <c r="K80" s="18" t="n">
        <v>0</v>
      </c>
      <c r="L80" s="20" t="n">
        <v>0</v>
      </c>
      <c r="M80" s="18" t="n">
        <v>0</v>
      </c>
      <c r="N80" s="20" t="n">
        <v>0</v>
      </c>
      <c r="O80" s="18" t="n">
        <v>0</v>
      </c>
      <c r="P80" s="20" t="n">
        <v>0</v>
      </c>
      <c r="Q80" s="18" t="n">
        <v>0</v>
      </c>
      <c r="R80" s="20" t="n">
        <v>0</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719</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34.37863969</v>
      </c>
      <c r="F44" s="20" t="n">
        <v>2.99644984</v>
      </c>
      <c r="G44" s="18" t="n">
        <v>58.88032115</v>
      </c>
      <c r="H44" s="20" t="n">
        <v>3.06887222</v>
      </c>
      <c r="I44" s="18" t="s">
        <v>431</v>
      </c>
      <c r="J44" s="20" t="s">
        <v>431</v>
      </c>
      <c r="K44" s="18" t="n">
        <v>1.72243665</v>
      </c>
      <c r="L44" s="20" t="n">
        <v>0.72557497</v>
      </c>
      <c r="M44" s="18" t="n">
        <v>0</v>
      </c>
      <c r="N44" s="20" t="n">
        <v>0</v>
      </c>
      <c r="O44" s="18" t="n">
        <v>1.97987988</v>
      </c>
      <c r="P44" s="20" t="n">
        <v>0.71920949</v>
      </c>
      <c r="Q44" s="18" t="n">
        <v>3.03872263</v>
      </c>
      <c r="R44" s="20" t="n">
        <v>0.93703188</v>
      </c>
    </row>
    <row r="45" spans="1:18">
      <c r="A45" s="15" t="s">
        <v>469</v>
      </c>
      <c r="B45" s="17" t="n">
        <v>2849</v>
      </c>
      <c r="C45" s="18">
        <f>(2372.0/B45*100)</f>
        <v/>
      </c>
      <c r="D45" s="19" t="n">
        <v>477</v>
      </c>
      <c r="E45" s="18" t="n">
        <v>57.12461664</v>
      </c>
      <c r="F45" s="20" t="n">
        <v>2.36704783</v>
      </c>
      <c r="G45" s="18" t="n">
        <v>33.75650344</v>
      </c>
      <c r="H45" s="20" t="n">
        <v>2.2661171</v>
      </c>
      <c r="I45" s="18" t="s">
        <v>431</v>
      </c>
      <c r="J45" s="20" t="s">
        <v>431</v>
      </c>
      <c r="K45" s="18" t="n">
        <v>2.66093887</v>
      </c>
      <c r="L45" s="20" t="n">
        <v>1.06635054</v>
      </c>
      <c r="M45" s="18" t="n">
        <v>0.19375424</v>
      </c>
      <c r="N45" s="20" t="n">
        <v>0.19593054</v>
      </c>
      <c r="O45" s="18" t="n">
        <v>2.67667977</v>
      </c>
      <c r="P45" s="20" t="n">
        <v>0.7510395399999999</v>
      </c>
      <c r="Q45" s="18" t="n">
        <v>3.58750704</v>
      </c>
      <c r="R45" s="20" t="n">
        <v>0.8554101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29.95951641</v>
      </c>
      <c r="F49" s="20" t="n">
        <v>2.75807829</v>
      </c>
      <c r="G49" s="18" t="n">
        <v>65.43998685</v>
      </c>
      <c r="H49" s="20" t="n">
        <v>2.74260496</v>
      </c>
      <c r="I49" s="18" t="s">
        <v>431</v>
      </c>
      <c r="J49" s="20" t="s">
        <v>431</v>
      </c>
      <c r="K49" s="18" t="n">
        <v>2.53707727</v>
      </c>
      <c r="L49" s="20" t="n">
        <v>1.08365261</v>
      </c>
      <c r="M49" s="18" t="n">
        <v>0</v>
      </c>
      <c r="N49" s="20" t="n">
        <v>0</v>
      </c>
      <c r="O49" s="18" t="n">
        <v>0.82627613</v>
      </c>
      <c r="P49" s="20" t="n">
        <v>0.39256896</v>
      </c>
      <c r="Q49" s="18" t="n">
        <v>1.23714334</v>
      </c>
      <c r="R49" s="20" t="n">
        <v>0.51851794</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61.42035199</v>
      </c>
      <c r="F58" s="20" t="n">
        <v>2.11487387</v>
      </c>
      <c r="G58" s="18" t="n">
        <v>31.42823883</v>
      </c>
      <c r="H58" s="20" t="n">
        <v>2.14958196</v>
      </c>
      <c r="I58" s="18" t="s">
        <v>431</v>
      </c>
      <c r="J58" s="20" t="s">
        <v>431</v>
      </c>
      <c r="K58" s="18" t="n">
        <v>1.83592514</v>
      </c>
      <c r="L58" s="20" t="n">
        <v>0.68880959</v>
      </c>
      <c r="M58" s="18" t="n">
        <v>0</v>
      </c>
      <c r="N58" s="20" t="n">
        <v>0</v>
      </c>
      <c r="O58" s="18" t="n">
        <v>0.27528083</v>
      </c>
      <c r="P58" s="20" t="n">
        <v>0.23613891</v>
      </c>
      <c r="Q58" s="18" t="n">
        <v>5.04020322</v>
      </c>
      <c r="R58" s="20" t="n">
        <v>1.13091883</v>
      </c>
    </row>
    <row r="59" spans="1:18">
      <c r="A59" s="15" t="s">
        <v>483</v>
      </c>
      <c r="B59" s="17" t="n">
        <v>2548</v>
      </c>
      <c r="C59" s="18">
        <f>(2102.0/B59*100)</f>
        <v/>
      </c>
      <c r="D59" s="19" t="n">
        <v>446</v>
      </c>
      <c r="E59" s="18" t="n">
        <v>57.62996044</v>
      </c>
      <c r="F59" s="20" t="n">
        <v>3.12863065</v>
      </c>
      <c r="G59" s="18" t="n">
        <v>38.17656813</v>
      </c>
      <c r="H59" s="20" t="n">
        <v>3.07996842</v>
      </c>
      <c r="I59" s="18" t="s">
        <v>431</v>
      </c>
      <c r="J59" s="20" t="s">
        <v>431</v>
      </c>
      <c r="K59" s="18" t="n">
        <v>0.23864426</v>
      </c>
      <c r="L59" s="20" t="n">
        <v>0.17742558</v>
      </c>
      <c r="M59" s="18" t="n">
        <v>0</v>
      </c>
      <c r="N59" s="20" t="n">
        <v>0</v>
      </c>
      <c r="O59" s="18" t="n">
        <v>1.71384542</v>
      </c>
      <c r="P59" s="20" t="n">
        <v>0.70214782</v>
      </c>
      <c r="Q59" s="18" t="n">
        <v>2.24098175</v>
      </c>
      <c r="R59" s="20" t="n">
        <v>0.87984619</v>
      </c>
    </row>
    <row r="60" spans="1:18">
      <c r="A60" s="15" t="s">
        <v>484</v>
      </c>
      <c r="B60" s="17" t="n">
        <v>2095</v>
      </c>
      <c r="C60" s="18">
        <f>(1726.0/B60*100)</f>
        <v/>
      </c>
      <c r="D60" s="19" t="n">
        <v>369</v>
      </c>
      <c r="E60" s="18" t="n">
        <v>50.46210838</v>
      </c>
      <c r="F60" s="20" t="n">
        <v>2.88433402</v>
      </c>
      <c r="G60" s="18" t="n">
        <v>39.11077722</v>
      </c>
      <c r="H60" s="20" t="n">
        <v>2.85639686</v>
      </c>
      <c r="I60" s="18" t="s">
        <v>431</v>
      </c>
      <c r="J60" s="20" t="s">
        <v>431</v>
      </c>
      <c r="K60" s="18" t="n">
        <v>2.70679849</v>
      </c>
      <c r="L60" s="20" t="n">
        <v>1.02159971</v>
      </c>
      <c r="M60" s="18" t="n">
        <v>0</v>
      </c>
      <c r="N60" s="20" t="n">
        <v>0</v>
      </c>
      <c r="O60" s="18" t="n">
        <v>2.94856765</v>
      </c>
      <c r="P60" s="20" t="n">
        <v>0.93453427</v>
      </c>
      <c r="Q60" s="18" t="n">
        <v>4.77174827</v>
      </c>
      <c r="R60" s="20" t="n">
        <v>0.96880127</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64.40075336</v>
      </c>
      <c r="F63" s="20" t="n">
        <v>2.23125298</v>
      </c>
      <c r="G63" s="18" t="n">
        <v>28.41010283</v>
      </c>
      <c r="H63" s="20" t="n">
        <v>2.41432499</v>
      </c>
      <c r="I63" s="18" t="s">
        <v>431</v>
      </c>
      <c r="J63" s="20" t="s">
        <v>431</v>
      </c>
      <c r="K63" s="18" t="n">
        <v>2.76365671</v>
      </c>
      <c r="L63" s="20" t="n">
        <v>0.81699252</v>
      </c>
      <c r="M63" s="18" t="n">
        <v>0</v>
      </c>
      <c r="N63" s="20" t="n">
        <v>0</v>
      </c>
      <c r="O63" s="18" t="n">
        <v>0.692021</v>
      </c>
      <c r="P63" s="20" t="n">
        <v>0.45078588</v>
      </c>
      <c r="Q63" s="18" t="n">
        <v>3.73346611</v>
      </c>
      <c r="R63" s="20" t="n">
        <v>0.81074627</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40.36313609</v>
      </c>
      <c r="F65" s="20" t="n">
        <v>2.38566205</v>
      </c>
      <c r="G65" s="18" t="n">
        <v>52.87579351</v>
      </c>
      <c r="H65" s="20" t="n">
        <v>2.34386366</v>
      </c>
      <c r="I65" s="18" t="s">
        <v>431</v>
      </c>
      <c r="J65" s="20" t="s">
        <v>431</v>
      </c>
      <c r="K65" s="18" t="n">
        <v>1.90885963</v>
      </c>
      <c r="L65" s="20" t="n">
        <v>0.55708983</v>
      </c>
      <c r="M65" s="18" t="n">
        <v>2.72481595</v>
      </c>
      <c r="N65" s="20" t="n">
        <v>0.77057262</v>
      </c>
      <c r="O65" s="18" t="n">
        <v>0</v>
      </c>
      <c r="P65" s="20" t="n">
        <v>0</v>
      </c>
      <c r="Q65" s="18" t="n">
        <v>2.12739483</v>
      </c>
      <c r="R65" s="20" t="n">
        <v>0.59693871</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34.423636</v>
      </c>
      <c r="F69" s="20" t="n">
        <v>2.57611728</v>
      </c>
      <c r="G69" s="18" t="n">
        <v>64.89960725</v>
      </c>
      <c r="H69" s="20" t="n">
        <v>2.50176504</v>
      </c>
      <c r="I69" s="18" t="s">
        <v>431</v>
      </c>
      <c r="J69" s="20" t="s">
        <v>431</v>
      </c>
      <c r="K69" s="18" t="n">
        <v>0.2382037</v>
      </c>
      <c r="L69" s="20" t="n">
        <v>0.23884517</v>
      </c>
      <c r="M69" s="18" t="n">
        <v>0</v>
      </c>
      <c r="N69" s="20" t="n">
        <v>0</v>
      </c>
      <c r="O69" s="18" t="n">
        <v>0.23245222</v>
      </c>
      <c r="P69" s="20" t="n">
        <v>0.23367262</v>
      </c>
      <c r="Q69" s="18" t="n">
        <v>0.20610084</v>
      </c>
      <c r="R69" s="20" t="n">
        <v>0.21470083</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25.81938535</v>
      </c>
      <c r="F74" s="20" t="n">
        <v>2.35655089</v>
      </c>
      <c r="G74" s="18" t="n">
        <v>69.55207518</v>
      </c>
      <c r="H74" s="20" t="n">
        <v>2.58323069</v>
      </c>
      <c r="I74" s="18" t="s">
        <v>431</v>
      </c>
      <c r="J74" s="20" t="s">
        <v>431</v>
      </c>
      <c r="K74" s="18" t="n">
        <v>2.82988799</v>
      </c>
      <c r="L74" s="20" t="n">
        <v>0.95065215</v>
      </c>
      <c r="M74" s="18" t="n">
        <v>0</v>
      </c>
      <c r="N74" s="20" t="n">
        <v>0</v>
      </c>
      <c r="O74" s="18" t="n">
        <v>0</v>
      </c>
      <c r="P74" s="20" t="n">
        <v>0</v>
      </c>
      <c r="Q74" s="18" t="n">
        <v>1.79865148</v>
      </c>
      <c r="R74" s="20" t="n">
        <v>0.7916876900000001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9.94373174</v>
      </c>
      <c r="F78" s="20" t="n">
        <v>1.54562118</v>
      </c>
      <c r="G78" s="18" t="n">
        <v>89.92397862</v>
      </c>
      <c r="H78" s="20" t="n">
        <v>1.54957901</v>
      </c>
      <c r="I78" s="18" t="s">
        <v>431</v>
      </c>
      <c r="J78" s="20" t="s">
        <v>431</v>
      </c>
      <c r="K78" s="18" t="n">
        <v>0</v>
      </c>
      <c r="L78" s="20" t="n">
        <v>0</v>
      </c>
      <c r="M78" s="18" t="n">
        <v>0</v>
      </c>
      <c r="N78" s="20" t="n">
        <v>0</v>
      </c>
      <c r="O78" s="18" t="n">
        <v>0</v>
      </c>
      <c r="P78" s="20" t="n">
        <v>0</v>
      </c>
      <c r="Q78" s="18" t="n">
        <v>0.13228964</v>
      </c>
      <c r="R78" s="20" t="n">
        <v>0.13321175</v>
      </c>
    </row>
    <row customHeight="1" ht="25" r="79" spans="1:18">
      <c r="A79" s="15" t="s">
        <v>503</v>
      </c>
      <c r="B79" s="17" t="n">
        <v>787</v>
      </c>
      <c r="C79" s="18">
        <f>(648.0/B79*100)</f>
        <v/>
      </c>
      <c r="D79" s="19" t="n">
        <v>139</v>
      </c>
      <c r="E79" s="18" t="n">
        <v>21.97286734</v>
      </c>
      <c r="F79" s="20" t="n">
        <v>3.19650736</v>
      </c>
      <c r="G79" s="18" t="n">
        <v>73.74818664</v>
      </c>
      <c r="H79" s="20" t="n">
        <v>3.33824152</v>
      </c>
      <c r="I79" s="18" t="s">
        <v>431</v>
      </c>
      <c r="J79" s="20" t="s">
        <v>431</v>
      </c>
      <c r="K79" s="18" t="n">
        <v>1.46620016</v>
      </c>
      <c r="L79" s="20" t="n">
        <v>1.37314958</v>
      </c>
      <c r="M79" s="18" t="n">
        <v>0</v>
      </c>
      <c r="N79" s="20" t="n">
        <v>0</v>
      </c>
      <c r="O79" s="18" t="n">
        <v>0.89380777</v>
      </c>
      <c r="P79" s="20" t="n">
        <v>0.88050421</v>
      </c>
      <c r="Q79" s="18" t="n">
        <v>1.9189381</v>
      </c>
      <c r="R79" s="20" t="n">
        <v>1.2927717</v>
      </c>
    </row>
    <row r="80" spans="1:18">
      <c r="A80" s="15" t="s">
        <v>504</v>
      </c>
      <c r="B80" s="17" t="n">
        <v>3798</v>
      </c>
      <c r="C80" s="18">
        <f>(3147.0/B80*100)</f>
        <v/>
      </c>
      <c r="D80" s="19" t="n">
        <v>651</v>
      </c>
      <c r="E80" s="18" t="n">
        <v>40.09897733</v>
      </c>
      <c r="F80" s="20" t="n">
        <v>2.90773591</v>
      </c>
      <c r="G80" s="18" t="n">
        <v>59.90102267</v>
      </c>
      <c r="H80" s="20" t="n">
        <v>2.90773591</v>
      </c>
      <c r="I80" s="18" t="s">
        <v>431</v>
      </c>
      <c r="J80" s="20" t="s">
        <v>431</v>
      </c>
      <c r="K80" s="18" t="n">
        <v>0</v>
      </c>
      <c r="L80" s="20" t="n">
        <v>0</v>
      </c>
      <c r="M80" s="18" t="n">
        <v>0</v>
      </c>
      <c r="N80" s="20" t="n">
        <v>0</v>
      </c>
      <c r="O80" s="18" t="n">
        <v>0</v>
      </c>
      <c r="P80" s="20" t="n">
        <v>0</v>
      </c>
      <c r="Q80" s="18" t="n">
        <v>0</v>
      </c>
      <c r="R80" s="20" t="n">
        <v>0</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40.94455632</v>
      </c>
      <c r="F44" s="20" t="n">
        <v>2.81699009</v>
      </c>
      <c r="G44" s="18" t="n">
        <v>40.70806262</v>
      </c>
      <c r="H44" s="20" t="n">
        <v>2.59487071</v>
      </c>
      <c r="I44" s="18" t="s">
        <v>431</v>
      </c>
      <c r="J44" s="20" t="s">
        <v>431</v>
      </c>
      <c r="K44" s="18" t="n">
        <v>2.41021412</v>
      </c>
      <c r="L44" s="20" t="n">
        <v>0.82925827</v>
      </c>
      <c r="M44" s="18" t="n">
        <v>0</v>
      </c>
      <c r="N44" s="20" t="n">
        <v>0</v>
      </c>
      <c r="O44" s="18" t="n">
        <v>0</v>
      </c>
      <c r="P44" s="20" t="n">
        <v>0</v>
      </c>
      <c r="Q44" s="18" t="n">
        <v>15.93716694</v>
      </c>
      <c r="R44" s="20" t="n">
        <v>2.10922825</v>
      </c>
    </row>
    <row r="45" spans="1:18">
      <c r="A45" s="15" t="s">
        <v>469</v>
      </c>
      <c r="B45" s="17" t="n">
        <v>2849</v>
      </c>
      <c r="C45" s="18">
        <f>(2372.0/B45*100)</f>
        <v/>
      </c>
      <c r="D45" s="19" t="n">
        <v>477</v>
      </c>
      <c r="E45" s="18" t="n">
        <v>68.24206418999999</v>
      </c>
      <c r="F45" s="20" t="n">
        <v>2.54646608</v>
      </c>
      <c r="G45" s="18" t="n">
        <v>13.04589134</v>
      </c>
      <c r="H45" s="20" t="n">
        <v>1.54341661</v>
      </c>
      <c r="I45" s="18" t="s">
        <v>431</v>
      </c>
      <c r="J45" s="20" t="s">
        <v>431</v>
      </c>
      <c r="K45" s="18" t="n">
        <v>3.04844734</v>
      </c>
      <c r="L45" s="20" t="n">
        <v>1.14585153</v>
      </c>
      <c r="M45" s="18" t="n">
        <v>3.73689643</v>
      </c>
      <c r="N45" s="20" t="n">
        <v>1.05555004</v>
      </c>
      <c r="O45" s="18" t="n">
        <v>0.15364823</v>
      </c>
      <c r="P45" s="20" t="n">
        <v>0.22402198</v>
      </c>
      <c r="Q45" s="18" t="n">
        <v>11.77305246</v>
      </c>
      <c r="R45" s="20" t="n">
        <v>1.42555616</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51.90021717</v>
      </c>
      <c r="F49" s="20" t="n">
        <v>2.64653975</v>
      </c>
      <c r="G49" s="18" t="n">
        <v>31.4152599</v>
      </c>
      <c r="H49" s="20" t="n">
        <v>2.60412552</v>
      </c>
      <c r="I49" s="18" t="s">
        <v>431</v>
      </c>
      <c r="J49" s="20" t="s">
        <v>431</v>
      </c>
      <c r="K49" s="18" t="n">
        <v>2.98519248</v>
      </c>
      <c r="L49" s="20" t="n">
        <v>1.11581416</v>
      </c>
      <c r="M49" s="18" t="n">
        <v>0</v>
      </c>
      <c r="N49" s="20" t="n">
        <v>0</v>
      </c>
      <c r="O49" s="18" t="n">
        <v>0</v>
      </c>
      <c r="P49" s="20" t="n">
        <v>0</v>
      </c>
      <c r="Q49" s="18" t="n">
        <v>13.69933044</v>
      </c>
      <c r="R49" s="20" t="n">
        <v>1.79826176</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44.34098121</v>
      </c>
      <c r="F58" s="20" t="n">
        <v>2.29899421</v>
      </c>
      <c r="G58" s="18" t="n">
        <v>44.59982835</v>
      </c>
      <c r="H58" s="20" t="n">
        <v>2.38564315</v>
      </c>
      <c r="I58" s="18" t="s">
        <v>431</v>
      </c>
      <c r="J58" s="20" t="s">
        <v>431</v>
      </c>
      <c r="K58" s="18" t="n">
        <v>2.33543245</v>
      </c>
      <c r="L58" s="20" t="n">
        <v>0.6970266000000001</v>
      </c>
      <c r="M58" s="18" t="n">
        <v>0</v>
      </c>
      <c r="N58" s="20" t="n">
        <v>0</v>
      </c>
      <c r="O58" s="18" t="n">
        <v>0</v>
      </c>
      <c r="P58" s="20" t="n">
        <v>0</v>
      </c>
      <c r="Q58" s="18" t="n">
        <v>8.723757989999999</v>
      </c>
      <c r="R58" s="20" t="n">
        <v>1.29769207</v>
      </c>
    </row>
    <row r="59" spans="1:18">
      <c r="A59" s="15" t="s">
        <v>483</v>
      </c>
      <c r="B59" s="17" t="n">
        <v>2548</v>
      </c>
      <c r="C59" s="18">
        <f>(2102.0/B59*100)</f>
        <v/>
      </c>
      <c r="D59" s="19" t="n">
        <v>446</v>
      </c>
      <c r="E59" s="18" t="n">
        <v>73.41340377</v>
      </c>
      <c r="F59" s="20" t="n">
        <v>2.85973846</v>
      </c>
      <c r="G59" s="18" t="n">
        <v>14.2611233</v>
      </c>
      <c r="H59" s="20" t="n">
        <v>2.17900254</v>
      </c>
      <c r="I59" s="18" t="s">
        <v>431</v>
      </c>
      <c r="J59" s="20" t="s">
        <v>431</v>
      </c>
      <c r="K59" s="18" t="n">
        <v>0.23864426</v>
      </c>
      <c r="L59" s="20" t="n">
        <v>0.17742558</v>
      </c>
      <c r="M59" s="18" t="n">
        <v>0</v>
      </c>
      <c r="N59" s="20" t="n">
        <v>0</v>
      </c>
      <c r="O59" s="18" t="n">
        <v>0</v>
      </c>
      <c r="P59" s="20" t="n">
        <v>0</v>
      </c>
      <c r="Q59" s="18" t="n">
        <v>12.08682867</v>
      </c>
      <c r="R59" s="20" t="n">
        <v>1.70534621</v>
      </c>
    </row>
    <row r="60" spans="1:18">
      <c r="A60" s="15" t="s">
        <v>484</v>
      </c>
      <c r="B60" s="17" t="n">
        <v>2095</v>
      </c>
      <c r="C60" s="18">
        <f>(1726.0/B60*100)</f>
        <v/>
      </c>
      <c r="D60" s="19" t="n">
        <v>369</v>
      </c>
      <c r="E60" s="18" t="n">
        <v>42.99949876</v>
      </c>
      <c r="F60" s="20" t="n">
        <v>2.92938759</v>
      </c>
      <c r="G60" s="18" t="n">
        <v>39.86874553</v>
      </c>
      <c r="H60" s="20" t="n">
        <v>3.14905279</v>
      </c>
      <c r="I60" s="18" t="s">
        <v>431</v>
      </c>
      <c r="J60" s="20" t="s">
        <v>431</v>
      </c>
      <c r="K60" s="18" t="n">
        <v>3.63291406</v>
      </c>
      <c r="L60" s="20" t="n">
        <v>1.13115262</v>
      </c>
      <c r="M60" s="18" t="n">
        <v>0</v>
      </c>
      <c r="N60" s="20" t="n">
        <v>0</v>
      </c>
      <c r="O60" s="18" t="n">
        <v>0</v>
      </c>
      <c r="P60" s="20" t="n">
        <v>0</v>
      </c>
      <c r="Q60" s="18" t="n">
        <v>13.49884165</v>
      </c>
      <c r="R60" s="20" t="n">
        <v>2.20348977</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38.47803194</v>
      </c>
      <c r="F63" s="20" t="n">
        <v>2.70809936</v>
      </c>
      <c r="G63" s="18" t="n">
        <v>23.3430125</v>
      </c>
      <c r="H63" s="20" t="n">
        <v>2.8654397</v>
      </c>
      <c r="I63" s="18" t="s">
        <v>431</v>
      </c>
      <c r="J63" s="20" t="s">
        <v>431</v>
      </c>
      <c r="K63" s="18" t="n">
        <v>3.10023273</v>
      </c>
      <c r="L63" s="20" t="n">
        <v>0.90303458</v>
      </c>
      <c r="M63" s="18" t="n">
        <v>0</v>
      </c>
      <c r="N63" s="20" t="n">
        <v>0</v>
      </c>
      <c r="O63" s="18" t="n">
        <v>0</v>
      </c>
      <c r="P63" s="20" t="n">
        <v>0</v>
      </c>
      <c r="Q63" s="18" t="n">
        <v>35.07872283</v>
      </c>
      <c r="R63" s="20" t="n">
        <v>3.03627747</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48.60772684</v>
      </c>
      <c r="F65" s="20" t="n">
        <v>2.47888173</v>
      </c>
      <c r="G65" s="18" t="n">
        <v>34.32042382</v>
      </c>
      <c r="H65" s="20" t="n">
        <v>2.57235687</v>
      </c>
      <c r="I65" s="18" t="s">
        <v>431</v>
      </c>
      <c r="J65" s="20" t="s">
        <v>431</v>
      </c>
      <c r="K65" s="18" t="n">
        <v>2.98572266</v>
      </c>
      <c r="L65" s="20" t="n">
        <v>0.82641164</v>
      </c>
      <c r="M65" s="18" t="n">
        <v>0</v>
      </c>
      <c r="N65" s="20" t="n">
        <v>0</v>
      </c>
      <c r="O65" s="18" t="n">
        <v>0</v>
      </c>
      <c r="P65" s="20" t="n">
        <v>0</v>
      </c>
      <c r="Q65" s="18" t="n">
        <v>14.08612668</v>
      </c>
      <c r="R65" s="20" t="n">
        <v>1.51800188</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54.40768363</v>
      </c>
      <c r="F69" s="20" t="n">
        <v>2.53394639</v>
      </c>
      <c r="G69" s="18" t="n">
        <v>43.7600695</v>
      </c>
      <c r="H69" s="20" t="n">
        <v>2.42236854</v>
      </c>
      <c r="I69" s="18" t="s">
        <v>431</v>
      </c>
      <c r="J69" s="20" t="s">
        <v>431</v>
      </c>
      <c r="K69" s="18" t="n">
        <v>0.2382037</v>
      </c>
      <c r="L69" s="20" t="n">
        <v>0.23884517</v>
      </c>
      <c r="M69" s="18" t="n">
        <v>0</v>
      </c>
      <c r="N69" s="20" t="n">
        <v>0</v>
      </c>
      <c r="O69" s="18" t="n">
        <v>0</v>
      </c>
      <c r="P69" s="20" t="n">
        <v>0</v>
      </c>
      <c r="Q69" s="18" t="n">
        <v>1.59404318</v>
      </c>
      <c r="R69" s="20" t="n">
        <v>0.6839233300000001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48.52066883</v>
      </c>
      <c r="F74" s="20" t="n">
        <v>2.81391015</v>
      </c>
      <c r="G74" s="18" t="n">
        <v>32.6375898</v>
      </c>
      <c r="H74" s="20" t="n">
        <v>2.66741203</v>
      </c>
      <c r="I74" s="18" t="s">
        <v>431</v>
      </c>
      <c r="J74" s="20" t="s">
        <v>431</v>
      </c>
      <c r="K74" s="18" t="n">
        <v>5.01822428</v>
      </c>
      <c r="L74" s="20" t="n">
        <v>1.09955474</v>
      </c>
      <c r="M74" s="18" t="n">
        <v>0</v>
      </c>
      <c r="N74" s="20" t="n">
        <v>0</v>
      </c>
      <c r="O74" s="18" t="n">
        <v>0</v>
      </c>
      <c r="P74" s="20" t="n">
        <v>0</v>
      </c>
      <c r="Q74" s="18" t="n">
        <v>13.82351709</v>
      </c>
      <c r="R74" s="20" t="n">
        <v>1.88781017</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56.3065135</v>
      </c>
      <c r="F78" s="20" t="n">
        <v>2.59216744</v>
      </c>
      <c r="G78" s="18" t="n">
        <v>41.93495801</v>
      </c>
      <c r="H78" s="20" t="n">
        <v>2.54304885</v>
      </c>
      <c r="I78" s="18" t="s">
        <v>431</v>
      </c>
      <c r="J78" s="20" t="s">
        <v>431</v>
      </c>
      <c r="K78" s="18" t="n">
        <v>0</v>
      </c>
      <c r="L78" s="20" t="n">
        <v>0</v>
      </c>
      <c r="M78" s="18" t="n">
        <v>0</v>
      </c>
      <c r="N78" s="20" t="n">
        <v>0</v>
      </c>
      <c r="O78" s="18" t="n">
        <v>0</v>
      </c>
      <c r="P78" s="20" t="n">
        <v>0</v>
      </c>
      <c r="Q78" s="18" t="n">
        <v>1.75852849</v>
      </c>
      <c r="R78" s="20" t="n">
        <v>0.77188385</v>
      </c>
    </row>
    <row customHeight="1" ht="25" r="79" spans="1:18">
      <c r="A79" s="15" t="s">
        <v>503</v>
      </c>
      <c r="B79" s="17" t="n">
        <v>787</v>
      </c>
      <c r="C79" s="18">
        <f>(648.0/B79*100)</f>
        <v/>
      </c>
      <c r="D79" s="19" t="n">
        <v>139</v>
      </c>
      <c r="E79" s="18" t="n">
        <v>37.29665999</v>
      </c>
      <c r="F79" s="20" t="n">
        <v>4.16012733</v>
      </c>
      <c r="G79" s="18" t="n">
        <v>51.76363802</v>
      </c>
      <c r="H79" s="20" t="n">
        <v>4.08760609</v>
      </c>
      <c r="I79" s="18" t="s">
        <v>431</v>
      </c>
      <c r="J79" s="20" t="s">
        <v>431</v>
      </c>
      <c r="K79" s="18" t="n">
        <v>2.25746249</v>
      </c>
      <c r="L79" s="20" t="n">
        <v>1.54820065</v>
      </c>
      <c r="M79" s="18" t="n">
        <v>0</v>
      </c>
      <c r="N79" s="20" t="n">
        <v>0</v>
      </c>
      <c r="O79" s="18" t="n">
        <v>0</v>
      </c>
      <c r="P79" s="20" t="n">
        <v>0</v>
      </c>
      <c r="Q79" s="18" t="n">
        <v>8.682239490000001</v>
      </c>
      <c r="R79" s="20" t="n">
        <v>2.81435883</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57.04126178</v>
      </c>
      <c r="F44" s="20" t="n">
        <v>2.92020135</v>
      </c>
      <c r="G44" s="18" t="n">
        <v>30.30663035</v>
      </c>
      <c r="H44" s="20" t="n">
        <v>2.73073466</v>
      </c>
      <c r="I44" s="18" t="s">
        <v>431</v>
      </c>
      <c r="J44" s="20" t="s">
        <v>431</v>
      </c>
      <c r="K44" s="18" t="n">
        <v>2.6098919</v>
      </c>
      <c r="L44" s="20" t="n">
        <v>0.84961015</v>
      </c>
      <c r="M44" s="18" t="n">
        <v>0</v>
      </c>
      <c r="N44" s="20" t="n">
        <v>0</v>
      </c>
      <c r="O44" s="18" t="n">
        <v>0</v>
      </c>
      <c r="P44" s="20" t="n">
        <v>0</v>
      </c>
      <c r="Q44" s="18" t="n">
        <v>10.04221597</v>
      </c>
      <c r="R44" s="20" t="n">
        <v>1.85907129</v>
      </c>
    </row>
    <row r="45" spans="1:18">
      <c r="A45" s="15" t="s">
        <v>469</v>
      </c>
      <c r="B45" s="17" t="n">
        <v>2849</v>
      </c>
      <c r="C45" s="18">
        <f>(2372.0/B45*100)</f>
        <v/>
      </c>
      <c r="D45" s="19" t="n">
        <v>477</v>
      </c>
      <c r="E45" s="18" t="n">
        <v>75.57079957000001</v>
      </c>
      <c r="F45" s="20" t="n">
        <v>2.12180582</v>
      </c>
      <c r="G45" s="18" t="n">
        <v>11.55979333</v>
      </c>
      <c r="H45" s="20" t="n">
        <v>1.51060983</v>
      </c>
      <c r="I45" s="18" t="s">
        <v>431</v>
      </c>
      <c r="J45" s="20" t="s">
        <v>431</v>
      </c>
      <c r="K45" s="18" t="n">
        <v>3.04844734</v>
      </c>
      <c r="L45" s="20" t="n">
        <v>1.14585153</v>
      </c>
      <c r="M45" s="18" t="n">
        <v>3.48659155</v>
      </c>
      <c r="N45" s="20" t="n">
        <v>1.05616352</v>
      </c>
      <c r="O45" s="18" t="n">
        <v>0</v>
      </c>
      <c r="P45" s="20" t="n">
        <v>0</v>
      </c>
      <c r="Q45" s="18" t="n">
        <v>6.3343682</v>
      </c>
      <c r="R45" s="20" t="n">
        <v>1.13792895</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52.79833814</v>
      </c>
      <c r="F49" s="20" t="n">
        <v>2.71012357</v>
      </c>
      <c r="G49" s="18" t="n">
        <v>37.13425489</v>
      </c>
      <c r="H49" s="20" t="n">
        <v>2.55943265</v>
      </c>
      <c r="I49" s="18" t="s">
        <v>431</v>
      </c>
      <c r="J49" s="20" t="s">
        <v>431</v>
      </c>
      <c r="K49" s="18" t="n">
        <v>3.05487492</v>
      </c>
      <c r="L49" s="20" t="n">
        <v>1.11892115</v>
      </c>
      <c r="M49" s="18" t="n">
        <v>0</v>
      </c>
      <c r="N49" s="20" t="n">
        <v>0</v>
      </c>
      <c r="O49" s="18" t="n">
        <v>0</v>
      </c>
      <c r="P49" s="20" t="n">
        <v>0</v>
      </c>
      <c r="Q49" s="18" t="n">
        <v>7.01253205</v>
      </c>
      <c r="R49" s="20" t="n">
        <v>1.21125515</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49.51830938</v>
      </c>
      <c r="F58" s="20" t="n">
        <v>2.09332295</v>
      </c>
      <c r="G58" s="18" t="n">
        <v>44.23481889</v>
      </c>
      <c r="H58" s="20" t="n">
        <v>1.99719111</v>
      </c>
      <c r="I58" s="18" t="s">
        <v>431</v>
      </c>
      <c r="J58" s="20" t="s">
        <v>431</v>
      </c>
      <c r="K58" s="18" t="n">
        <v>2.33543245</v>
      </c>
      <c r="L58" s="20" t="n">
        <v>0.6970266000000001</v>
      </c>
      <c r="M58" s="18" t="n">
        <v>0</v>
      </c>
      <c r="N58" s="20" t="n">
        <v>0</v>
      </c>
      <c r="O58" s="18" t="n">
        <v>0</v>
      </c>
      <c r="P58" s="20" t="n">
        <v>0</v>
      </c>
      <c r="Q58" s="18" t="n">
        <v>3.91143928</v>
      </c>
      <c r="R58" s="20" t="n">
        <v>0.76407939</v>
      </c>
    </row>
    <row r="59" spans="1:18">
      <c r="A59" s="15" t="s">
        <v>483</v>
      </c>
      <c r="B59" s="17" t="n">
        <v>2548</v>
      </c>
      <c r="C59" s="18">
        <f>(2102.0/B59*100)</f>
        <v/>
      </c>
      <c r="D59" s="19" t="n">
        <v>446</v>
      </c>
      <c r="E59" s="18" t="n">
        <v>84.39912142</v>
      </c>
      <c r="F59" s="20" t="n">
        <v>2.21911044</v>
      </c>
      <c r="G59" s="18" t="n">
        <v>8.78332129</v>
      </c>
      <c r="H59" s="20" t="n">
        <v>1.77041561</v>
      </c>
      <c r="I59" s="18" t="s">
        <v>431</v>
      </c>
      <c r="J59" s="20" t="s">
        <v>431</v>
      </c>
      <c r="K59" s="18" t="n">
        <v>0.23864426</v>
      </c>
      <c r="L59" s="20" t="n">
        <v>0.17742558</v>
      </c>
      <c r="M59" s="18" t="n">
        <v>0</v>
      </c>
      <c r="N59" s="20" t="n">
        <v>0</v>
      </c>
      <c r="O59" s="18" t="n">
        <v>0</v>
      </c>
      <c r="P59" s="20" t="n">
        <v>0</v>
      </c>
      <c r="Q59" s="18" t="n">
        <v>6.57891303</v>
      </c>
      <c r="R59" s="20" t="n">
        <v>1.18476899</v>
      </c>
    </row>
    <row r="60" spans="1:18">
      <c r="A60" s="15" t="s">
        <v>484</v>
      </c>
      <c r="B60" s="17" t="n">
        <v>2095</v>
      </c>
      <c r="C60" s="18">
        <f>(1726.0/B60*100)</f>
        <v/>
      </c>
      <c r="D60" s="19" t="n">
        <v>369</v>
      </c>
      <c r="E60" s="18" t="n">
        <v>60.68988561</v>
      </c>
      <c r="F60" s="20" t="n">
        <v>2.67512257</v>
      </c>
      <c r="G60" s="18" t="n">
        <v>20.96141624</v>
      </c>
      <c r="H60" s="20" t="n">
        <v>2.53835699</v>
      </c>
      <c r="I60" s="18" t="s">
        <v>431</v>
      </c>
      <c r="J60" s="20" t="s">
        <v>431</v>
      </c>
      <c r="K60" s="18" t="n">
        <v>4.56130827</v>
      </c>
      <c r="L60" s="20" t="n">
        <v>1.31274628</v>
      </c>
      <c r="M60" s="18" t="n">
        <v>0.25848968</v>
      </c>
      <c r="N60" s="20" t="n">
        <v>0.25114232</v>
      </c>
      <c r="O60" s="18" t="n">
        <v>0</v>
      </c>
      <c r="P60" s="20" t="n">
        <v>0</v>
      </c>
      <c r="Q60" s="18" t="n">
        <v>13.5289002</v>
      </c>
      <c r="R60" s="20" t="n">
        <v>1.96264812</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56.13076724</v>
      </c>
      <c r="F63" s="20" t="n">
        <v>2.87530338</v>
      </c>
      <c r="G63" s="18" t="n">
        <v>21.45761886</v>
      </c>
      <c r="H63" s="20" t="n">
        <v>2.42218549</v>
      </c>
      <c r="I63" s="18" t="s">
        <v>431</v>
      </c>
      <c r="J63" s="20" t="s">
        <v>431</v>
      </c>
      <c r="K63" s="18" t="n">
        <v>3.10023273</v>
      </c>
      <c r="L63" s="20" t="n">
        <v>0.90303458</v>
      </c>
      <c r="M63" s="18" t="n">
        <v>0</v>
      </c>
      <c r="N63" s="20" t="n">
        <v>0</v>
      </c>
      <c r="O63" s="18" t="n">
        <v>0</v>
      </c>
      <c r="P63" s="20" t="n">
        <v>0</v>
      </c>
      <c r="Q63" s="18" t="n">
        <v>19.31138117</v>
      </c>
      <c r="R63" s="20" t="n">
        <v>2.15907701</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54.97421275</v>
      </c>
      <c r="F65" s="20" t="n">
        <v>2.59701562</v>
      </c>
      <c r="G65" s="18" t="n">
        <v>35.6075545</v>
      </c>
      <c r="H65" s="20" t="n">
        <v>2.52292669</v>
      </c>
      <c r="I65" s="18" t="s">
        <v>431</v>
      </c>
      <c r="J65" s="20" t="s">
        <v>431</v>
      </c>
      <c r="K65" s="18" t="n">
        <v>2.98572266</v>
      </c>
      <c r="L65" s="20" t="n">
        <v>0.82641164</v>
      </c>
      <c r="M65" s="18" t="n">
        <v>0.18666541</v>
      </c>
      <c r="N65" s="20" t="n">
        <v>0.18062983</v>
      </c>
      <c r="O65" s="18" t="n">
        <v>0</v>
      </c>
      <c r="P65" s="20" t="n">
        <v>0</v>
      </c>
      <c r="Q65" s="18" t="n">
        <v>6.24584468</v>
      </c>
      <c r="R65" s="20" t="n">
        <v>1.18391515</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55.66315679</v>
      </c>
      <c r="F69" s="20" t="n">
        <v>2.63155195</v>
      </c>
      <c r="G69" s="18" t="n">
        <v>43.86815219</v>
      </c>
      <c r="H69" s="20" t="n">
        <v>2.65268296</v>
      </c>
      <c r="I69" s="18" t="s">
        <v>431</v>
      </c>
      <c r="J69" s="20" t="s">
        <v>431</v>
      </c>
      <c r="K69" s="18" t="n">
        <v>0.2382037</v>
      </c>
      <c r="L69" s="20" t="n">
        <v>0.23884517</v>
      </c>
      <c r="M69" s="18" t="n">
        <v>0</v>
      </c>
      <c r="N69" s="20" t="n">
        <v>0</v>
      </c>
      <c r="O69" s="18" t="n">
        <v>0</v>
      </c>
      <c r="P69" s="20" t="n">
        <v>0</v>
      </c>
      <c r="Q69" s="18" t="n">
        <v>0.23048732</v>
      </c>
      <c r="R69" s="20" t="n">
        <v>0.23123632</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38.57962708</v>
      </c>
      <c r="F74" s="20" t="n">
        <v>2.61285481</v>
      </c>
      <c r="G74" s="18" t="n">
        <v>44.71058161</v>
      </c>
      <c r="H74" s="20" t="n">
        <v>2.77113434</v>
      </c>
      <c r="I74" s="18" t="s">
        <v>431</v>
      </c>
      <c r="J74" s="20" t="s">
        <v>431</v>
      </c>
      <c r="K74" s="18" t="n">
        <v>5.12923804</v>
      </c>
      <c r="L74" s="20" t="n">
        <v>1.10251339</v>
      </c>
      <c r="M74" s="18" t="n">
        <v>0</v>
      </c>
      <c r="N74" s="20" t="n">
        <v>0</v>
      </c>
      <c r="O74" s="18" t="n">
        <v>0</v>
      </c>
      <c r="P74" s="20" t="n">
        <v>0</v>
      </c>
      <c r="Q74" s="18" t="n">
        <v>11.58055327</v>
      </c>
      <c r="R74" s="20" t="n">
        <v>1.56863752</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31.47446909</v>
      </c>
      <c r="F78" s="20" t="n">
        <v>3.05838837</v>
      </c>
      <c r="G78" s="18" t="n">
        <v>68.37951493</v>
      </c>
      <c r="H78" s="20" t="n">
        <v>3.0675644</v>
      </c>
      <c r="I78" s="18" t="s">
        <v>431</v>
      </c>
      <c r="J78" s="20" t="s">
        <v>431</v>
      </c>
      <c r="K78" s="18" t="n">
        <v>0</v>
      </c>
      <c r="L78" s="20" t="n">
        <v>0</v>
      </c>
      <c r="M78" s="18" t="n">
        <v>0</v>
      </c>
      <c r="N78" s="20" t="n">
        <v>0</v>
      </c>
      <c r="O78" s="18" t="n">
        <v>0</v>
      </c>
      <c r="P78" s="20" t="n">
        <v>0</v>
      </c>
      <c r="Q78" s="18" t="n">
        <v>0.14601598</v>
      </c>
      <c r="R78" s="20" t="n">
        <v>0.14690238</v>
      </c>
    </row>
    <row customHeight="1" ht="25" r="79" spans="1:18">
      <c r="A79" s="15" t="s">
        <v>503</v>
      </c>
      <c r="B79" s="17" t="n">
        <v>787</v>
      </c>
      <c r="C79" s="18">
        <f>(648.0/B79*100)</f>
        <v/>
      </c>
      <c r="D79" s="19" t="n">
        <v>139</v>
      </c>
      <c r="E79" s="18" t="n">
        <v>29.5094893</v>
      </c>
      <c r="F79" s="20" t="n">
        <v>3.41658803</v>
      </c>
      <c r="G79" s="18" t="n">
        <v>59.80686382</v>
      </c>
      <c r="H79" s="20" t="n">
        <v>5.43129205</v>
      </c>
      <c r="I79" s="18" t="s">
        <v>431</v>
      </c>
      <c r="J79" s="20" t="s">
        <v>431</v>
      </c>
      <c r="K79" s="18" t="n">
        <v>3.07446204</v>
      </c>
      <c r="L79" s="20" t="n">
        <v>1.71604558</v>
      </c>
      <c r="M79" s="18" t="n">
        <v>0</v>
      </c>
      <c r="N79" s="20" t="n">
        <v>0</v>
      </c>
      <c r="O79" s="18" t="n">
        <v>0</v>
      </c>
      <c r="P79" s="20" t="n">
        <v>0</v>
      </c>
      <c r="Q79" s="18" t="n">
        <v>7.60918485</v>
      </c>
      <c r="R79" s="20" t="n">
        <v>2.81088675</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722</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33.46252626</v>
      </c>
      <c r="F44" s="20" t="n">
        <v>2.68244901</v>
      </c>
      <c r="G44" s="18" t="n">
        <v>59.247997</v>
      </c>
      <c r="H44" s="20" t="n">
        <v>2.88821391</v>
      </c>
      <c r="I44" s="18" t="s">
        <v>431</v>
      </c>
      <c r="J44" s="20" t="s">
        <v>431</v>
      </c>
      <c r="K44" s="18" t="n">
        <v>2.6098919</v>
      </c>
      <c r="L44" s="20" t="n">
        <v>0.84961015</v>
      </c>
      <c r="M44" s="18" t="n">
        <v>0</v>
      </c>
      <c r="N44" s="20" t="n">
        <v>0</v>
      </c>
      <c r="O44" s="18" t="n">
        <v>0.05959048</v>
      </c>
      <c r="P44" s="20" t="n">
        <v>0.04233541</v>
      </c>
      <c r="Q44" s="18" t="n">
        <v>4.61999436</v>
      </c>
      <c r="R44" s="20" t="n">
        <v>1.17395246</v>
      </c>
    </row>
    <row r="45" spans="1:18">
      <c r="A45" s="15" t="s">
        <v>469</v>
      </c>
      <c r="B45" s="17" t="n">
        <v>2849</v>
      </c>
      <c r="C45" s="18">
        <f>(2372.0/B45*100)</f>
        <v/>
      </c>
      <c r="D45" s="19" t="n">
        <v>477</v>
      </c>
      <c r="E45" s="18" t="n">
        <v>47.67496567</v>
      </c>
      <c r="F45" s="20" t="n">
        <v>2.35848848</v>
      </c>
      <c r="G45" s="18" t="n">
        <v>41.68117126</v>
      </c>
      <c r="H45" s="20" t="n">
        <v>2.1001383</v>
      </c>
      <c r="I45" s="18" t="s">
        <v>431</v>
      </c>
      <c r="J45" s="20" t="s">
        <v>431</v>
      </c>
      <c r="K45" s="18" t="n">
        <v>3.29172966</v>
      </c>
      <c r="L45" s="20" t="n">
        <v>1.18372947</v>
      </c>
      <c r="M45" s="18" t="n">
        <v>0.37037939</v>
      </c>
      <c r="N45" s="20" t="n">
        <v>0.27303113</v>
      </c>
      <c r="O45" s="18" t="n">
        <v>1.97976108</v>
      </c>
      <c r="P45" s="20" t="n">
        <v>0.58848297</v>
      </c>
      <c r="Q45" s="18" t="n">
        <v>5.00199294</v>
      </c>
      <c r="R45" s="20" t="n">
        <v>1.21464833</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24.07317838</v>
      </c>
      <c r="F49" s="20" t="n">
        <v>2.41304035</v>
      </c>
      <c r="G49" s="18" t="n">
        <v>68.65470246</v>
      </c>
      <c r="H49" s="20" t="n">
        <v>2.57643167</v>
      </c>
      <c r="I49" s="18" t="s">
        <v>431</v>
      </c>
      <c r="J49" s="20" t="s">
        <v>431</v>
      </c>
      <c r="K49" s="18" t="n">
        <v>3.27162527</v>
      </c>
      <c r="L49" s="20" t="n">
        <v>1.13660891</v>
      </c>
      <c r="M49" s="18" t="n">
        <v>0</v>
      </c>
      <c r="N49" s="20" t="n">
        <v>0</v>
      </c>
      <c r="O49" s="18" t="n">
        <v>0.20761611</v>
      </c>
      <c r="P49" s="20" t="n">
        <v>0.21160218</v>
      </c>
      <c r="Q49" s="18" t="n">
        <v>3.79287779</v>
      </c>
      <c r="R49" s="20" t="n">
        <v>1.01428178</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53.805207</v>
      </c>
      <c r="F58" s="20" t="n">
        <v>2.2237362</v>
      </c>
      <c r="G58" s="18" t="n">
        <v>39.13468285</v>
      </c>
      <c r="H58" s="20" t="n">
        <v>1.98966491</v>
      </c>
      <c r="I58" s="18" t="s">
        <v>431</v>
      </c>
      <c r="J58" s="20" t="s">
        <v>431</v>
      </c>
      <c r="K58" s="18" t="n">
        <v>2.58655028</v>
      </c>
      <c r="L58" s="20" t="n">
        <v>0.73905618</v>
      </c>
      <c r="M58" s="18" t="n">
        <v>0</v>
      </c>
      <c r="N58" s="20" t="n">
        <v>0</v>
      </c>
      <c r="O58" s="18" t="n">
        <v>0.5399652</v>
      </c>
      <c r="P58" s="20" t="n">
        <v>0.34003523</v>
      </c>
      <c r="Q58" s="18" t="n">
        <v>3.93359468</v>
      </c>
      <c r="R58" s="20" t="n">
        <v>1.06296921</v>
      </c>
    </row>
    <row r="59" spans="1:18">
      <c r="A59" s="15" t="s">
        <v>483</v>
      </c>
      <c r="B59" s="17" t="n">
        <v>2548</v>
      </c>
      <c r="C59" s="18">
        <f>(2102.0/B59*100)</f>
        <v/>
      </c>
      <c r="D59" s="19" t="n">
        <v>446</v>
      </c>
      <c r="E59" s="18" t="n">
        <v>40.41330338</v>
      </c>
      <c r="F59" s="20" t="n">
        <v>2.62386841</v>
      </c>
      <c r="G59" s="18" t="n">
        <v>56.74536193</v>
      </c>
      <c r="H59" s="20" t="n">
        <v>2.69476791</v>
      </c>
      <c r="I59" s="18" t="s">
        <v>431</v>
      </c>
      <c r="J59" s="20" t="s">
        <v>431</v>
      </c>
      <c r="K59" s="18" t="n">
        <v>0.23864426</v>
      </c>
      <c r="L59" s="20" t="n">
        <v>0.17742558</v>
      </c>
      <c r="M59" s="18" t="n">
        <v>0</v>
      </c>
      <c r="N59" s="20" t="n">
        <v>0</v>
      </c>
      <c r="O59" s="18" t="n">
        <v>1.17712522</v>
      </c>
      <c r="P59" s="20" t="n">
        <v>0.70723475</v>
      </c>
      <c r="Q59" s="18" t="n">
        <v>1.42556521</v>
      </c>
      <c r="R59" s="20" t="n">
        <v>0.74846994</v>
      </c>
    </row>
    <row r="60" spans="1:18">
      <c r="A60" s="15" t="s">
        <v>484</v>
      </c>
      <c r="B60" s="17" t="n">
        <v>2095</v>
      </c>
      <c r="C60" s="18">
        <f>(1726.0/B60*100)</f>
        <v/>
      </c>
      <c r="D60" s="19" t="n">
        <v>369</v>
      </c>
      <c r="E60" s="18" t="n">
        <v>29.43669663</v>
      </c>
      <c r="F60" s="20" t="n">
        <v>3.23932423</v>
      </c>
      <c r="G60" s="18" t="n">
        <v>61.09967783</v>
      </c>
      <c r="H60" s="20" t="n">
        <v>3.19482178</v>
      </c>
      <c r="I60" s="18" t="s">
        <v>431</v>
      </c>
      <c r="J60" s="20" t="s">
        <v>431</v>
      </c>
      <c r="K60" s="18" t="n">
        <v>4.56130827</v>
      </c>
      <c r="L60" s="20" t="n">
        <v>1.31274628</v>
      </c>
      <c r="M60" s="18" t="n">
        <v>0</v>
      </c>
      <c r="N60" s="20" t="n">
        <v>0</v>
      </c>
      <c r="O60" s="18" t="n">
        <v>0.88168779</v>
      </c>
      <c r="P60" s="20" t="n">
        <v>0.58379627</v>
      </c>
      <c r="Q60" s="18" t="n">
        <v>4.02062947</v>
      </c>
      <c r="R60" s="20" t="n">
        <v>1.07706221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43.96242512</v>
      </c>
      <c r="F63" s="20" t="n">
        <v>2.67996419</v>
      </c>
      <c r="G63" s="18" t="n">
        <v>47.88083978</v>
      </c>
      <c r="H63" s="20" t="n">
        <v>2.65148974</v>
      </c>
      <c r="I63" s="18" t="s">
        <v>431</v>
      </c>
      <c r="J63" s="20" t="s">
        <v>431</v>
      </c>
      <c r="K63" s="18" t="n">
        <v>3.10023273</v>
      </c>
      <c r="L63" s="20" t="n">
        <v>0.90303458</v>
      </c>
      <c r="M63" s="18" t="n">
        <v>0</v>
      </c>
      <c r="N63" s="20" t="n">
        <v>0</v>
      </c>
      <c r="O63" s="18" t="n">
        <v>0</v>
      </c>
      <c r="P63" s="20" t="n">
        <v>0</v>
      </c>
      <c r="Q63" s="18" t="n">
        <v>5.05650236</v>
      </c>
      <c r="R63" s="20" t="n">
        <v>1.1176168</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22.09560797</v>
      </c>
      <c r="F65" s="20" t="n">
        <v>2.24558367</v>
      </c>
      <c r="G65" s="18" t="n">
        <v>71.42294644</v>
      </c>
      <c r="H65" s="20" t="n">
        <v>2.25131108</v>
      </c>
      <c r="I65" s="18" t="s">
        <v>431</v>
      </c>
      <c r="J65" s="20" t="s">
        <v>431</v>
      </c>
      <c r="K65" s="18" t="n">
        <v>2.98572266</v>
      </c>
      <c r="L65" s="20" t="n">
        <v>0.82641164</v>
      </c>
      <c r="M65" s="18" t="n">
        <v>0.70953175</v>
      </c>
      <c r="N65" s="20" t="n">
        <v>0.35335703</v>
      </c>
      <c r="O65" s="18" t="n">
        <v>0</v>
      </c>
      <c r="P65" s="20" t="n">
        <v>0</v>
      </c>
      <c r="Q65" s="18" t="n">
        <v>2.78619118</v>
      </c>
      <c r="R65" s="20" t="n">
        <v>0.6907248</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35.62942556</v>
      </c>
      <c r="F69" s="20" t="n">
        <v>2.73301761</v>
      </c>
      <c r="G69" s="18" t="n">
        <v>63.69578258</v>
      </c>
      <c r="H69" s="20" t="n">
        <v>2.77711351</v>
      </c>
      <c r="I69" s="18" t="s">
        <v>431</v>
      </c>
      <c r="J69" s="20" t="s">
        <v>431</v>
      </c>
      <c r="K69" s="18" t="n">
        <v>0.2382037</v>
      </c>
      <c r="L69" s="20" t="n">
        <v>0.23884517</v>
      </c>
      <c r="M69" s="18" t="n">
        <v>0</v>
      </c>
      <c r="N69" s="20" t="n">
        <v>0</v>
      </c>
      <c r="O69" s="18" t="n">
        <v>0</v>
      </c>
      <c r="P69" s="20" t="n">
        <v>0</v>
      </c>
      <c r="Q69" s="18" t="n">
        <v>0.43658816</v>
      </c>
      <c r="R69" s="20" t="n">
        <v>0.31710911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20.72600762</v>
      </c>
      <c r="F74" s="20" t="n">
        <v>2.24789896</v>
      </c>
      <c r="G74" s="18" t="n">
        <v>70.21224927</v>
      </c>
      <c r="H74" s="20" t="n">
        <v>2.29386971</v>
      </c>
      <c r="I74" s="18" t="s">
        <v>431</v>
      </c>
      <c r="J74" s="20" t="s">
        <v>431</v>
      </c>
      <c r="K74" s="18" t="n">
        <v>5.12923804</v>
      </c>
      <c r="L74" s="20" t="n">
        <v>1.10251339</v>
      </c>
      <c r="M74" s="18" t="n">
        <v>0</v>
      </c>
      <c r="N74" s="20" t="n">
        <v>0</v>
      </c>
      <c r="O74" s="18" t="n">
        <v>0</v>
      </c>
      <c r="P74" s="20" t="n">
        <v>0</v>
      </c>
      <c r="Q74" s="18" t="n">
        <v>3.93250507</v>
      </c>
      <c r="R74" s="20" t="n">
        <v>1.07032836</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17.73279981</v>
      </c>
      <c r="F78" s="20" t="n">
        <v>2.3805957</v>
      </c>
      <c r="G78" s="18" t="n">
        <v>82.26720019</v>
      </c>
      <c r="H78" s="20" t="n">
        <v>2.3805957</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(648.0/B79*100)</f>
        <v/>
      </c>
      <c r="D79" s="19" t="n">
        <v>139</v>
      </c>
      <c r="E79" s="18" t="n">
        <v>17.42434497</v>
      </c>
      <c r="F79" s="20" t="n">
        <v>3.10584365</v>
      </c>
      <c r="G79" s="18" t="n">
        <v>77.22060823</v>
      </c>
      <c r="H79" s="20" t="n">
        <v>3.88119112</v>
      </c>
      <c r="I79" s="18" t="s">
        <v>431</v>
      </c>
      <c r="J79" s="20" t="s">
        <v>431</v>
      </c>
      <c r="K79" s="18" t="n">
        <v>3.07446204</v>
      </c>
      <c r="L79" s="20" t="n">
        <v>1.71604558</v>
      </c>
      <c r="M79" s="18" t="n">
        <v>0</v>
      </c>
      <c r="N79" s="20" t="n">
        <v>0</v>
      </c>
      <c r="O79" s="18" t="n">
        <v>0</v>
      </c>
      <c r="P79" s="20" t="n">
        <v>0</v>
      </c>
      <c r="Q79" s="18" t="n">
        <v>2.28058476</v>
      </c>
      <c r="R79" s="20" t="n">
        <v>1.34039783</v>
      </c>
    </row>
    <row r="80" spans="1:18">
      <c r="A80" s="15" t="s">
        <v>504</v>
      </c>
      <c r="B80" s="17" t="n">
        <v>3798</v>
      </c>
      <c r="C80" s="18">
        <f>(3147.0/B80*100)</f>
        <v/>
      </c>
      <c r="D80" s="19" t="n">
        <v>651</v>
      </c>
      <c r="E80" s="18" t="n">
        <v>27.91391475</v>
      </c>
      <c r="F80" s="20" t="n">
        <v>2.64688613</v>
      </c>
      <c r="G80" s="18" t="n">
        <v>72.08030338</v>
      </c>
      <c r="H80" s="20" t="n">
        <v>2.64711023</v>
      </c>
      <c r="I80" s="18" t="s">
        <v>431</v>
      </c>
      <c r="J80" s="20" t="s">
        <v>431</v>
      </c>
      <c r="K80" s="18" t="n">
        <v>0</v>
      </c>
      <c r="L80" s="20" t="n">
        <v>0</v>
      </c>
      <c r="M80" s="18" t="n">
        <v>0</v>
      </c>
      <c r="N80" s="20" t="n">
        <v>0</v>
      </c>
      <c r="O80" s="18" t="n">
        <v>0</v>
      </c>
      <c r="P80" s="20" t="n">
        <v>0</v>
      </c>
      <c r="Q80" s="18" t="n">
        <v>0.00578187</v>
      </c>
      <c r="R80" s="20" t="n">
        <v>0.00580993</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7.01737175</v>
      </c>
      <c r="F44" s="20" t="n">
        <v>1.32992842</v>
      </c>
      <c r="G44" s="18" t="n">
        <v>81.78521936999999</v>
      </c>
      <c r="H44" s="20" t="n">
        <v>2.13578169</v>
      </c>
      <c r="I44" s="18" t="s">
        <v>431</v>
      </c>
      <c r="J44" s="20" t="s">
        <v>431</v>
      </c>
      <c r="K44" s="18" t="n">
        <v>2.6098919</v>
      </c>
      <c r="L44" s="20" t="n">
        <v>0.84961015</v>
      </c>
      <c r="M44" s="18" t="n">
        <v>0</v>
      </c>
      <c r="N44" s="20" t="n">
        <v>0</v>
      </c>
      <c r="O44" s="18" t="n">
        <v>0</v>
      </c>
      <c r="P44" s="20" t="n">
        <v>0</v>
      </c>
      <c r="Q44" s="18" t="n">
        <v>8.58751698</v>
      </c>
      <c r="R44" s="20" t="n">
        <v>1.30675229</v>
      </c>
    </row>
    <row r="45" spans="1:18">
      <c r="A45" s="15" t="s">
        <v>469</v>
      </c>
      <c r="B45" s="17" t="n">
        <v>2849</v>
      </c>
      <c r="C45" s="18">
        <f>(2372.0/B45*100)</f>
        <v/>
      </c>
      <c r="D45" s="19" t="n">
        <v>477</v>
      </c>
      <c r="E45" s="18" t="n">
        <v>14.87618962</v>
      </c>
      <c r="F45" s="20" t="n">
        <v>1.87463508</v>
      </c>
      <c r="G45" s="18" t="n">
        <v>73.42581087000001</v>
      </c>
      <c r="H45" s="20" t="n">
        <v>2.00825811</v>
      </c>
      <c r="I45" s="18" t="s">
        <v>431</v>
      </c>
      <c r="J45" s="20" t="s">
        <v>431</v>
      </c>
      <c r="K45" s="18" t="n">
        <v>3.53277719</v>
      </c>
      <c r="L45" s="20" t="n">
        <v>1.27129796</v>
      </c>
      <c r="M45" s="18" t="n">
        <v>3.57231643</v>
      </c>
      <c r="N45" s="20" t="n">
        <v>1.0479669</v>
      </c>
      <c r="O45" s="18" t="n">
        <v>0</v>
      </c>
      <c r="P45" s="20" t="n">
        <v>0</v>
      </c>
      <c r="Q45" s="18" t="n">
        <v>4.59290589</v>
      </c>
      <c r="R45" s="20" t="n">
        <v>0.96044999</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3.23641657</v>
      </c>
      <c r="F49" s="20" t="n">
        <v>0.89595698</v>
      </c>
      <c r="G49" s="18" t="n">
        <v>89.19466066</v>
      </c>
      <c r="H49" s="20" t="n">
        <v>1.67091913</v>
      </c>
      <c r="I49" s="18" t="s">
        <v>431</v>
      </c>
      <c r="J49" s="20" t="s">
        <v>431</v>
      </c>
      <c r="K49" s="18" t="n">
        <v>3.27162527</v>
      </c>
      <c r="L49" s="20" t="n">
        <v>1.13660891</v>
      </c>
      <c r="M49" s="18" t="n">
        <v>0</v>
      </c>
      <c r="N49" s="20" t="n">
        <v>0</v>
      </c>
      <c r="O49" s="18" t="n">
        <v>0</v>
      </c>
      <c r="P49" s="20" t="n">
        <v>0</v>
      </c>
      <c r="Q49" s="18" t="n">
        <v>4.29729751</v>
      </c>
      <c r="R49" s="20" t="n">
        <v>1.13175336</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15.66884342</v>
      </c>
      <c r="F58" s="20" t="n">
        <v>2.16817928</v>
      </c>
      <c r="G58" s="18" t="n">
        <v>70.79188489000001</v>
      </c>
      <c r="H58" s="20" t="n">
        <v>2.41993245</v>
      </c>
      <c r="I58" s="18" t="s">
        <v>431</v>
      </c>
      <c r="J58" s="20" t="s">
        <v>431</v>
      </c>
      <c r="K58" s="18" t="n">
        <v>2.65269111</v>
      </c>
      <c r="L58" s="20" t="n">
        <v>0.73975876</v>
      </c>
      <c r="M58" s="18" t="n">
        <v>0</v>
      </c>
      <c r="N58" s="20" t="n">
        <v>0</v>
      </c>
      <c r="O58" s="18" t="n">
        <v>0</v>
      </c>
      <c r="P58" s="20" t="n">
        <v>0</v>
      </c>
      <c r="Q58" s="18" t="n">
        <v>10.88658058</v>
      </c>
      <c r="R58" s="20" t="n">
        <v>1.47011497</v>
      </c>
    </row>
    <row r="59" spans="1:18">
      <c r="A59" s="15" t="s">
        <v>483</v>
      </c>
      <c r="B59" s="17" t="n">
        <v>2548</v>
      </c>
      <c r="C59" s="18">
        <f>(2102.0/B59*100)</f>
        <v/>
      </c>
      <c r="D59" s="19" t="n">
        <v>446</v>
      </c>
      <c r="E59" s="18" t="n">
        <v>18.03018665</v>
      </c>
      <c r="F59" s="20" t="n">
        <v>2.02114901</v>
      </c>
      <c r="G59" s="18" t="n">
        <v>74.02381911000001</v>
      </c>
      <c r="H59" s="20" t="n">
        <v>2.28903834</v>
      </c>
      <c r="I59" s="18" t="s">
        <v>431</v>
      </c>
      <c r="J59" s="20" t="s">
        <v>431</v>
      </c>
      <c r="K59" s="18" t="n">
        <v>0.23864426</v>
      </c>
      <c r="L59" s="20" t="n">
        <v>0.17742558</v>
      </c>
      <c r="M59" s="18" t="n">
        <v>0</v>
      </c>
      <c r="N59" s="20" t="n">
        <v>0</v>
      </c>
      <c r="O59" s="18" t="n">
        <v>0</v>
      </c>
      <c r="P59" s="20" t="n">
        <v>0</v>
      </c>
      <c r="Q59" s="18" t="n">
        <v>7.70734997</v>
      </c>
      <c r="R59" s="20" t="n">
        <v>1.03442468</v>
      </c>
    </row>
    <row r="60" spans="1:18">
      <c r="A60" s="15" t="s">
        <v>484</v>
      </c>
      <c r="B60" s="17" t="n">
        <v>2095</v>
      </c>
      <c r="C60" s="18">
        <f>(1726.0/B60*100)</f>
        <v/>
      </c>
      <c r="D60" s="19" t="n">
        <v>369</v>
      </c>
      <c r="E60" s="18" t="n">
        <v>8.040345</v>
      </c>
      <c r="F60" s="20" t="n">
        <v>1.62744382</v>
      </c>
      <c r="G60" s="18" t="n">
        <v>72.9736819</v>
      </c>
      <c r="H60" s="20" t="n">
        <v>2.59213722</v>
      </c>
      <c r="I60" s="18" t="s">
        <v>431</v>
      </c>
      <c r="J60" s="20" t="s">
        <v>431</v>
      </c>
      <c r="K60" s="18" t="n">
        <v>5.65096143</v>
      </c>
      <c r="L60" s="20" t="n">
        <v>1.39065949</v>
      </c>
      <c r="M60" s="18" t="n">
        <v>0.1653814</v>
      </c>
      <c r="N60" s="20" t="n">
        <v>0.16901238</v>
      </c>
      <c r="O60" s="18" t="n">
        <v>0</v>
      </c>
      <c r="P60" s="20" t="n">
        <v>0</v>
      </c>
      <c r="Q60" s="18" t="n">
        <v>13.16963027</v>
      </c>
      <c r="R60" s="20" t="n">
        <v>2.09931587</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8.478297359999999</v>
      </c>
      <c r="F63" s="20" t="n">
        <v>1.42618202</v>
      </c>
      <c r="G63" s="18" t="n">
        <v>56.92199864</v>
      </c>
      <c r="H63" s="20" t="n">
        <v>2.85960187</v>
      </c>
      <c r="I63" s="18" t="s">
        <v>431</v>
      </c>
      <c r="J63" s="20" t="s">
        <v>431</v>
      </c>
      <c r="K63" s="18" t="n">
        <v>4.19582068</v>
      </c>
      <c r="L63" s="20" t="n">
        <v>1.02941314</v>
      </c>
      <c r="M63" s="18" t="n">
        <v>0</v>
      </c>
      <c r="N63" s="20" t="n">
        <v>0</v>
      </c>
      <c r="O63" s="18" t="n">
        <v>0</v>
      </c>
      <c r="P63" s="20" t="n">
        <v>0</v>
      </c>
      <c r="Q63" s="18" t="n">
        <v>30.40388331</v>
      </c>
      <c r="R63" s="20" t="n">
        <v>2.56247877</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7.63217212</v>
      </c>
      <c r="F65" s="20" t="n">
        <v>1.62982219</v>
      </c>
      <c r="G65" s="18" t="n">
        <v>81.52052288</v>
      </c>
      <c r="H65" s="20" t="n">
        <v>1.9175312</v>
      </c>
      <c r="I65" s="18" t="s">
        <v>431</v>
      </c>
      <c r="J65" s="20" t="s">
        <v>431</v>
      </c>
      <c r="K65" s="18" t="n">
        <v>3.97413526</v>
      </c>
      <c r="L65" s="20" t="n">
        <v>0.95452565</v>
      </c>
      <c r="M65" s="18" t="n">
        <v>0.18666541</v>
      </c>
      <c r="N65" s="20" t="n">
        <v>0.18062983</v>
      </c>
      <c r="O65" s="18" t="n">
        <v>0</v>
      </c>
      <c r="P65" s="20" t="n">
        <v>0</v>
      </c>
      <c r="Q65" s="18" t="n">
        <v>6.68650434</v>
      </c>
      <c r="R65" s="20" t="n">
        <v>1.02348924</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11.58073429</v>
      </c>
      <c r="F69" s="20" t="n">
        <v>1.76688817</v>
      </c>
      <c r="G69" s="18" t="n">
        <v>87.70478063</v>
      </c>
      <c r="H69" s="20" t="n">
        <v>1.78223971</v>
      </c>
      <c r="I69" s="18" t="s">
        <v>431</v>
      </c>
      <c r="J69" s="20" t="s">
        <v>431</v>
      </c>
      <c r="K69" s="18" t="n">
        <v>0.2382037</v>
      </c>
      <c r="L69" s="20" t="n">
        <v>0.23884517</v>
      </c>
      <c r="M69" s="18" t="n">
        <v>0</v>
      </c>
      <c r="N69" s="20" t="n">
        <v>0</v>
      </c>
      <c r="O69" s="18" t="n">
        <v>0</v>
      </c>
      <c r="P69" s="20" t="n">
        <v>0</v>
      </c>
      <c r="Q69" s="18" t="n">
        <v>0.47628139</v>
      </c>
      <c r="R69" s="20" t="n">
        <v>0.34235211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3.83073818</v>
      </c>
      <c r="F74" s="20" t="n">
        <v>0.95306824</v>
      </c>
      <c r="G74" s="18" t="n">
        <v>80.39124397</v>
      </c>
      <c r="H74" s="20" t="n">
        <v>1.76516108</v>
      </c>
      <c r="I74" s="18" t="s">
        <v>431</v>
      </c>
      <c r="J74" s="20" t="s">
        <v>431</v>
      </c>
      <c r="K74" s="18" t="n">
        <v>6.36811045</v>
      </c>
      <c r="L74" s="20" t="n">
        <v>1.25426823</v>
      </c>
      <c r="M74" s="18" t="n">
        <v>0</v>
      </c>
      <c r="N74" s="20" t="n">
        <v>0</v>
      </c>
      <c r="O74" s="18" t="n">
        <v>0</v>
      </c>
      <c r="P74" s="20" t="n">
        <v>0</v>
      </c>
      <c r="Q74" s="18" t="n">
        <v>9.409907390000001</v>
      </c>
      <c r="R74" s="20" t="n">
        <v>1.54559826</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3.8846921</v>
      </c>
      <c r="F78" s="20" t="n">
        <v>1.10657074</v>
      </c>
      <c r="G78" s="18" t="n">
        <v>95.17033480000001</v>
      </c>
      <c r="H78" s="20" t="n">
        <v>1.22220393</v>
      </c>
      <c r="I78" s="18" t="s">
        <v>431</v>
      </c>
      <c r="J78" s="20" t="s">
        <v>431</v>
      </c>
      <c r="K78" s="18" t="n">
        <v>0</v>
      </c>
      <c r="L78" s="20" t="n">
        <v>0</v>
      </c>
      <c r="M78" s="18" t="n">
        <v>0</v>
      </c>
      <c r="N78" s="20" t="n">
        <v>0</v>
      </c>
      <c r="O78" s="18" t="n">
        <v>0</v>
      </c>
      <c r="P78" s="20" t="n">
        <v>0</v>
      </c>
      <c r="Q78" s="18" t="n">
        <v>0.9449731099999999</v>
      </c>
      <c r="R78" s="20" t="n">
        <v>0.43771688</v>
      </c>
    </row>
    <row customHeight="1" ht="25" r="79" spans="1:18">
      <c r="A79" s="15" t="s">
        <v>503</v>
      </c>
      <c r="B79" s="17" t="n">
        <v>787</v>
      </c>
      <c r="C79" s="18">
        <f>(648.0/B79*100)</f>
        <v/>
      </c>
      <c r="D79" s="19" t="n">
        <v>139</v>
      </c>
      <c r="E79" s="18" t="n">
        <v>2.40434009</v>
      </c>
      <c r="F79" s="20" t="n">
        <v>1.36017023</v>
      </c>
      <c r="G79" s="18" t="n">
        <v>90.06809551000001</v>
      </c>
      <c r="H79" s="20" t="n">
        <v>2.29434493</v>
      </c>
      <c r="I79" s="18" t="s">
        <v>431</v>
      </c>
      <c r="J79" s="20" t="s">
        <v>431</v>
      </c>
      <c r="K79" s="18" t="n">
        <v>3.07446204</v>
      </c>
      <c r="L79" s="20" t="n">
        <v>1.71604558</v>
      </c>
      <c r="M79" s="18" t="n">
        <v>0</v>
      </c>
      <c r="N79" s="20" t="n">
        <v>0</v>
      </c>
      <c r="O79" s="18" t="n">
        <v>0</v>
      </c>
      <c r="P79" s="20" t="n">
        <v>0</v>
      </c>
      <c r="Q79" s="18" t="n">
        <v>4.45310236</v>
      </c>
      <c r="R79" s="20" t="n">
        <v>1.87105628</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724</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21.98851835</v>
      </c>
      <c r="F44" s="20" t="n">
        <v>2.29749146</v>
      </c>
      <c r="G44" s="18" t="n">
        <v>69.99877530000001</v>
      </c>
      <c r="H44" s="20" t="n">
        <v>2.6119596</v>
      </c>
      <c r="I44" s="18" t="s">
        <v>431</v>
      </c>
      <c r="J44" s="20" t="s">
        <v>431</v>
      </c>
      <c r="K44" s="18" t="n">
        <v>2.6098919</v>
      </c>
      <c r="L44" s="20" t="n">
        <v>0.84961015</v>
      </c>
      <c r="M44" s="18" t="n">
        <v>0</v>
      </c>
      <c r="N44" s="20" t="n">
        <v>0</v>
      </c>
      <c r="O44" s="18" t="n">
        <v>1.21997786</v>
      </c>
      <c r="P44" s="20" t="n">
        <v>0.4914488</v>
      </c>
      <c r="Q44" s="18" t="n">
        <v>4.18283658</v>
      </c>
      <c r="R44" s="20" t="n">
        <v>1.10805481</v>
      </c>
    </row>
    <row r="45" spans="1:18">
      <c r="A45" s="15" t="s">
        <v>469</v>
      </c>
      <c r="B45" s="17" t="n">
        <v>2849</v>
      </c>
      <c r="C45" s="18">
        <f>(2372.0/B45*100)</f>
        <v/>
      </c>
      <c r="D45" s="19" t="n">
        <v>477</v>
      </c>
      <c r="E45" s="18" t="n">
        <v>53.70891763</v>
      </c>
      <c r="F45" s="20" t="n">
        <v>2.47771361</v>
      </c>
      <c r="G45" s="18" t="n">
        <v>38.86114199</v>
      </c>
      <c r="H45" s="20" t="n">
        <v>2.31891836</v>
      </c>
      <c r="I45" s="18" t="s">
        <v>431</v>
      </c>
      <c r="J45" s="20" t="s">
        <v>431</v>
      </c>
      <c r="K45" s="18" t="n">
        <v>3.53277719</v>
      </c>
      <c r="L45" s="20" t="n">
        <v>1.27129796</v>
      </c>
      <c r="M45" s="18" t="n">
        <v>0</v>
      </c>
      <c r="N45" s="20" t="n">
        <v>0</v>
      </c>
      <c r="O45" s="18" t="n">
        <v>2.16266994</v>
      </c>
      <c r="P45" s="20" t="n">
        <v>0.67715697</v>
      </c>
      <c r="Q45" s="18" t="n">
        <v>1.73449325</v>
      </c>
      <c r="R45" s="20" t="n">
        <v>0.52006668</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34.54423867</v>
      </c>
      <c r="F49" s="20" t="n">
        <v>2.85691106</v>
      </c>
      <c r="G49" s="18" t="n">
        <v>60.00873569</v>
      </c>
      <c r="H49" s="20" t="n">
        <v>2.7392026</v>
      </c>
      <c r="I49" s="18" t="s">
        <v>431</v>
      </c>
      <c r="J49" s="20" t="s">
        <v>431</v>
      </c>
      <c r="K49" s="18" t="n">
        <v>3.27162527</v>
      </c>
      <c r="L49" s="20" t="n">
        <v>1.13660891</v>
      </c>
      <c r="M49" s="18" t="n">
        <v>0</v>
      </c>
      <c r="N49" s="20" t="n">
        <v>0</v>
      </c>
      <c r="O49" s="18" t="n">
        <v>0.67047437</v>
      </c>
      <c r="P49" s="20" t="n">
        <v>0.35903507</v>
      </c>
      <c r="Q49" s="18" t="n">
        <v>1.504926</v>
      </c>
      <c r="R49" s="20" t="n">
        <v>0.64822176</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42.5910815</v>
      </c>
      <c r="F58" s="20" t="n">
        <v>1.91839136</v>
      </c>
      <c r="G58" s="18" t="n">
        <v>48.74944165</v>
      </c>
      <c r="H58" s="20" t="n">
        <v>1.88156936</v>
      </c>
      <c r="I58" s="18" t="s">
        <v>431</v>
      </c>
      <c r="J58" s="20" t="s">
        <v>431</v>
      </c>
      <c r="K58" s="18" t="n">
        <v>2.65269111</v>
      </c>
      <c r="L58" s="20" t="n">
        <v>0.73975876</v>
      </c>
      <c r="M58" s="18" t="n">
        <v>0</v>
      </c>
      <c r="N58" s="20" t="n">
        <v>0</v>
      </c>
      <c r="O58" s="18" t="n">
        <v>0.49526329</v>
      </c>
      <c r="P58" s="20" t="n">
        <v>0.37100343</v>
      </c>
      <c r="Q58" s="18" t="n">
        <v>5.51152245</v>
      </c>
      <c r="R58" s="20" t="n">
        <v>0.80103304</v>
      </c>
    </row>
    <row r="59" spans="1:18">
      <c r="A59" s="15" t="s">
        <v>483</v>
      </c>
      <c r="B59" s="17" t="n">
        <v>2548</v>
      </c>
      <c r="C59" s="18">
        <f>(2102.0/B59*100)</f>
        <v/>
      </c>
      <c r="D59" s="19" t="n">
        <v>446</v>
      </c>
      <c r="E59" s="18" t="n">
        <v>44.30972703</v>
      </c>
      <c r="F59" s="20" t="n">
        <v>2.8729329</v>
      </c>
      <c r="G59" s="18" t="n">
        <v>51.87402902</v>
      </c>
      <c r="H59" s="20" t="n">
        <v>2.82540817</v>
      </c>
      <c r="I59" s="18" t="s">
        <v>431</v>
      </c>
      <c r="J59" s="20" t="s">
        <v>431</v>
      </c>
      <c r="K59" s="18" t="n">
        <v>0.23864426</v>
      </c>
      <c r="L59" s="20" t="n">
        <v>0.17742558</v>
      </c>
      <c r="M59" s="18" t="n">
        <v>0</v>
      </c>
      <c r="N59" s="20" t="n">
        <v>0</v>
      </c>
      <c r="O59" s="18" t="n">
        <v>2.15117273</v>
      </c>
      <c r="P59" s="20" t="n">
        <v>0.85151697</v>
      </c>
      <c r="Q59" s="18" t="n">
        <v>1.42642695</v>
      </c>
      <c r="R59" s="20" t="n">
        <v>0.5470789</v>
      </c>
    </row>
    <row r="60" spans="1:18">
      <c r="A60" s="15" t="s">
        <v>484</v>
      </c>
      <c r="B60" s="17" t="n">
        <v>2095</v>
      </c>
      <c r="C60" s="18">
        <f>(1726.0/B60*100)</f>
        <v/>
      </c>
      <c r="D60" s="19" t="n">
        <v>369</v>
      </c>
      <c r="E60" s="18" t="n">
        <v>57.66704847</v>
      </c>
      <c r="F60" s="20" t="n">
        <v>2.72993008</v>
      </c>
      <c r="G60" s="18" t="n">
        <v>28.61691446</v>
      </c>
      <c r="H60" s="20" t="n">
        <v>2.45357943</v>
      </c>
      <c r="I60" s="18" t="s">
        <v>431</v>
      </c>
      <c r="J60" s="20" t="s">
        <v>431</v>
      </c>
      <c r="K60" s="18" t="n">
        <v>6.20990175</v>
      </c>
      <c r="L60" s="20" t="n">
        <v>1.44460342</v>
      </c>
      <c r="M60" s="18" t="n">
        <v>0</v>
      </c>
      <c r="N60" s="20" t="n">
        <v>0</v>
      </c>
      <c r="O60" s="18" t="n">
        <v>1.18819039</v>
      </c>
      <c r="P60" s="20" t="n">
        <v>0.52149617</v>
      </c>
      <c r="Q60" s="18" t="n">
        <v>6.31794493</v>
      </c>
      <c r="R60" s="20" t="n">
        <v>1.43702273</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46.79871589</v>
      </c>
      <c r="F63" s="20" t="n">
        <v>2.43203443</v>
      </c>
      <c r="G63" s="18" t="n">
        <v>39.939552</v>
      </c>
      <c r="H63" s="20" t="n">
        <v>2.37059473</v>
      </c>
      <c r="I63" s="18" t="s">
        <v>431</v>
      </c>
      <c r="J63" s="20" t="s">
        <v>431</v>
      </c>
      <c r="K63" s="18" t="n">
        <v>4.36821333</v>
      </c>
      <c r="L63" s="20" t="n">
        <v>1.03812639</v>
      </c>
      <c r="M63" s="18" t="n">
        <v>0</v>
      </c>
      <c r="N63" s="20" t="n">
        <v>0</v>
      </c>
      <c r="O63" s="18" t="n">
        <v>0.4418702</v>
      </c>
      <c r="P63" s="20" t="n">
        <v>0.26770944</v>
      </c>
      <c r="Q63" s="18" t="n">
        <v>8.45164857</v>
      </c>
      <c r="R63" s="20" t="n">
        <v>1.39184112</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39.57525635</v>
      </c>
      <c r="F65" s="20" t="n">
        <v>2.40363007</v>
      </c>
      <c r="G65" s="18" t="n">
        <v>51.06832792</v>
      </c>
      <c r="H65" s="20" t="n">
        <v>2.50052406</v>
      </c>
      <c r="I65" s="18" t="s">
        <v>431</v>
      </c>
      <c r="J65" s="20" t="s">
        <v>431</v>
      </c>
      <c r="K65" s="18" t="n">
        <v>4.53699144</v>
      </c>
      <c r="L65" s="20" t="n">
        <v>1.01012444</v>
      </c>
      <c r="M65" s="18" t="n">
        <v>3.40933129</v>
      </c>
      <c r="N65" s="20" t="n">
        <v>0.96563783</v>
      </c>
      <c r="O65" s="18" t="n">
        <v>0</v>
      </c>
      <c r="P65" s="20" t="n">
        <v>0</v>
      </c>
      <c r="Q65" s="18" t="n">
        <v>1.410093</v>
      </c>
      <c r="R65" s="20" t="n">
        <v>0.58983545</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30.57879844</v>
      </c>
      <c r="F69" s="20" t="n">
        <v>2.28395991</v>
      </c>
      <c r="G69" s="18" t="n">
        <v>68.97689703</v>
      </c>
      <c r="H69" s="20" t="n">
        <v>2.30435047</v>
      </c>
      <c r="I69" s="18" t="s">
        <v>431</v>
      </c>
      <c r="J69" s="20" t="s">
        <v>431</v>
      </c>
      <c r="K69" s="18" t="n">
        <v>0.2382037</v>
      </c>
      <c r="L69" s="20" t="n">
        <v>0.23884517</v>
      </c>
      <c r="M69" s="18" t="n">
        <v>0</v>
      </c>
      <c r="N69" s="20" t="n">
        <v>0</v>
      </c>
      <c r="O69" s="18" t="n">
        <v>0</v>
      </c>
      <c r="P69" s="20" t="n">
        <v>0</v>
      </c>
      <c r="Q69" s="18" t="n">
        <v>0.20610084</v>
      </c>
      <c r="R69" s="20" t="n">
        <v>0.21470083</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21.06799802</v>
      </c>
      <c r="F74" s="20" t="n">
        <v>2.28485617</v>
      </c>
      <c r="G74" s="18" t="n">
        <v>68.88585945</v>
      </c>
      <c r="H74" s="20" t="n">
        <v>2.68751007</v>
      </c>
      <c r="I74" s="18" t="s">
        <v>431</v>
      </c>
      <c r="J74" s="20" t="s">
        <v>431</v>
      </c>
      <c r="K74" s="18" t="n">
        <v>6.36811045</v>
      </c>
      <c r="L74" s="20" t="n">
        <v>1.25426823</v>
      </c>
      <c r="M74" s="18" t="n">
        <v>0</v>
      </c>
      <c r="N74" s="20" t="n">
        <v>0</v>
      </c>
      <c r="O74" s="18" t="n">
        <v>0</v>
      </c>
      <c r="P74" s="20" t="n">
        <v>0</v>
      </c>
      <c r="Q74" s="18" t="n">
        <v>3.67803207</v>
      </c>
      <c r="R74" s="20" t="n">
        <v>1.16481465</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20.86689028</v>
      </c>
      <c r="F78" s="20" t="n">
        <v>1.98065763</v>
      </c>
      <c r="G78" s="18" t="n">
        <v>79.13310971999999</v>
      </c>
      <c r="H78" s="20" t="n">
        <v>1.98065763</v>
      </c>
      <c r="I78" s="18" t="s">
        <v>431</v>
      </c>
      <c r="J78" s="20" t="s">
        <v>431</v>
      </c>
      <c r="K78" s="18" t="n">
        <v>0</v>
      </c>
      <c r="L78" s="20" t="n">
        <v>0</v>
      </c>
      <c r="M78" s="18" t="n">
        <v>0</v>
      </c>
      <c r="N78" s="20" t="n">
        <v>0</v>
      </c>
      <c r="O78" s="18" t="n">
        <v>0</v>
      </c>
      <c r="P78" s="20" t="n">
        <v>0</v>
      </c>
      <c r="Q78" s="18" t="n">
        <v>0</v>
      </c>
      <c r="R78" s="20" t="n">
        <v>0</v>
      </c>
    </row>
    <row customHeight="1" ht="25" r="79" spans="1:18">
      <c r="A79" s="15" t="s">
        <v>503</v>
      </c>
      <c r="B79" s="17" t="n">
        <v>787</v>
      </c>
      <c r="C79" s="18">
        <f>(648.0/B79*100)</f>
        <v/>
      </c>
      <c r="D79" s="19" t="n">
        <v>139</v>
      </c>
      <c r="E79" s="18" t="n">
        <v>16.4745746</v>
      </c>
      <c r="F79" s="20" t="n">
        <v>3.75693598</v>
      </c>
      <c r="G79" s="18" t="n">
        <v>76.10489097</v>
      </c>
      <c r="H79" s="20" t="n">
        <v>3.81702392</v>
      </c>
      <c r="I79" s="18" t="s">
        <v>431</v>
      </c>
      <c r="J79" s="20" t="s">
        <v>431</v>
      </c>
      <c r="K79" s="18" t="n">
        <v>3.07446204</v>
      </c>
      <c r="L79" s="20" t="n">
        <v>1.71604558</v>
      </c>
      <c r="M79" s="18" t="n">
        <v>0</v>
      </c>
      <c r="N79" s="20" t="n">
        <v>0</v>
      </c>
      <c r="O79" s="18" t="n">
        <v>2.43775534</v>
      </c>
      <c r="P79" s="20" t="n">
        <v>1.66116829</v>
      </c>
      <c r="Q79" s="18" t="n">
        <v>1.90831706</v>
      </c>
      <c r="R79" s="20" t="n">
        <v>1.28732457</v>
      </c>
    </row>
    <row r="80" spans="1:18">
      <c r="A80" s="15" t="s">
        <v>504</v>
      </c>
      <c r="B80" s="17" t="n">
        <v>3798</v>
      </c>
      <c r="C80" s="18">
        <f>(3147.0/B80*100)</f>
        <v/>
      </c>
      <c r="D80" s="19" t="n">
        <v>651</v>
      </c>
      <c r="E80" s="18" t="n">
        <v>32.61765248</v>
      </c>
      <c r="F80" s="20" t="n">
        <v>2.20540789</v>
      </c>
      <c r="G80" s="18" t="n">
        <v>67.38234752</v>
      </c>
      <c r="H80" s="20" t="n">
        <v>2.20540789</v>
      </c>
      <c r="I80" s="18" t="s">
        <v>431</v>
      </c>
      <c r="J80" s="20" t="s">
        <v>431</v>
      </c>
      <c r="K80" s="18" t="n">
        <v>0</v>
      </c>
      <c r="L80" s="20" t="n">
        <v>0</v>
      </c>
      <c r="M80" s="18" t="n">
        <v>0</v>
      </c>
      <c r="N80" s="20" t="n">
        <v>0</v>
      </c>
      <c r="O80" s="18" t="n">
        <v>0</v>
      </c>
      <c r="P80" s="20" t="n">
        <v>0</v>
      </c>
      <c r="Q80" s="18" t="n">
        <v>0</v>
      </c>
      <c r="R80" s="20" t="n">
        <v>0</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41.66142163</v>
      </c>
      <c r="F44" s="20" t="n">
        <v>2.64947804</v>
      </c>
      <c r="G44" s="18" t="n">
        <v>50.97448089</v>
      </c>
      <c r="H44" s="20" t="n">
        <v>3.00014668</v>
      </c>
      <c r="I44" s="18" t="s">
        <v>431</v>
      </c>
      <c r="J44" s="20" t="s">
        <v>431</v>
      </c>
      <c r="K44" s="18" t="n">
        <v>3.00297014</v>
      </c>
      <c r="L44" s="20" t="n">
        <v>0.88651159</v>
      </c>
      <c r="M44" s="18" t="n">
        <v>0</v>
      </c>
      <c r="N44" s="20" t="n">
        <v>0</v>
      </c>
      <c r="O44" s="18" t="n">
        <v>0</v>
      </c>
      <c r="P44" s="20" t="n">
        <v>0</v>
      </c>
      <c r="Q44" s="18" t="n">
        <v>4.36112735</v>
      </c>
      <c r="R44" s="20" t="n">
        <v>0.87419645</v>
      </c>
    </row>
    <row r="45" spans="1:18">
      <c r="A45" s="15" t="s">
        <v>469</v>
      </c>
      <c r="B45" s="17" t="n">
        <v>2849</v>
      </c>
      <c r="C45" s="18">
        <f>(2372.0/B45*100)</f>
        <v/>
      </c>
      <c r="D45" s="19" t="n">
        <v>477</v>
      </c>
      <c r="E45" s="18" t="n">
        <v>37.42461418</v>
      </c>
      <c r="F45" s="20" t="n">
        <v>2.78551715</v>
      </c>
      <c r="G45" s="18" t="n">
        <v>50.12420408</v>
      </c>
      <c r="H45" s="20" t="n">
        <v>2.70391266</v>
      </c>
      <c r="I45" s="18" t="s">
        <v>431</v>
      </c>
      <c r="J45" s="20" t="s">
        <v>431</v>
      </c>
      <c r="K45" s="18" t="n">
        <v>4.1591935</v>
      </c>
      <c r="L45" s="20" t="n">
        <v>1.38173936</v>
      </c>
      <c r="M45" s="18" t="n">
        <v>2.99386561</v>
      </c>
      <c r="N45" s="20" t="n">
        <v>0.9590027800000001</v>
      </c>
      <c r="O45" s="18" t="n">
        <v>0.73339175</v>
      </c>
      <c r="P45" s="20" t="n">
        <v>0.84681584</v>
      </c>
      <c r="Q45" s="18" t="n">
        <v>4.56473088</v>
      </c>
      <c r="R45" s="20" t="n">
        <v>0.96105431</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32.41743023</v>
      </c>
      <c r="F49" s="20" t="n">
        <v>2.52772407</v>
      </c>
      <c r="G49" s="18" t="n">
        <v>58.91859707</v>
      </c>
      <c r="H49" s="20" t="n">
        <v>2.46166698</v>
      </c>
      <c r="I49" s="18" t="s">
        <v>431</v>
      </c>
      <c r="J49" s="20" t="s">
        <v>431</v>
      </c>
      <c r="K49" s="18" t="n">
        <v>3.99585965</v>
      </c>
      <c r="L49" s="20" t="n">
        <v>1.25233905</v>
      </c>
      <c r="M49" s="18" t="n">
        <v>0</v>
      </c>
      <c r="N49" s="20" t="n">
        <v>0</v>
      </c>
      <c r="O49" s="18" t="n">
        <v>0</v>
      </c>
      <c r="P49" s="20" t="n">
        <v>0</v>
      </c>
      <c r="Q49" s="18" t="n">
        <v>4.66811305</v>
      </c>
      <c r="R49" s="20" t="n">
        <v>1.11097684</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41.50521472</v>
      </c>
      <c r="F58" s="20" t="n">
        <v>2.44691998</v>
      </c>
      <c r="G58" s="18" t="n">
        <v>51.84284721</v>
      </c>
      <c r="H58" s="20" t="n">
        <v>2.39292615</v>
      </c>
      <c r="I58" s="18" t="s">
        <v>431</v>
      </c>
      <c r="J58" s="20" t="s">
        <v>431</v>
      </c>
      <c r="K58" s="18" t="n">
        <v>3.02988293</v>
      </c>
      <c r="L58" s="20" t="n">
        <v>0.76986295</v>
      </c>
      <c r="M58" s="18" t="n">
        <v>0</v>
      </c>
      <c r="N58" s="20" t="n">
        <v>0</v>
      </c>
      <c r="O58" s="18" t="n">
        <v>0</v>
      </c>
      <c r="P58" s="20" t="n">
        <v>0</v>
      </c>
      <c r="Q58" s="18" t="n">
        <v>3.62205513</v>
      </c>
      <c r="R58" s="20" t="n">
        <v>0.94021872</v>
      </c>
    </row>
    <row r="59" spans="1:18">
      <c r="A59" s="15" t="s">
        <v>483</v>
      </c>
      <c r="B59" s="17" t="n">
        <v>2548</v>
      </c>
      <c r="C59" s="18">
        <f>(2102.0/B59*100)</f>
        <v/>
      </c>
      <c r="D59" s="19" t="n">
        <v>446</v>
      </c>
      <c r="E59" s="18" t="n">
        <v>64.50186686000001</v>
      </c>
      <c r="F59" s="20" t="n">
        <v>2.76983213</v>
      </c>
      <c r="G59" s="18" t="n">
        <v>30.2247654</v>
      </c>
      <c r="H59" s="20" t="n">
        <v>2.79659874</v>
      </c>
      <c r="I59" s="18" t="s">
        <v>431</v>
      </c>
      <c r="J59" s="20" t="s">
        <v>431</v>
      </c>
      <c r="K59" s="18" t="n">
        <v>0.86352209</v>
      </c>
      <c r="L59" s="20" t="n">
        <v>0.42402337</v>
      </c>
      <c r="M59" s="18" t="n">
        <v>0</v>
      </c>
      <c r="N59" s="20" t="n">
        <v>0</v>
      </c>
      <c r="O59" s="18" t="n">
        <v>0</v>
      </c>
      <c r="P59" s="20" t="n">
        <v>0</v>
      </c>
      <c r="Q59" s="18" t="n">
        <v>4.40984566</v>
      </c>
      <c r="R59" s="20" t="n">
        <v>1.05746309</v>
      </c>
    </row>
    <row r="60" spans="1:18">
      <c r="A60" s="15" t="s">
        <v>484</v>
      </c>
      <c r="B60" s="17" t="n">
        <v>2095</v>
      </c>
      <c r="C60" s="18">
        <f>(1726.0/B60*100)</f>
        <v/>
      </c>
      <c r="D60" s="19" t="n">
        <v>369</v>
      </c>
      <c r="E60" s="18" t="n">
        <v>52.0153824</v>
      </c>
      <c r="F60" s="20" t="n">
        <v>2.56933177</v>
      </c>
      <c r="G60" s="18" t="n">
        <v>30.38170888</v>
      </c>
      <c r="H60" s="20" t="n">
        <v>2.31708011</v>
      </c>
      <c r="I60" s="18" t="s">
        <v>431</v>
      </c>
      <c r="J60" s="20" t="s">
        <v>431</v>
      </c>
      <c r="K60" s="18" t="n">
        <v>6.89775196</v>
      </c>
      <c r="L60" s="20" t="n">
        <v>1.49723845</v>
      </c>
      <c r="M60" s="18" t="n">
        <v>0</v>
      </c>
      <c r="N60" s="20" t="n">
        <v>0</v>
      </c>
      <c r="O60" s="18" t="n">
        <v>0.29914993</v>
      </c>
      <c r="P60" s="20" t="n">
        <v>0.29610111</v>
      </c>
      <c r="Q60" s="18" t="n">
        <v>10.40600683</v>
      </c>
      <c r="R60" s="20" t="n">
        <v>1.63542391</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42.74627383</v>
      </c>
      <c r="F63" s="20" t="n">
        <v>2.81082686</v>
      </c>
      <c r="G63" s="18" t="n">
        <v>36.83357457</v>
      </c>
      <c r="H63" s="20" t="n">
        <v>2.59038085</v>
      </c>
      <c r="I63" s="18" t="s">
        <v>431</v>
      </c>
      <c r="J63" s="20" t="s">
        <v>431</v>
      </c>
      <c r="K63" s="18" t="n">
        <v>5.58234069</v>
      </c>
      <c r="L63" s="20" t="n">
        <v>1.19586449</v>
      </c>
      <c r="M63" s="18" t="n">
        <v>0</v>
      </c>
      <c r="N63" s="20" t="n">
        <v>0</v>
      </c>
      <c r="O63" s="18" t="n">
        <v>0</v>
      </c>
      <c r="P63" s="20" t="n">
        <v>0</v>
      </c>
      <c r="Q63" s="18" t="n">
        <v>14.83781092</v>
      </c>
      <c r="R63" s="20" t="n">
        <v>1.76478708</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35.51896558</v>
      </c>
      <c r="F65" s="20" t="n">
        <v>2.48118412</v>
      </c>
      <c r="G65" s="18" t="n">
        <v>54.75378244</v>
      </c>
      <c r="H65" s="20" t="n">
        <v>2.26127878</v>
      </c>
      <c r="I65" s="18" t="s">
        <v>431</v>
      </c>
      <c r="J65" s="20" t="s">
        <v>431</v>
      </c>
      <c r="K65" s="18" t="n">
        <v>5.9432837</v>
      </c>
      <c r="L65" s="20" t="n">
        <v>1.15911457</v>
      </c>
      <c r="M65" s="18" t="n">
        <v>0</v>
      </c>
      <c r="N65" s="20" t="n">
        <v>0</v>
      </c>
      <c r="O65" s="18" t="n">
        <v>0</v>
      </c>
      <c r="P65" s="20" t="n">
        <v>0</v>
      </c>
      <c r="Q65" s="18" t="n">
        <v>3.78396828</v>
      </c>
      <c r="R65" s="20" t="n">
        <v>0.8169055</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38.62675895</v>
      </c>
      <c r="F69" s="20" t="n">
        <v>3.17256574</v>
      </c>
      <c r="G69" s="18" t="n">
        <v>60.90455003</v>
      </c>
      <c r="H69" s="20" t="n">
        <v>3.20614638</v>
      </c>
      <c r="I69" s="18" t="s">
        <v>431</v>
      </c>
      <c r="J69" s="20" t="s">
        <v>431</v>
      </c>
      <c r="K69" s="18" t="n">
        <v>0.2382037</v>
      </c>
      <c r="L69" s="20" t="n">
        <v>0.23884517</v>
      </c>
      <c r="M69" s="18" t="n">
        <v>0</v>
      </c>
      <c r="N69" s="20" t="n">
        <v>0</v>
      </c>
      <c r="O69" s="18" t="n">
        <v>0</v>
      </c>
      <c r="P69" s="20" t="n">
        <v>0</v>
      </c>
      <c r="Q69" s="18" t="n">
        <v>0.23048732</v>
      </c>
      <c r="R69" s="20" t="n">
        <v>0.23123632</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32.95986032</v>
      </c>
      <c r="F74" s="20" t="n">
        <v>2.84109813</v>
      </c>
      <c r="G74" s="18" t="n">
        <v>51.07334041</v>
      </c>
      <c r="H74" s="20" t="n">
        <v>2.80349027</v>
      </c>
      <c r="I74" s="18" t="s">
        <v>431</v>
      </c>
      <c r="J74" s="20" t="s">
        <v>431</v>
      </c>
      <c r="K74" s="18" t="n">
        <v>6.87995943</v>
      </c>
      <c r="L74" s="20" t="n">
        <v>1.26080197</v>
      </c>
      <c r="M74" s="18" t="n">
        <v>0</v>
      </c>
      <c r="N74" s="20" t="n">
        <v>0</v>
      </c>
      <c r="O74" s="18" t="n">
        <v>0</v>
      </c>
      <c r="P74" s="20" t="n">
        <v>0</v>
      </c>
      <c r="Q74" s="18" t="n">
        <v>9.08683984</v>
      </c>
      <c r="R74" s="20" t="n">
        <v>1.63670422</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13.24720196</v>
      </c>
      <c r="F78" s="20" t="n">
        <v>2.20732985</v>
      </c>
      <c r="G78" s="18" t="n">
        <v>86.29820691</v>
      </c>
      <c r="H78" s="20" t="n">
        <v>2.22684608</v>
      </c>
      <c r="I78" s="18" t="s">
        <v>431</v>
      </c>
      <c r="J78" s="20" t="s">
        <v>431</v>
      </c>
      <c r="K78" s="18" t="n">
        <v>0</v>
      </c>
      <c r="L78" s="20" t="n">
        <v>0</v>
      </c>
      <c r="M78" s="18" t="n">
        <v>0</v>
      </c>
      <c r="N78" s="20" t="n">
        <v>0</v>
      </c>
      <c r="O78" s="18" t="n">
        <v>0</v>
      </c>
      <c r="P78" s="20" t="n">
        <v>0</v>
      </c>
      <c r="Q78" s="18" t="n">
        <v>0.45459114</v>
      </c>
      <c r="R78" s="20" t="n">
        <v>0.32754202</v>
      </c>
    </row>
    <row customHeight="1" ht="25" r="79" spans="1:18">
      <c r="A79" s="15" t="s">
        <v>503</v>
      </c>
      <c r="B79" s="17" t="n">
        <v>787</v>
      </c>
      <c r="C79" s="18">
        <f>(648.0/B79*100)</f>
        <v/>
      </c>
      <c r="D79" s="19" t="n">
        <v>139</v>
      </c>
      <c r="E79" s="18" t="n">
        <v>26.07133838</v>
      </c>
      <c r="F79" s="20" t="n">
        <v>4.40081436</v>
      </c>
      <c r="G79" s="18" t="n">
        <v>65.88094069</v>
      </c>
      <c r="H79" s="20" t="n">
        <v>4.63232467</v>
      </c>
      <c r="I79" s="18" t="s">
        <v>431</v>
      </c>
      <c r="J79" s="20" t="s">
        <v>431</v>
      </c>
      <c r="K79" s="18" t="n">
        <v>3.07446204</v>
      </c>
      <c r="L79" s="20" t="n">
        <v>1.71604558</v>
      </c>
      <c r="M79" s="18" t="n">
        <v>0</v>
      </c>
      <c r="N79" s="20" t="n">
        <v>0</v>
      </c>
      <c r="O79" s="18" t="n">
        <v>0</v>
      </c>
      <c r="P79" s="20" t="n">
        <v>0</v>
      </c>
      <c r="Q79" s="18" t="n">
        <v>4.97325889</v>
      </c>
      <c r="R79" s="20" t="n">
        <v>2.00980076</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726</v>
      </c>
    </row>
    <row customHeight="1" ht="30" r="4" spans="1:18">
      <c r="A4" s="6" t="n"/>
      <c r="B4" s="7" t="s">
        <v>415</v>
      </c>
      <c r="C4" s="7" t="s">
        <v>416</v>
      </c>
      <c r="D4" s="8" t="s">
        <v>415</v>
      </c>
      <c r="E4" s="9" t="s">
        <v>523</v>
      </c>
      <c r="F4" s="10" t="n"/>
      <c r="G4" s="9" t="s">
        <v>524</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46.11956884</v>
      </c>
      <c r="F44" s="20" t="n">
        <v>3.0960143</v>
      </c>
      <c r="G44" s="18" t="n">
        <v>45.52649739</v>
      </c>
      <c r="H44" s="20" t="n">
        <v>3.38093929</v>
      </c>
      <c r="I44" s="18" t="s">
        <v>431</v>
      </c>
      <c r="J44" s="20" t="s">
        <v>431</v>
      </c>
      <c r="K44" s="18" t="n">
        <v>4.78801997</v>
      </c>
      <c r="L44" s="20" t="n">
        <v>1.29462567</v>
      </c>
      <c r="M44" s="18" t="n">
        <v>0</v>
      </c>
      <c r="N44" s="20" t="n">
        <v>0</v>
      </c>
      <c r="O44" s="18" t="n">
        <v>0</v>
      </c>
      <c r="P44" s="20" t="n">
        <v>0</v>
      </c>
      <c r="Q44" s="18" t="n">
        <v>3.56591381</v>
      </c>
      <c r="R44" s="20" t="n">
        <v>0.91870956</v>
      </c>
    </row>
    <row r="45" spans="1:18">
      <c r="A45" s="15" t="s">
        <v>469</v>
      </c>
      <c r="B45" s="17" t="n">
        <v>2849</v>
      </c>
      <c r="C45" s="18">
        <f>(2372.0/B45*100)</f>
        <v/>
      </c>
      <c r="D45" s="19" t="n">
        <v>477</v>
      </c>
      <c r="E45" s="18" t="n">
        <v>56.99016263</v>
      </c>
      <c r="F45" s="20" t="n">
        <v>2.43780416</v>
      </c>
      <c r="G45" s="18" t="n">
        <v>36.77965194</v>
      </c>
      <c r="H45" s="20" t="n">
        <v>2.25437433</v>
      </c>
      <c r="I45" s="18" t="s">
        <v>431</v>
      </c>
      <c r="J45" s="20" t="s">
        <v>431</v>
      </c>
      <c r="K45" s="18" t="n">
        <v>4.86923854</v>
      </c>
      <c r="L45" s="20" t="n">
        <v>1.43048888</v>
      </c>
      <c r="M45" s="18" t="n">
        <v>0.20665005</v>
      </c>
      <c r="N45" s="20" t="n">
        <v>0.21218187</v>
      </c>
      <c r="O45" s="18" t="n">
        <v>0.68753685</v>
      </c>
      <c r="P45" s="20" t="n">
        <v>0.43120055</v>
      </c>
      <c r="Q45" s="18" t="n">
        <v>0.46676</v>
      </c>
      <c r="R45" s="20" t="n">
        <v>0.31240734</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42.39597233</v>
      </c>
      <c r="F49" s="20" t="n">
        <v>2.560366</v>
      </c>
      <c r="G49" s="18" t="n">
        <v>51.75964707</v>
      </c>
      <c r="H49" s="20" t="n">
        <v>2.56092036</v>
      </c>
      <c r="I49" s="18" t="s">
        <v>431</v>
      </c>
      <c r="J49" s="20" t="s">
        <v>431</v>
      </c>
      <c r="K49" s="18" t="n">
        <v>4.5472769</v>
      </c>
      <c r="L49" s="20" t="n">
        <v>1.31374852</v>
      </c>
      <c r="M49" s="18" t="n">
        <v>0</v>
      </c>
      <c r="N49" s="20" t="n">
        <v>0</v>
      </c>
      <c r="O49" s="18" t="n">
        <v>0</v>
      </c>
      <c r="P49" s="20" t="n">
        <v>0</v>
      </c>
      <c r="Q49" s="18" t="n">
        <v>1.2971037</v>
      </c>
      <c r="R49" s="20" t="n">
        <v>0.52938454</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66.94715693000001</v>
      </c>
      <c r="F58" s="20" t="n">
        <v>2.06048411</v>
      </c>
      <c r="G58" s="18" t="n">
        <v>26.01237687</v>
      </c>
      <c r="H58" s="20" t="n">
        <v>1.87417112</v>
      </c>
      <c r="I58" s="18" t="s">
        <v>431</v>
      </c>
      <c r="J58" s="20" t="s">
        <v>431</v>
      </c>
      <c r="K58" s="18" t="n">
        <v>4.47876887</v>
      </c>
      <c r="L58" s="20" t="n">
        <v>0.94647031</v>
      </c>
      <c r="M58" s="18" t="n">
        <v>0</v>
      </c>
      <c r="N58" s="20" t="n">
        <v>0</v>
      </c>
      <c r="O58" s="18" t="n">
        <v>0</v>
      </c>
      <c r="P58" s="20" t="n">
        <v>0</v>
      </c>
      <c r="Q58" s="18" t="n">
        <v>2.56169733</v>
      </c>
      <c r="R58" s="20" t="n">
        <v>0.7302938</v>
      </c>
    </row>
    <row r="59" spans="1:18">
      <c r="A59" s="15" t="s">
        <v>483</v>
      </c>
      <c r="B59" s="17" t="n">
        <v>2548</v>
      </c>
      <c r="C59" s="18">
        <f>(2102.0/B59*100)</f>
        <v/>
      </c>
      <c r="D59" s="19" t="n">
        <v>446</v>
      </c>
      <c r="E59" s="18" t="n">
        <v>79.19574208</v>
      </c>
      <c r="F59" s="20" t="n">
        <v>2.44965854</v>
      </c>
      <c r="G59" s="18" t="n">
        <v>15.95149719</v>
      </c>
      <c r="H59" s="20" t="n">
        <v>2.38719349</v>
      </c>
      <c r="I59" s="18" t="s">
        <v>431</v>
      </c>
      <c r="J59" s="20" t="s">
        <v>431</v>
      </c>
      <c r="K59" s="18" t="n">
        <v>1.30374131</v>
      </c>
      <c r="L59" s="20" t="n">
        <v>0.48683577</v>
      </c>
      <c r="M59" s="18" t="n">
        <v>0</v>
      </c>
      <c r="N59" s="20" t="n">
        <v>0</v>
      </c>
      <c r="O59" s="18" t="n">
        <v>0.29459588</v>
      </c>
      <c r="P59" s="20" t="n">
        <v>0.30071639</v>
      </c>
      <c r="Q59" s="18" t="n">
        <v>3.25442355</v>
      </c>
      <c r="R59" s="20" t="n">
        <v>0.83606389</v>
      </c>
    </row>
    <row r="60" spans="1:18">
      <c r="A60" s="15" t="s">
        <v>484</v>
      </c>
      <c r="B60" s="17" t="n">
        <v>2095</v>
      </c>
      <c r="C60" s="18">
        <f>(1726.0/B60*100)</f>
        <v/>
      </c>
      <c r="D60" s="19" t="n">
        <v>369</v>
      </c>
      <c r="E60" s="18" t="n">
        <v>58.8846663</v>
      </c>
      <c r="F60" s="20" t="n">
        <v>3.08951464</v>
      </c>
      <c r="G60" s="18" t="n">
        <v>29.74443741</v>
      </c>
      <c r="H60" s="20" t="n">
        <v>2.83264174</v>
      </c>
      <c r="I60" s="18" t="s">
        <v>431</v>
      </c>
      <c r="J60" s="20" t="s">
        <v>431</v>
      </c>
      <c r="K60" s="18" t="n">
        <v>6.89775196</v>
      </c>
      <c r="L60" s="20" t="n">
        <v>1.49723845</v>
      </c>
      <c r="M60" s="18" t="n">
        <v>0</v>
      </c>
      <c r="N60" s="20" t="n">
        <v>0</v>
      </c>
      <c r="O60" s="18" t="n">
        <v>0</v>
      </c>
      <c r="P60" s="20" t="n">
        <v>0</v>
      </c>
      <c r="Q60" s="18" t="n">
        <v>4.47314433</v>
      </c>
      <c r="R60" s="20" t="n">
        <v>1.12487568</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60.35680213</v>
      </c>
      <c r="F63" s="20" t="n">
        <v>2.53007015</v>
      </c>
      <c r="G63" s="18" t="n">
        <v>25.39131987</v>
      </c>
      <c r="H63" s="20" t="n">
        <v>2.44825128</v>
      </c>
      <c r="I63" s="18" t="s">
        <v>431</v>
      </c>
      <c r="J63" s="20" t="s">
        <v>431</v>
      </c>
      <c r="K63" s="18" t="n">
        <v>8.191736560000001</v>
      </c>
      <c r="L63" s="20" t="n">
        <v>1.42365598</v>
      </c>
      <c r="M63" s="18" t="n">
        <v>0</v>
      </c>
      <c r="N63" s="20" t="n">
        <v>0</v>
      </c>
      <c r="O63" s="18" t="n">
        <v>0</v>
      </c>
      <c r="P63" s="20" t="n">
        <v>0</v>
      </c>
      <c r="Q63" s="18" t="n">
        <v>6.06014143</v>
      </c>
      <c r="R63" s="20" t="n">
        <v>1.22912234</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51.98356982</v>
      </c>
      <c r="F65" s="20" t="n">
        <v>2.60151943</v>
      </c>
      <c r="G65" s="18" t="n">
        <v>37.82433905</v>
      </c>
      <c r="H65" s="20" t="n">
        <v>2.5633256</v>
      </c>
      <c r="I65" s="18" t="s">
        <v>431</v>
      </c>
      <c r="J65" s="20" t="s">
        <v>431</v>
      </c>
      <c r="K65" s="18" t="n">
        <v>6.77531566</v>
      </c>
      <c r="L65" s="20" t="n">
        <v>1.1929354</v>
      </c>
      <c r="M65" s="18" t="n">
        <v>0</v>
      </c>
      <c r="N65" s="20" t="n">
        <v>0</v>
      </c>
      <c r="O65" s="18" t="n">
        <v>0</v>
      </c>
      <c r="P65" s="20" t="n">
        <v>0</v>
      </c>
      <c r="Q65" s="18" t="n">
        <v>3.41677547</v>
      </c>
      <c r="R65" s="20" t="n">
        <v>0.68904623</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48.16187684</v>
      </c>
      <c r="F69" s="20" t="n">
        <v>2.83789388</v>
      </c>
      <c r="G69" s="18" t="n">
        <v>51.36746724</v>
      </c>
      <c r="H69" s="20" t="n">
        <v>2.84049496</v>
      </c>
      <c r="I69" s="18" t="s">
        <v>431</v>
      </c>
      <c r="J69" s="20" t="s">
        <v>431</v>
      </c>
      <c r="K69" s="18" t="n">
        <v>0.2382037</v>
      </c>
      <c r="L69" s="20" t="n">
        <v>0.23884517</v>
      </c>
      <c r="M69" s="18" t="n">
        <v>0</v>
      </c>
      <c r="N69" s="20" t="n">
        <v>0</v>
      </c>
      <c r="O69" s="18" t="n">
        <v>0</v>
      </c>
      <c r="P69" s="20" t="n">
        <v>0</v>
      </c>
      <c r="Q69" s="18" t="n">
        <v>0.23245222</v>
      </c>
      <c r="R69" s="20" t="n">
        <v>0.23367262</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44.38008706</v>
      </c>
      <c r="F74" s="20" t="n">
        <v>2.71295399</v>
      </c>
      <c r="G74" s="18" t="n">
        <v>43.82217283</v>
      </c>
      <c r="H74" s="20" t="n">
        <v>2.76674487</v>
      </c>
      <c r="I74" s="18" t="s">
        <v>431</v>
      </c>
      <c r="J74" s="20" t="s">
        <v>431</v>
      </c>
      <c r="K74" s="18" t="n">
        <v>7.50819181</v>
      </c>
      <c r="L74" s="20" t="n">
        <v>1.32887739</v>
      </c>
      <c r="M74" s="18" t="n">
        <v>0</v>
      </c>
      <c r="N74" s="20" t="n">
        <v>0</v>
      </c>
      <c r="O74" s="18" t="n">
        <v>0</v>
      </c>
      <c r="P74" s="20" t="n">
        <v>0</v>
      </c>
      <c r="Q74" s="18" t="n">
        <v>4.28954829</v>
      </c>
      <c r="R74" s="20" t="n">
        <v>1.15502611</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33.2357128</v>
      </c>
      <c r="F78" s="20" t="n">
        <v>2.61249566</v>
      </c>
      <c r="G78" s="18" t="n">
        <v>66.59511146</v>
      </c>
      <c r="H78" s="20" t="n">
        <v>2.6036816</v>
      </c>
      <c r="I78" s="18" t="s">
        <v>431</v>
      </c>
      <c r="J78" s="20" t="s">
        <v>431</v>
      </c>
      <c r="K78" s="18" t="n">
        <v>0</v>
      </c>
      <c r="L78" s="20" t="n">
        <v>0</v>
      </c>
      <c r="M78" s="18" t="n">
        <v>0</v>
      </c>
      <c r="N78" s="20" t="n">
        <v>0</v>
      </c>
      <c r="O78" s="18" t="n">
        <v>0</v>
      </c>
      <c r="P78" s="20" t="n">
        <v>0</v>
      </c>
      <c r="Q78" s="18" t="n">
        <v>0.16917574</v>
      </c>
      <c r="R78" s="20" t="n">
        <v>0.17147929</v>
      </c>
    </row>
    <row customHeight="1" ht="25" r="79" spans="1:18">
      <c r="A79" s="15" t="s">
        <v>503</v>
      </c>
      <c r="B79" s="17" t="n">
        <v>787</v>
      </c>
      <c r="C79" s="18">
        <f>(648.0/B79*100)</f>
        <v/>
      </c>
      <c r="D79" s="19" t="n">
        <v>139</v>
      </c>
      <c r="E79" s="18" t="n">
        <v>18.58061608</v>
      </c>
      <c r="F79" s="20" t="n">
        <v>3.22081142</v>
      </c>
      <c r="G79" s="18" t="n">
        <v>75.71752501</v>
      </c>
      <c r="H79" s="20" t="n">
        <v>3.15248345</v>
      </c>
      <c r="I79" s="18" t="s">
        <v>431</v>
      </c>
      <c r="J79" s="20" t="s">
        <v>431</v>
      </c>
      <c r="K79" s="18" t="n">
        <v>3.07446204</v>
      </c>
      <c r="L79" s="20" t="n">
        <v>1.71604558</v>
      </c>
      <c r="M79" s="18" t="n">
        <v>0</v>
      </c>
      <c r="N79" s="20" t="n">
        <v>0</v>
      </c>
      <c r="O79" s="18" t="n">
        <v>0</v>
      </c>
      <c r="P79" s="20" t="n">
        <v>0</v>
      </c>
      <c r="Q79" s="18" t="n">
        <v>2.62739687</v>
      </c>
      <c r="R79" s="20" t="n">
        <v>1.47301979</v>
      </c>
    </row>
    <row r="80" spans="1:18">
      <c r="A80" s="15" t="s">
        <v>504</v>
      </c>
      <c r="B80" s="17" t="n">
        <v>3798</v>
      </c>
      <c r="C80" s="18">
        <f>(3147.0/B80*100)</f>
        <v/>
      </c>
      <c r="D80" s="19" t="n">
        <v>651</v>
      </c>
      <c r="E80" s="18" t="n">
        <v>51.28441282</v>
      </c>
      <c r="F80" s="20" t="n">
        <v>2.92030866</v>
      </c>
      <c r="G80" s="18" t="n">
        <v>48.12689324</v>
      </c>
      <c r="H80" s="20" t="n">
        <v>2.91535138</v>
      </c>
      <c r="I80" s="18" t="s">
        <v>431</v>
      </c>
      <c r="J80" s="20" t="s">
        <v>431</v>
      </c>
      <c r="K80" s="18" t="n">
        <v>0</v>
      </c>
      <c r="L80" s="20" t="n">
        <v>0</v>
      </c>
      <c r="M80" s="18" t="n">
        <v>0</v>
      </c>
      <c r="N80" s="20" t="n">
        <v>0</v>
      </c>
      <c r="O80" s="18" t="n">
        <v>0</v>
      </c>
      <c r="P80" s="20" t="n">
        <v>0</v>
      </c>
      <c r="Q80" s="18" t="n">
        <v>0.58869394</v>
      </c>
      <c r="R80" s="20" t="n">
        <v>0.25573262</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8.03355296</v>
      </c>
      <c r="F44" s="20" t="n">
        <v>1.23507958</v>
      </c>
      <c r="G44" s="18" t="n">
        <v>81.32686129</v>
      </c>
      <c r="H44" s="20" t="n">
        <v>1.91287302</v>
      </c>
      <c r="I44" s="18" t="s">
        <v>431</v>
      </c>
      <c r="J44" s="20" t="s">
        <v>431</v>
      </c>
      <c r="K44" s="18" t="n">
        <v>9.398426130000001</v>
      </c>
      <c r="L44" s="20" t="n">
        <v>1.83546971</v>
      </c>
      <c r="M44" s="18" t="n">
        <v>0</v>
      </c>
      <c r="N44" s="20" t="n">
        <v>0</v>
      </c>
      <c r="O44" s="18" t="n">
        <v>0</v>
      </c>
      <c r="P44" s="20" t="n">
        <v>0</v>
      </c>
      <c r="Q44" s="18" t="n">
        <v>1.24115962</v>
      </c>
      <c r="R44" s="20" t="n">
        <v>0.51114104</v>
      </c>
    </row>
    <row r="45" spans="1:18">
      <c r="A45" s="15" t="s">
        <v>469</v>
      </c>
      <c r="B45" s="17" t="n">
        <v>2849</v>
      </c>
      <c r="C45" s="18">
        <f>(2372.0/B45*100)</f>
        <v/>
      </c>
      <c r="D45" s="19" t="n">
        <v>477</v>
      </c>
      <c r="E45" s="18" t="n">
        <v>46.6641552</v>
      </c>
      <c r="F45" s="20" t="n">
        <v>2.4760899</v>
      </c>
      <c r="G45" s="18" t="n">
        <v>30.81464898</v>
      </c>
      <c r="H45" s="20" t="n">
        <v>2.20601273</v>
      </c>
      <c r="I45" s="18" t="s">
        <v>431</v>
      </c>
      <c r="J45" s="20" t="s">
        <v>431</v>
      </c>
      <c r="K45" s="18" t="n">
        <v>14.15496569</v>
      </c>
      <c r="L45" s="20" t="n">
        <v>1.86757558</v>
      </c>
      <c r="M45" s="18" t="n">
        <v>3.4463052</v>
      </c>
      <c r="N45" s="20" t="n">
        <v>1.00090725</v>
      </c>
      <c r="O45" s="18" t="n">
        <v>0</v>
      </c>
      <c r="P45" s="20" t="n">
        <v>0</v>
      </c>
      <c r="Q45" s="18" t="n">
        <v>4.91992494</v>
      </c>
      <c r="R45" s="20" t="n">
        <v>1.05212763</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3.48675331</v>
      </c>
      <c r="F49" s="20" t="n">
        <v>0.89605802</v>
      </c>
      <c r="G49" s="18" t="n">
        <v>89.17223103000001</v>
      </c>
      <c r="H49" s="20" t="n">
        <v>1.92984668</v>
      </c>
      <c r="I49" s="18" t="s">
        <v>431</v>
      </c>
      <c r="J49" s="20" t="s">
        <v>431</v>
      </c>
      <c r="K49" s="18" t="n">
        <v>6.75165892</v>
      </c>
      <c r="L49" s="20" t="n">
        <v>1.5787205</v>
      </c>
      <c r="M49" s="18" t="n">
        <v>0</v>
      </c>
      <c r="N49" s="20" t="n">
        <v>0</v>
      </c>
      <c r="O49" s="18" t="n">
        <v>0</v>
      </c>
      <c r="P49" s="20" t="n">
        <v>0</v>
      </c>
      <c r="Q49" s="18" t="n">
        <v>0.58935674</v>
      </c>
      <c r="R49" s="20" t="n">
        <v>0.58216726</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42.50238876</v>
      </c>
      <c r="F58" s="20" t="n">
        <v>2.62297735</v>
      </c>
      <c r="G58" s="18" t="n">
        <v>45.02455675</v>
      </c>
      <c r="H58" s="20" t="n">
        <v>2.23953345</v>
      </c>
      <c r="I58" s="18" t="s">
        <v>431</v>
      </c>
      <c r="J58" s="20" t="s">
        <v>431</v>
      </c>
      <c r="K58" s="18" t="n">
        <v>10.80605647</v>
      </c>
      <c r="L58" s="20" t="n">
        <v>1.3900991</v>
      </c>
      <c r="M58" s="18" t="n">
        <v>0</v>
      </c>
      <c r="N58" s="20" t="n">
        <v>0</v>
      </c>
      <c r="O58" s="18" t="n">
        <v>0</v>
      </c>
      <c r="P58" s="20" t="n">
        <v>0</v>
      </c>
      <c r="Q58" s="18" t="n">
        <v>1.66699803</v>
      </c>
      <c r="R58" s="20" t="n">
        <v>0.6037599</v>
      </c>
    </row>
    <row r="59" spans="1:18">
      <c r="A59" s="15" t="s">
        <v>483</v>
      </c>
      <c r="B59" s="17" t="n">
        <v>2548</v>
      </c>
      <c r="C59" s="18">
        <f>(2102.0/B59*100)</f>
        <v/>
      </c>
      <c r="D59" s="19" t="n">
        <v>446</v>
      </c>
      <c r="E59" s="18" t="n">
        <v>10.84417043</v>
      </c>
      <c r="F59" s="20" t="n">
        <v>1.82663895</v>
      </c>
      <c r="G59" s="18" t="n">
        <v>83.23768093</v>
      </c>
      <c r="H59" s="20" t="n">
        <v>2.11013913</v>
      </c>
      <c r="I59" s="18" t="s">
        <v>431</v>
      </c>
      <c r="J59" s="20" t="s">
        <v>431</v>
      </c>
      <c r="K59" s="18" t="n">
        <v>4.12020888</v>
      </c>
      <c r="L59" s="20" t="n">
        <v>0.89173753</v>
      </c>
      <c r="M59" s="18" t="n">
        <v>0</v>
      </c>
      <c r="N59" s="20" t="n">
        <v>0</v>
      </c>
      <c r="O59" s="18" t="n">
        <v>0</v>
      </c>
      <c r="P59" s="20" t="n">
        <v>0</v>
      </c>
      <c r="Q59" s="18" t="n">
        <v>1.79793976</v>
      </c>
      <c r="R59" s="20" t="n">
        <v>0.83816415</v>
      </c>
    </row>
    <row r="60" spans="1:18">
      <c r="A60" s="15" t="s">
        <v>484</v>
      </c>
      <c r="B60" s="17" t="n">
        <v>2095</v>
      </c>
      <c r="C60" s="18">
        <f>(1726.0/B60*100)</f>
        <v/>
      </c>
      <c r="D60" s="19" t="n">
        <v>369</v>
      </c>
      <c r="E60" s="18" t="n">
        <v>19.54454402</v>
      </c>
      <c r="F60" s="20" t="n">
        <v>2.5174714</v>
      </c>
      <c r="G60" s="18" t="n">
        <v>61.70290957</v>
      </c>
      <c r="H60" s="20" t="n">
        <v>2.71900229</v>
      </c>
      <c r="I60" s="18" t="s">
        <v>431</v>
      </c>
      <c r="J60" s="20" t="s">
        <v>431</v>
      </c>
      <c r="K60" s="18" t="n">
        <v>15.88091743</v>
      </c>
      <c r="L60" s="20" t="n">
        <v>2.33112329</v>
      </c>
      <c r="M60" s="18" t="n">
        <v>0</v>
      </c>
      <c r="N60" s="20" t="n">
        <v>0</v>
      </c>
      <c r="O60" s="18" t="n">
        <v>0</v>
      </c>
      <c r="P60" s="20" t="n">
        <v>0</v>
      </c>
      <c r="Q60" s="18" t="n">
        <v>2.87162898</v>
      </c>
      <c r="R60" s="20" t="n">
        <v>0.94236129</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7.43394647</v>
      </c>
      <c r="F63" s="20" t="n">
        <v>1.23167077</v>
      </c>
      <c r="G63" s="18" t="n">
        <v>70.29350822000001</v>
      </c>
      <c r="H63" s="20" t="n">
        <v>2.73049452</v>
      </c>
      <c r="I63" s="18" t="s">
        <v>431</v>
      </c>
      <c r="J63" s="20" t="s">
        <v>431</v>
      </c>
      <c r="K63" s="18" t="n">
        <v>20.765863</v>
      </c>
      <c r="L63" s="20" t="n">
        <v>2.48224822</v>
      </c>
      <c r="M63" s="18" t="n">
        <v>0</v>
      </c>
      <c r="N63" s="20" t="n">
        <v>0</v>
      </c>
      <c r="O63" s="18" t="n">
        <v>0</v>
      </c>
      <c r="P63" s="20" t="n">
        <v>0</v>
      </c>
      <c r="Q63" s="18" t="n">
        <v>1.50668231</v>
      </c>
      <c r="R63" s="20" t="n">
        <v>0.70293993</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4.55304902</v>
      </c>
      <c r="F65" s="20" t="n">
        <v>1.04380147</v>
      </c>
      <c r="G65" s="18" t="n">
        <v>85.4142758</v>
      </c>
      <c r="H65" s="20" t="n">
        <v>1.52535162</v>
      </c>
      <c r="I65" s="18" t="s">
        <v>431</v>
      </c>
      <c r="J65" s="20" t="s">
        <v>431</v>
      </c>
      <c r="K65" s="18" t="n">
        <v>9.3268738</v>
      </c>
      <c r="L65" s="20" t="n">
        <v>1.1856127</v>
      </c>
      <c r="M65" s="18" t="n">
        <v>0</v>
      </c>
      <c r="N65" s="20" t="n">
        <v>0</v>
      </c>
      <c r="O65" s="18" t="n">
        <v>0</v>
      </c>
      <c r="P65" s="20" t="n">
        <v>0</v>
      </c>
      <c r="Q65" s="18" t="n">
        <v>0.70580138</v>
      </c>
      <c r="R65" s="20" t="n">
        <v>0.4215967</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8.023736100000001</v>
      </c>
      <c r="F69" s="20" t="n">
        <v>1.48662217</v>
      </c>
      <c r="G69" s="18" t="n">
        <v>91.73806021</v>
      </c>
      <c r="H69" s="20" t="n">
        <v>1.54279028</v>
      </c>
      <c r="I69" s="18" t="s">
        <v>431</v>
      </c>
      <c r="J69" s="20" t="s">
        <v>431</v>
      </c>
      <c r="K69" s="18" t="n">
        <v>0.2382037</v>
      </c>
      <c r="L69" s="20" t="n">
        <v>0.23884517</v>
      </c>
      <c r="M69" s="18" t="n">
        <v>0</v>
      </c>
      <c r="N69" s="20" t="n">
        <v>0</v>
      </c>
      <c r="O69" s="18" t="n">
        <v>0</v>
      </c>
      <c r="P69" s="20" t="n">
        <v>0</v>
      </c>
      <c r="Q69" s="18" t="n">
        <v>0</v>
      </c>
      <c r="R69" s="20" t="n">
        <v>0</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7.16307354</v>
      </c>
      <c r="F74" s="20" t="n">
        <v>1.36269308</v>
      </c>
      <c r="G74" s="18" t="n">
        <v>80.40875717</v>
      </c>
      <c r="H74" s="20" t="n">
        <v>2.22246952</v>
      </c>
      <c r="I74" s="18" t="s">
        <v>431</v>
      </c>
      <c r="J74" s="20" t="s">
        <v>431</v>
      </c>
      <c r="K74" s="18" t="n">
        <v>11.13442016</v>
      </c>
      <c r="L74" s="20" t="n">
        <v>1.71270797</v>
      </c>
      <c r="M74" s="18" t="n">
        <v>0</v>
      </c>
      <c r="N74" s="20" t="n">
        <v>0</v>
      </c>
      <c r="O74" s="18" t="n">
        <v>0</v>
      </c>
      <c r="P74" s="20" t="n">
        <v>0</v>
      </c>
      <c r="Q74" s="18" t="n">
        <v>1.29374913</v>
      </c>
      <c r="R74" s="20" t="n">
        <v>0.55818585</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29.23986127</v>
      </c>
      <c r="F78" s="20" t="n">
        <v>2.55181342</v>
      </c>
      <c r="G78" s="18" t="n">
        <v>70.00301914000001</v>
      </c>
      <c r="H78" s="20" t="n">
        <v>2.58181346</v>
      </c>
      <c r="I78" s="18" t="s">
        <v>431</v>
      </c>
      <c r="J78" s="20" t="s">
        <v>431</v>
      </c>
      <c r="K78" s="18" t="n">
        <v>0.30516241</v>
      </c>
      <c r="L78" s="20" t="n">
        <v>0.24391806</v>
      </c>
      <c r="M78" s="18" t="n">
        <v>0</v>
      </c>
      <c r="N78" s="20" t="n">
        <v>0</v>
      </c>
      <c r="O78" s="18" t="n">
        <v>0</v>
      </c>
      <c r="P78" s="20" t="n">
        <v>0</v>
      </c>
      <c r="Q78" s="18" t="n">
        <v>0.45195718</v>
      </c>
      <c r="R78" s="20" t="n">
        <v>0.32174898</v>
      </c>
    </row>
    <row customHeight="1" ht="25" r="79" spans="1:18">
      <c r="A79" s="15" t="s">
        <v>503</v>
      </c>
      <c r="B79" s="17" t="n">
        <v>787</v>
      </c>
      <c r="C79" s="18">
        <f>(648.0/B79*100)</f>
        <v/>
      </c>
      <c r="D79" s="19" t="n">
        <v>139</v>
      </c>
      <c r="E79" s="18" t="n">
        <v>4.51978438</v>
      </c>
      <c r="F79" s="20" t="n">
        <v>1.95100441</v>
      </c>
      <c r="G79" s="18" t="n">
        <v>91.03331925000001</v>
      </c>
      <c r="H79" s="20" t="n">
        <v>2.83368477</v>
      </c>
      <c r="I79" s="18" t="s">
        <v>431</v>
      </c>
      <c r="J79" s="20" t="s">
        <v>431</v>
      </c>
      <c r="K79" s="18" t="n">
        <v>4.44689637</v>
      </c>
      <c r="L79" s="20" t="n">
        <v>1.91051181</v>
      </c>
      <c r="M79" s="18" t="n">
        <v>0</v>
      </c>
      <c r="N79" s="20" t="n">
        <v>0</v>
      </c>
      <c r="O79" s="18" t="n">
        <v>0</v>
      </c>
      <c r="P79" s="20" t="n">
        <v>0</v>
      </c>
      <c r="Q79" s="18" t="n">
        <v>0</v>
      </c>
      <c r="R79" s="20" t="n">
        <v>0</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26.39673256</v>
      </c>
      <c r="F44" s="20" t="n">
        <v>2.63894495</v>
      </c>
      <c r="G44" s="18" t="n">
        <v>57.81081983</v>
      </c>
      <c r="H44" s="20" t="n">
        <v>2.99560664</v>
      </c>
      <c r="I44" s="18" t="s">
        <v>431</v>
      </c>
      <c r="J44" s="20" t="s">
        <v>431</v>
      </c>
      <c r="K44" s="18" t="n">
        <v>13.44050049</v>
      </c>
      <c r="L44" s="20" t="n">
        <v>2.06987929</v>
      </c>
      <c r="M44" s="18" t="n">
        <v>0</v>
      </c>
      <c r="N44" s="20" t="n">
        <v>0</v>
      </c>
      <c r="O44" s="18" t="n">
        <v>0</v>
      </c>
      <c r="P44" s="20" t="n">
        <v>0</v>
      </c>
      <c r="Q44" s="18" t="n">
        <v>2.35194712</v>
      </c>
      <c r="R44" s="20" t="n">
        <v>0.86893917</v>
      </c>
    </row>
    <row r="45" spans="1:18">
      <c r="A45" s="15" t="s">
        <v>469</v>
      </c>
      <c r="B45" s="17" t="n">
        <v>2849</v>
      </c>
      <c r="C45" s="18">
        <f>(2372.0/B45*100)</f>
        <v/>
      </c>
      <c r="D45" s="19" t="n">
        <v>477</v>
      </c>
      <c r="E45" s="18" t="n">
        <v>62.47138689</v>
      </c>
      <c r="F45" s="20" t="n">
        <v>2.45834168</v>
      </c>
      <c r="G45" s="18" t="n">
        <v>13.01389043</v>
      </c>
      <c r="H45" s="20" t="n">
        <v>1.61655948</v>
      </c>
      <c r="I45" s="18" t="s">
        <v>431</v>
      </c>
      <c r="J45" s="20" t="s">
        <v>431</v>
      </c>
      <c r="K45" s="18" t="n">
        <v>17.13433839</v>
      </c>
      <c r="L45" s="20" t="n">
        <v>2.05214435</v>
      </c>
      <c r="M45" s="18" t="n">
        <v>3.4463052</v>
      </c>
      <c r="N45" s="20" t="n">
        <v>1.00090725</v>
      </c>
      <c r="O45" s="18" t="n">
        <v>0</v>
      </c>
      <c r="P45" s="20" t="n">
        <v>0</v>
      </c>
      <c r="Q45" s="18" t="n">
        <v>3.93407909</v>
      </c>
      <c r="R45" s="20" t="n">
        <v>0.88267597</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36.04093615</v>
      </c>
      <c r="F49" s="20" t="n">
        <v>2.72185957</v>
      </c>
      <c r="G49" s="18" t="n">
        <v>52.0218261</v>
      </c>
      <c r="H49" s="20" t="n">
        <v>2.96939344</v>
      </c>
      <c r="I49" s="18" t="s">
        <v>431</v>
      </c>
      <c r="J49" s="20" t="s">
        <v>431</v>
      </c>
      <c r="K49" s="18" t="n">
        <v>8.022526859999999</v>
      </c>
      <c r="L49" s="20" t="n">
        <v>1.6448874</v>
      </c>
      <c r="M49" s="18" t="n">
        <v>0</v>
      </c>
      <c r="N49" s="20" t="n">
        <v>0</v>
      </c>
      <c r="O49" s="18" t="n">
        <v>0</v>
      </c>
      <c r="P49" s="20" t="n">
        <v>0</v>
      </c>
      <c r="Q49" s="18" t="n">
        <v>3.91471089</v>
      </c>
      <c r="R49" s="20" t="n">
        <v>1.0821287</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74.22482589000001</v>
      </c>
      <c r="F58" s="20" t="n">
        <v>2.07645735</v>
      </c>
      <c r="G58" s="18" t="n">
        <v>9.10304496</v>
      </c>
      <c r="H58" s="20" t="n">
        <v>1.32862332</v>
      </c>
      <c r="I58" s="18" t="s">
        <v>431</v>
      </c>
      <c r="J58" s="20" t="s">
        <v>431</v>
      </c>
      <c r="K58" s="18" t="n">
        <v>12.53653756</v>
      </c>
      <c r="L58" s="20" t="n">
        <v>1.58247506</v>
      </c>
      <c r="M58" s="18" t="n">
        <v>0</v>
      </c>
      <c r="N58" s="20" t="n">
        <v>0</v>
      </c>
      <c r="O58" s="18" t="n">
        <v>0</v>
      </c>
      <c r="P58" s="20" t="n">
        <v>0</v>
      </c>
      <c r="Q58" s="18" t="n">
        <v>4.13559158</v>
      </c>
      <c r="R58" s="20" t="n">
        <v>0.92841513</v>
      </c>
    </row>
    <row r="59" spans="1:18">
      <c r="A59" s="15" t="s">
        <v>483</v>
      </c>
      <c r="B59" s="17" t="n">
        <v>2548</v>
      </c>
      <c r="C59" s="18">
        <f>(2102.0/B59*100)</f>
        <v/>
      </c>
      <c r="D59" s="19" t="n">
        <v>446</v>
      </c>
      <c r="E59" s="18" t="n">
        <v>63.56901119</v>
      </c>
      <c r="F59" s="20" t="n">
        <v>2.8012461</v>
      </c>
      <c r="G59" s="18" t="n">
        <v>24.36392741</v>
      </c>
      <c r="H59" s="20" t="n">
        <v>2.43489916</v>
      </c>
      <c r="I59" s="18" t="s">
        <v>431</v>
      </c>
      <c r="J59" s="20" t="s">
        <v>431</v>
      </c>
      <c r="K59" s="18" t="n">
        <v>6.60591352</v>
      </c>
      <c r="L59" s="20" t="n">
        <v>1.19754375</v>
      </c>
      <c r="M59" s="18" t="n">
        <v>0</v>
      </c>
      <c r="N59" s="20" t="n">
        <v>0</v>
      </c>
      <c r="O59" s="18" t="n">
        <v>0</v>
      </c>
      <c r="P59" s="20" t="n">
        <v>0</v>
      </c>
      <c r="Q59" s="18" t="n">
        <v>5.46114789</v>
      </c>
      <c r="R59" s="20" t="n">
        <v>1.24328461</v>
      </c>
    </row>
    <row r="60" spans="1:18">
      <c r="A60" s="15" t="s">
        <v>484</v>
      </c>
      <c r="B60" s="17" t="n">
        <v>2095</v>
      </c>
      <c r="C60" s="18">
        <f>(1726.0/B60*100)</f>
        <v/>
      </c>
      <c r="D60" s="19" t="n">
        <v>369</v>
      </c>
      <c r="E60" s="18" t="n">
        <v>62.69581836</v>
      </c>
      <c r="F60" s="20" t="n">
        <v>2.90056276</v>
      </c>
      <c r="G60" s="18" t="n">
        <v>12.48842432</v>
      </c>
      <c r="H60" s="20" t="n">
        <v>1.87242714</v>
      </c>
      <c r="I60" s="18" t="s">
        <v>431</v>
      </c>
      <c r="J60" s="20" t="s">
        <v>431</v>
      </c>
      <c r="K60" s="18" t="n">
        <v>20.26602664</v>
      </c>
      <c r="L60" s="20" t="n">
        <v>2.39880138</v>
      </c>
      <c r="M60" s="18" t="n">
        <v>0</v>
      </c>
      <c r="N60" s="20" t="n">
        <v>0</v>
      </c>
      <c r="O60" s="18" t="n">
        <v>0</v>
      </c>
      <c r="P60" s="20" t="n">
        <v>0</v>
      </c>
      <c r="Q60" s="18" t="n">
        <v>4.54973068</v>
      </c>
      <c r="R60" s="20" t="n">
        <v>1.04790705</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43.65281008</v>
      </c>
      <c r="F63" s="20" t="n">
        <v>2.48346246</v>
      </c>
      <c r="G63" s="18" t="n">
        <v>19.64058736</v>
      </c>
      <c r="H63" s="20" t="n">
        <v>2.30685821</v>
      </c>
      <c r="I63" s="18" t="s">
        <v>431</v>
      </c>
      <c r="J63" s="20" t="s">
        <v>431</v>
      </c>
      <c r="K63" s="18" t="n">
        <v>28.92144795</v>
      </c>
      <c r="L63" s="20" t="n">
        <v>2.63039804</v>
      </c>
      <c r="M63" s="18" t="n">
        <v>0</v>
      </c>
      <c r="N63" s="20" t="n">
        <v>0</v>
      </c>
      <c r="O63" s="18" t="n">
        <v>0</v>
      </c>
      <c r="P63" s="20" t="n">
        <v>0</v>
      </c>
      <c r="Q63" s="18" t="n">
        <v>7.78515461</v>
      </c>
      <c r="R63" s="20" t="n">
        <v>1.34588073</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47.40149366</v>
      </c>
      <c r="F65" s="20" t="n">
        <v>2.7082481</v>
      </c>
      <c r="G65" s="18" t="n">
        <v>25.39738538</v>
      </c>
      <c r="H65" s="20" t="n">
        <v>2.45520158</v>
      </c>
      <c r="I65" s="18" t="s">
        <v>431</v>
      </c>
      <c r="J65" s="20" t="s">
        <v>431</v>
      </c>
      <c r="K65" s="18" t="n">
        <v>12.46913364</v>
      </c>
      <c r="L65" s="20" t="n">
        <v>1.51554206</v>
      </c>
      <c r="M65" s="18" t="n">
        <v>0</v>
      </c>
      <c r="N65" s="20" t="n">
        <v>0</v>
      </c>
      <c r="O65" s="18" t="n">
        <v>0</v>
      </c>
      <c r="P65" s="20" t="n">
        <v>0</v>
      </c>
      <c r="Q65" s="18" t="n">
        <v>14.73198733</v>
      </c>
      <c r="R65" s="20" t="n">
        <v>1.80169464</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44.79575588</v>
      </c>
      <c r="F69" s="20" t="n">
        <v>2.8296559</v>
      </c>
      <c r="G69" s="18" t="n">
        <v>53.82758801</v>
      </c>
      <c r="H69" s="20" t="n">
        <v>2.83626316</v>
      </c>
      <c r="I69" s="18" t="s">
        <v>431</v>
      </c>
      <c r="J69" s="20" t="s">
        <v>431</v>
      </c>
      <c r="K69" s="18" t="n">
        <v>0.2382037</v>
      </c>
      <c r="L69" s="20" t="n">
        <v>0.23884517</v>
      </c>
      <c r="M69" s="18" t="n">
        <v>0</v>
      </c>
      <c r="N69" s="20" t="n">
        <v>0</v>
      </c>
      <c r="O69" s="18" t="n">
        <v>0</v>
      </c>
      <c r="P69" s="20" t="n">
        <v>0</v>
      </c>
      <c r="Q69" s="18" t="n">
        <v>1.13845241</v>
      </c>
      <c r="R69" s="20" t="n">
        <v>0.59446291</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35.66445896</v>
      </c>
      <c r="F74" s="20" t="n">
        <v>2.69307891</v>
      </c>
      <c r="G74" s="18" t="n">
        <v>40.23577559</v>
      </c>
      <c r="H74" s="20" t="n">
        <v>2.66845655</v>
      </c>
      <c r="I74" s="18" t="s">
        <v>431</v>
      </c>
      <c r="J74" s="20" t="s">
        <v>431</v>
      </c>
      <c r="K74" s="18" t="n">
        <v>15.93179267</v>
      </c>
      <c r="L74" s="20" t="n">
        <v>2.15426208</v>
      </c>
      <c r="M74" s="18" t="n">
        <v>0</v>
      </c>
      <c r="N74" s="20" t="n">
        <v>0</v>
      </c>
      <c r="O74" s="18" t="n">
        <v>0</v>
      </c>
      <c r="P74" s="20" t="n">
        <v>0</v>
      </c>
      <c r="Q74" s="18" t="n">
        <v>8.167972779999999</v>
      </c>
      <c r="R74" s="20" t="n">
        <v>1.66464253</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71.1561584</v>
      </c>
      <c r="F78" s="20" t="n">
        <v>2.77094117</v>
      </c>
      <c r="G78" s="18" t="n">
        <v>27.93060391</v>
      </c>
      <c r="H78" s="20" t="n">
        <v>2.69006617</v>
      </c>
      <c r="I78" s="18" t="s">
        <v>431</v>
      </c>
      <c r="J78" s="20" t="s">
        <v>431</v>
      </c>
      <c r="K78" s="18" t="n">
        <v>0.50307799</v>
      </c>
      <c r="L78" s="20" t="n">
        <v>0.316145</v>
      </c>
      <c r="M78" s="18" t="n">
        <v>0</v>
      </c>
      <c r="N78" s="20" t="n">
        <v>0</v>
      </c>
      <c r="O78" s="18" t="n">
        <v>0</v>
      </c>
      <c r="P78" s="20" t="n">
        <v>0</v>
      </c>
      <c r="Q78" s="18" t="n">
        <v>0.4101597</v>
      </c>
      <c r="R78" s="20" t="n">
        <v>0.29464403</v>
      </c>
    </row>
    <row customHeight="1" ht="25" r="79" spans="1:18">
      <c r="A79" s="15" t="s">
        <v>503</v>
      </c>
      <c r="B79" s="17" t="n">
        <v>787</v>
      </c>
      <c r="C79" s="18">
        <f>(648.0/B79*100)</f>
        <v/>
      </c>
      <c r="D79" s="19" t="n">
        <v>139</v>
      </c>
      <c r="E79" s="18" t="n">
        <v>11.75886552</v>
      </c>
      <c r="F79" s="20" t="n">
        <v>2.88503429</v>
      </c>
      <c r="G79" s="18" t="n">
        <v>79.81455291</v>
      </c>
      <c r="H79" s="20" t="n">
        <v>3.88324905</v>
      </c>
      <c r="I79" s="18" t="s">
        <v>431</v>
      </c>
      <c r="J79" s="20" t="s">
        <v>431</v>
      </c>
      <c r="K79" s="18" t="n">
        <v>6.85980833</v>
      </c>
      <c r="L79" s="20" t="n">
        <v>2.13416254</v>
      </c>
      <c r="M79" s="18" t="n">
        <v>0</v>
      </c>
      <c r="N79" s="20" t="n">
        <v>0</v>
      </c>
      <c r="O79" s="18" t="n">
        <v>0</v>
      </c>
      <c r="P79" s="20" t="n">
        <v>0</v>
      </c>
      <c r="Q79" s="18" t="n">
        <v>1.56677324</v>
      </c>
      <c r="R79" s="20" t="n">
        <v>1.21760634</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40.71668887</v>
      </c>
      <c r="F44" s="20" t="n">
        <v>2.75061143</v>
      </c>
      <c r="G44" s="18" t="n">
        <v>29.03366461</v>
      </c>
      <c r="H44" s="20" t="n">
        <v>2.50333488</v>
      </c>
      <c r="I44" s="18" t="s">
        <v>431</v>
      </c>
      <c r="J44" s="20" t="s">
        <v>431</v>
      </c>
      <c r="K44" s="18" t="n">
        <v>20.18199946</v>
      </c>
      <c r="L44" s="20" t="n">
        <v>2.62733057</v>
      </c>
      <c r="M44" s="18" t="n">
        <v>0</v>
      </c>
      <c r="N44" s="20" t="n">
        <v>0</v>
      </c>
      <c r="O44" s="18" t="n">
        <v>0</v>
      </c>
      <c r="P44" s="20" t="n">
        <v>0</v>
      </c>
      <c r="Q44" s="18" t="n">
        <v>10.06764706</v>
      </c>
      <c r="R44" s="20" t="n">
        <v>1.34528477</v>
      </c>
    </row>
    <row r="45" spans="1:18">
      <c r="A45" s="15" t="s">
        <v>469</v>
      </c>
      <c r="B45" s="17" t="n">
        <v>2849</v>
      </c>
      <c r="C45" s="18">
        <f>(2372.0/B45*100)</f>
        <v/>
      </c>
      <c r="D45" s="19" t="n">
        <v>477</v>
      </c>
      <c r="E45" s="18" t="n">
        <v>51.22808312</v>
      </c>
      <c r="F45" s="20" t="n">
        <v>2.71691989</v>
      </c>
      <c r="G45" s="18" t="n">
        <v>9.510278359999999</v>
      </c>
      <c r="H45" s="20" t="n">
        <v>1.35998137</v>
      </c>
      <c r="I45" s="18" t="s">
        <v>431</v>
      </c>
      <c r="J45" s="20" t="s">
        <v>431</v>
      </c>
      <c r="K45" s="18" t="n">
        <v>21.52973223</v>
      </c>
      <c r="L45" s="20" t="n">
        <v>2.19733708</v>
      </c>
      <c r="M45" s="18" t="n">
        <v>3.48774715</v>
      </c>
      <c r="N45" s="20" t="n">
        <v>1.00384612</v>
      </c>
      <c r="O45" s="18" t="n">
        <v>0.24704344</v>
      </c>
      <c r="P45" s="20" t="n">
        <v>0.18947197</v>
      </c>
      <c r="Q45" s="18" t="n">
        <v>13.99711569</v>
      </c>
      <c r="R45" s="20" t="n">
        <v>1.91354022</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36.19399456</v>
      </c>
      <c r="F49" s="20" t="n">
        <v>2.45611861</v>
      </c>
      <c r="G49" s="18" t="n">
        <v>47.00920567</v>
      </c>
      <c r="H49" s="20" t="n">
        <v>2.57521941</v>
      </c>
      <c r="I49" s="18" t="s">
        <v>431</v>
      </c>
      <c r="J49" s="20" t="s">
        <v>431</v>
      </c>
      <c r="K49" s="18" t="n">
        <v>10.69923046</v>
      </c>
      <c r="L49" s="20" t="n">
        <v>1.84885593</v>
      </c>
      <c r="M49" s="18" t="n">
        <v>0</v>
      </c>
      <c r="N49" s="20" t="n">
        <v>0</v>
      </c>
      <c r="O49" s="18" t="n">
        <v>0</v>
      </c>
      <c r="P49" s="20" t="n">
        <v>0</v>
      </c>
      <c r="Q49" s="18" t="n">
        <v>6.09756932</v>
      </c>
      <c r="R49" s="20" t="n">
        <v>1.18508232</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44.23691157</v>
      </c>
      <c r="F58" s="20" t="n">
        <v>2.15068544</v>
      </c>
      <c r="G58" s="18" t="n">
        <v>37.09066529</v>
      </c>
      <c r="H58" s="20" t="n">
        <v>1.8880369</v>
      </c>
      <c r="I58" s="18" t="s">
        <v>431</v>
      </c>
      <c r="J58" s="20" t="s">
        <v>431</v>
      </c>
      <c r="K58" s="18" t="n">
        <v>15.97683957</v>
      </c>
      <c r="L58" s="20" t="n">
        <v>1.95969496</v>
      </c>
      <c r="M58" s="18" t="n">
        <v>0</v>
      </c>
      <c r="N58" s="20" t="n">
        <v>0</v>
      </c>
      <c r="O58" s="18" t="n">
        <v>0</v>
      </c>
      <c r="P58" s="20" t="n">
        <v>0</v>
      </c>
      <c r="Q58" s="18" t="n">
        <v>2.69558357</v>
      </c>
      <c r="R58" s="20" t="n">
        <v>0.60330384</v>
      </c>
    </row>
    <row r="59" spans="1:18">
      <c r="A59" s="15" t="s">
        <v>483</v>
      </c>
      <c r="B59" s="17" t="n">
        <v>2548</v>
      </c>
      <c r="C59" s="18">
        <f>(2102.0/B59*100)</f>
        <v/>
      </c>
      <c r="D59" s="19" t="n">
        <v>446</v>
      </c>
      <c r="E59" s="18" t="n">
        <v>74.83125328</v>
      </c>
      <c r="F59" s="20" t="n">
        <v>2.57537541</v>
      </c>
      <c r="G59" s="18" t="n">
        <v>9.748590370000001</v>
      </c>
      <c r="H59" s="20" t="n">
        <v>1.56453925</v>
      </c>
      <c r="I59" s="18" t="s">
        <v>431</v>
      </c>
      <c r="J59" s="20" t="s">
        <v>431</v>
      </c>
      <c r="K59" s="18" t="n">
        <v>10.38530644</v>
      </c>
      <c r="L59" s="20" t="n">
        <v>1.66770767</v>
      </c>
      <c r="M59" s="18" t="n">
        <v>0</v>
      </c>
      <c r="N59" s="20" t="n">
        <v>0</v>
      </c>
      <c r="O59" s="18" t="n">
        <v>0</v>
      </c>
      <c r="P59" s="20" t="n">
        <v>0</v>
      </c>
      <c r="Q59" s="18" t="n">
        <v>5.03484991</v>
      </c>
      <c r="R59" s="20" t="n">
        <v>1.20949477</v>
      </c>
    </row>
    <row r="60" spans="1:18">
      <c r="A60" s="15" t="s">
        <v>484</v>
      </c>
      <c r="B60" s="17" t="n">
        <v>2095</v>
      </c>
      <c r="C60" s="18">
        <f>(1726.0/B60*100)</f>
        <v/>
      </c>
      <c r="D60" s="19" t="n">
        <v>369</v>
      </c>
      <c r="E60" s="18" t="n">
        <v>41.83501187</v>
      </c>
      <c r="F60" s="20" t="n">
        <v>2.83853497</v>
      </c>
      <c r="G60" s="18" t="n">
        <v>21.74486122</v>
      </c>
      <c r="H60" s="20" t="n">
        <v>2.20001975</v>
      </c>
      <c r="I60" s="18" t="s">
        <v>431</v>
      </c>
      <c r="J60" s="20" t="s">
        <v>431</v>
      </c>
      <c r="K60" s="18" t="n">
        <v>29.09206891</v>
      </c>
      <c r="L60" s="20" t="n">
        <v>2.73170093</v>
      </c>
      <c r="M60" s="18" t="n">
        <v>0</v>
      </c>
      <c r="N60" s="20" t="n">
        <v>0</v>
      </c>
      <c r="O60" s="18" t="n">
        <v>0</v>
      </c>
      <c r="P60" s="20" t="n">
        <v>0</v>
      </c>
      <c r="Q60" s="18" t="n">
        <v>7.32805799</v>
      </c>
      <c r="R60" s="20" t="n">
        <v>1.78604679</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32.62296941</v>
      </c>
      <c r="F63" s="20" t="n">
        <v>2.49262002</v>
      </c>
      <c r="G63" s="18" t="n">
        <v>20.97318019</v>
      </c>
      <c r="H63" s="20" t="n">
        <v>2.10097882</v>
      </c>
      <c r="I63" s="18" t="s">
        <v>431</v>
      </c>
      <c r="J63" s="20" t="s">
        <v>431</v>
      </c>
      <c r="K63" s="18" t="n">
        <v>34.30416615</v>
      </c>
      <c r="L63" s="20" t="n">
        <v>2.41270051</v>
      </c>
      <c r="M63" s="18" t="n">
        <v>0</v>
      </c>
      <c r="N63" s="20" t="n">
        <v>0</v>
      </c>
      <c r="O63" s="18" t="n">
        <v>0</v>
      </c>
      <c r="P63" s="20" t="n">
        <v>0</v>
      </c>
      <c r="Q63" s="18" t="n">
        <v>12.09968424</v>
      </c>
      <c r="R63" s="20" t="n">
        <v>1.60130674</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41.33153646</v>
      </c>
      <c r="F65" s="20" t="n">
        <v>2.21432333</v>
      </c>
      <c r="G65" s="18" t="n">
        <v>32.78877704</v>
      </c>
      <c r="H65" s="20" t="n">
        <v>1.878592</v>
      </c>
      <c r="I65" s="18" t="s">
        <v>431</v>
      </c>
      <c r="J65" s="20" t="s">
        <v>431</v>
      </c>
      <c r="K65" s="18" t="n">
        <v>16.27541642</v>
      </c>
      <c r="L65" s="20" t="n">
        <v>1.63828769</v>
      </c>
      <c r="M65" s="18" t="n">
        <v>0</v>
      </c>
      <c r="N65" s="20" t="n">
        <v>0</v>
      </c>
      <c r="O65" s="18" t="n">
        <v>0</v>
      </c>
      <c r="P65" s="20" t="n">
        <v>0</v>
      </c>
      <c r="Q65" s="18" t="n">
        <v>9.60427009</v>
      </c>
      <c r="R65" s="20" t="n">
        <v>1.41293395</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39.10802946</v>
      </c>
      <c r="F69" s="20" t="n">
        <v>2.7405688</v>
      </c>
      <c r="G69" s="18" t="n">
        <v>59.52212256</v>
      </c>
      <c r="H69" s="20" t="n">
        <v>2.78510067</v>
      </c>
      <c r="I69" s="18" t="s">
        <v>431</v>
      </c>
      <c r="J69" s="20" t="s">
        <v>431</v>
      </c>
      <c r="K69" s="18" t="n">
        <v>0.2382037</v>
      </c>
      <c r="L69" s="20" t="n">
        <v>0.23884517</v>
      </c>
      <c r="M69" s="18" t="n">
        <v>0</v>
      </c>
      <c r="N69" s="20" t="n">
        <v>0</v>
      </c>
      <c r="O69" s="18" t="n">
        <v>0</v>
      </c>
      <c r="P69" s="20" t="n">
        <v>0</v>
      </c>
      <c r="Q69" s="18" t="n">
        <v>1.13164428</v>
      </c>
      <c r="R69" s="20" t="n">
        <v>0.59248537</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20.90866554</v>
      </c>
      <c r="F74" s="20" t="n">
        <v>2.57752017</v>
      </c>
      <c r="G74" s="18" t="n">
        <v>52.45548765</v>
      </c>
      <c r="H74" s="20" t="n">
        <v>2.56283912</v>
      </c>
      <c r="I74" s="18" t="s">
        <v>431</v>
      </c>
      <c r="J74" s="20" t="s">
        <v>431</v>
      </c>
      <c r="K74" s="18" t="n">
        <v>19.44498227</v>
      </c>
      <c r="L74" s="20" t="n">
        <v>2.10002169</v>
      </c>
      <c r="M74" s="18" t="n">
        <v>0</v>
      </c>
      <c r="N74" s="20" t="n">
        <v>0</v>
      </c>
      <c r="O74" s="18" t="n">
        <v>0</v>
      </c>
      <c r="P74" s="20" t="n">
        <v>0</v>
      </c>
      <c r="Q74" s="18" t="n">
        <v>7.19086454</v>
      </c>
      <c r="R74" s="20" t="n">
        <v>1.53474628</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52.76182416</v>
      </c>
      <c r="F78" s="20" t="n">
        <v>2.56933856</v>
      </c>
      <c r="G78" s="18" t="n">
        <v>45.27717986</v>
      </c>
      <c r="H78" s="20" t="n">
        <v>2.49957502</v>
      </c>
      <c r="I78" s="18" t="s">
        <v>431</v>
      </c>
      <c r="J78" s="20" t="s">
        <v>431</v>
      </c>
      <c r="K78" s="18" t="n">
        <v>0.81726361</v>
      </c>
      <c r="L78" s="20" t="n">
        <v>0.39720053</v>
      </c>
      <c r="M78" s="18" t="n">
        <v>0</v>
      </c>
      <c r="N78" s="20" t="n">
        <v>0</v>
      </c>
      <c r="O78" s="18" t="n">
        <v>0</v>
      </c>
      <c r="P78" s="20" t="n">
        <v>0</v>
      </c>
      <c r="Q78" s="18" t="n">
        <v>1.14373237</v>
      </c>
      <c r="R78" s="20" t="n">
        <v>0.67838497</v>
      </c>
    </row>
    <row customHeight="1" ht="25" r="79" spans="1:18">
      <c r="A79" s="15" t="s">
        <v>503</v>
      </c>
      <c r="B79" s="17" t="n">
        <v>787</v>
      </c>
      <c r="C79" s="18">
        <f>(648.0/B79*100)</f>
        <v/>
      </c>
      <c r="D79" s="19" t="n">
        <v>139</v>
      </c>
      <c r="E79" s="18" t="n">
        <v>19.63354558</v>
      </c>
      <c r="F79" s="20" t="n">
        <v>3.96303727</v>
      </c>
      <c r="G79" s="18" t="n">
        <v>63.15752</v>
      </c>
      <c r="H79" s="20" t="n">
        <v>4.24246867</v>
      </c>
      <c r="I79" s="18" t="s">
        <v>431</v>
      </c>
      <c r="J79" s="20" t="s">
        <v>431</v>
      </c>
      <c r="K79" s="18" t="n">
        <v>9.335381529999999</v>
      </c>
      <c r="L79" s="20" t="n">
        <v>2.50927761</v>
      </c>
      <c r="M79" s="18" t="n">
        <v>0</v>
      </c>
      <c r="N79" s="20" t="n">
        <v>0</v>
      </c>
      <c r="O79" s="18" t="n">
        <v>0</v>
      </c>
      <c r="P79" s="20" t="n">
        <v>0</v>
      </c>
      <c r="Q79" s="18" t="n">
        <v>7.87355289</v>
      </c>
      <c r="R79" s="20" t="n">
        <v>2.73770792</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730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427</v>
      </c>
      <c r="F5" s="11" t="s">
        <v>428</v>
      </c>
      <c r="G5" s="12" t="s">
        <v>427</v>
      </c>
      <c r="H5" s="11" t="s">
        <v>428</v>
      </c>
      <c r="I5" s="12" t="s">
        <v>427</v>
      </c>
      <c r="J5" s="11" t="s">
        <v>428</v>
      </c>
      <c r="K5" s="12" t="s">
        <v>427</v>
      </c>
      <c r="L5" s="11" t="s">
        <v>428</v>
      </c>
      <c r="M5" s="12" t="s">
        <v>427</v>
      </c>
      <c r="N5" s="11" t="s">
        <v>428</v>
      </c>
      <c r="O5" s="12" t="s">
        <v>427</v>
      </c>
      <c r="P5" s="11" t="s">
        <v>428</v>
      </c>
      <c r="Q5" s="12" t="s">
        <v>427</v>
      </c>
      <c r="R5" s="11" t="s">
        <v>428</v>
      </c>
    </row>
    <row r="6" spans="1:18">
      <c r="A6" s="13" t="s">
        <v>429</v>
      </c>
      <c r="B6" s="14" t="n"/>
      <c r="C6" s="14" t="n"/>
      <c r="D6" s="15" t="n"/>
      <c r="E6" s="14" t="n"/>
      <c r="F6" s="15" t="n"/>
      <c r="G6" s="14" t="n"/>
      <c r="H6" s="15" t="n"/>
      <c r="I6" s="14" t="n"/>
      <c r="J6" s="15" t="n"/>
      <c r="K6" s="14" t="n"/>
      <c r="L6" s="15" t="n"/>
      <c r="M6" s="14" t="n"/>
      <c r="N6" s="15" t="n"/>
      <c r="O6" s="14" t="n"/>
      <c r="P6" s="15" t="n"/>
      <c r="Q6" s="14" t="n"/>
      <c r="R6" s="16" t="n"/>
    </row>
    <row r="7" spans="1:18">
      <c r="A7" s="15" t="s">
        <v>430</v>
      </c>
      <c r="B7" s="17" t="n">
        <v>7367</v>
      </c>
      <c r="C7" s="18">
        <f>(7367.0/B7*100)</f>
        <v/>
      </c>
      <c r="D7" s="19" t="n">
        <v>0</v>
      </c>
      <c r="E7" s="18" t="s">
        <v>431</v>
      </c>
      <c r="F7" s="20" t="s">
        <v>431</v>
      </c>
      <c r="G7" s="18" t="s">
        <v>431</v>
      </c>
      <c r="H7" s="20" t="s">
        <v>431</v>
      </c>
      <c r="I7" s="18" t="s">
        <v>431</v>
      </c>
      <c r="J7" s="20" t="s">
        <v>431</v>
      </c>
      <c r="K7" s="18" t="s">
        <v>431</v>
      </c>
      <c r="L7" s="20" t="s">
        <v>431</v>
      </c>
      <c r="M7" s="18" t="s">
        <v>431</v>
      </c>
      <c r="N7" s="20" t="s">
        <v>431</v>
      </c>
      <c r="O7" s="18" t="s">
        <v>431</v>
      </c>
      <c r="P7" s="20" t="s">
        <v>431</v>
      </c>
      <c r="Q7" s="18" t="s">
        <v>431</v>
      </c>
      <c r="R7" s="20" t="s">
        <v>431</v>
      </c>
    </row>
    <row r="8" spans="1:18">
      <c r="A8" s="15" t="s">
        <v>432</v>
      </c>
      <c r="B8" s="17" t="n">
        <v>3564</v>
      </c>
      <c r="C8" s="18">
        <f>(3564.0/B8*100)</f>
        <v/>
      </c>
      <c r="D8" s="19" t="n">
        <v>0</v>
      </c>
      <c r="E8" s="18" t="s">
        <v>431</v>
      </c>
      <c r="F8" s="20" t="s">
        <v>431</v>
      </c>
      <c r="G8" s="18" t="s">
        <v>431</v>
      </c>
      <c r="H8" s="20" t="s">
        <v>431</v>
      </c>
      <c r="I8" s="18" t="s">
        <v>431</v>
      </c>
      <c r="J8" s="20" t="s">
        <v>431</v>
      </c>
      <c r="K8" s="18" t="s">
        <v>431</v>
      </c>
      <c r="L8" s="20" t="s">
        <v>431</v>
      </c>
      <c r="M8" s="18" t="s">
        <v>431</v>
      </c>
      <c r="N8" s="20" t="s">
        <v>431</v>
      </c>
      <c r="O8" s="18" t="s">
        <v>431</v>
      </c>
      <c r="P8" s="20" t="s">
        <v>431</v>
      </c>
      <c r="Q8" s="18" t="s">
        <v>431</v>
      </c>
      <c r="R8" s="20" t="s">
        <v>431</v>
      </c>
    </row>
    <row r="9" spans="1:18">
      <c r="A9" s="15" t="s">
        <v>433</v>
      </c>
      <c r="B9" s="17" t="n">
        <v>4899</v>
      </c>
      <c r="C9" s="18">
        <f>(4899.0/B9*100)</f>
        <v/>
      </c>
      <c r="D9" s="19" t="n">
        <v>0</v>
      </c>
      <c r="E9" s="18" t="s">
        <v>431</v>
      </c>
      <c r="F9" s="20" t="s">
        <v>431</v>
      </c>
      <c r="G9" s="18" t="s">
        <v>431</v>
      </c>
      <c r="H9" s="20" t="s">
        <v>431</v>
      </c>
      <c r="I9" s="18" t="s">
        <v>431</v>
      </c>
      <c r="J9" s="20" t="s">
        <v>431</v>
      </c>
      <c r="K9" s="18" t="s">
        <v>431</v>
      </c>
      <c r="L9" s="20" t="s">
        <v>431</v>
      </c>
      <c r="M9" s="18" t="s">
        <v>431</v>
      </c>
      <c r="N9" s="20" t="s">
        <v>431</v>
      </c>
      <c r="O9" s="18" t="s">
        <v>431</v>
      </c>
      <c r="P9" s="20" t="s">
        <v>431</v>
      </c>
      <c r="Q9" s="18" t="s">
        <v>431</v>
      </c>
      <c r="R9" s="20" t="s">
        <v>431</v>
      </c>
    </row>
    <row r="10" spans="1:18">
      <c r="A10" s="15" t="s">
        <v>434</v>
      </c>
      <c r="B10" s="17" t="n">
        <v>10036</v>
      </c>
      <c r="C10" s="18">
        <f>(10036.0/B10*100)</f>
        <v/>
      </c>
      <c r="D10" s="19" t="n">
        <v>0</v>
      </c>
      <c r="E10" s="18" t="s">
        <v>431</v>
      </c>
      <c r="F10" s="20" t="s">
        <v>431</v>
      </c>
      <c r="G10" s="18" t="s">
        <v>431</v>
      </c>
      <c r="H10" s="20" t="s">
        <v>431</v>
      </c>
      <c r="I10" s="18" t="s">
        <v>431</v>
      </c>
      <c r="J10" s="20" t="s">
        <v>431</v>
      </c>
      <c r="K10" s="18" t="s">
        <v>431</v>
      </c>
      <c r="L10" s="20" t="s">
        <v>431</v>
      </c>
      <c r="M10" s="18" t="s">
        <v>431</v>
      </c>
      <c r="N10" s="20" t="s">
        <v>431</v>
      </c>
      <c r="O10" s="18" t="s">
        <v>431</v>
      </c>
      <c r="P10" s="20" t="s">
        <v>431</v>
      </c>
      <c r="Q10" s="18" t="s">
        <v>431</v>
      </c>
      <c r="R10" s="20" t="s">
        <v>431</v>
      </c>
    </row>
    <row r="11" spans="1:18">
      <c r="A11" s="15" t="s">
        <v>435</v>
      </c>
      <c r="B11" s="17" t="n">
        <v>3553</v>
      </c>
      <c r="C11" s="18">
        <f>(3553.0/B11*100)</f>
        <v/>
      </c>
      <c r="D11" s="19" t="n">
        <v>0</v>
      </c>
      <c r="E11" s="18" t="s">
        <v>431</v>
      </c>
      <c r="F11" s="20" t="s">
        <v>431</v>
      </c>
      <c r="G11" s="18" t="s">
        <v>431</v>
      </c>
      <c r="H11" s="20" t="s">
        <v>431</v>
      </c>
      <c r="I11" s="18" t="s">
        <v>431</v>
      </c>
      <c r="J11" s="20" t="s">
        <v>431</v>
      </c>
      <c r="K11" s="18" t="s">
        <v>431</v>
      </c>
      <c r="L11" s="20" t="s">
        <v>431</v>
      </c>
      <c r="M11" s="18" t="s">
        <v>431</v>
      </c>
      <c r="N11" s="20" t="s">
        <v>431</v>
      </c>
      <c r="O11" s="18" t="s">
        <v>431</v>
      </c>
      <c r="P11" s="20" t="s">
        <v>431</v>
      </c>
      <c r="Q11" s="18" t="s">
        <v>431</v>
      </c>
      <c r="R11" s="20" t="s">
        <v>431</v>
      </c>
    </row>
    <row r="12" spans="1:18">
      <c r="A12" s="15" t="s">
        <v>436</v>
      </c>
      <c r="B12" s="17" t="n">
        <v>3472</v>
      </c>
      <c r="C12" s="18">
        <f>(3472.0/B12*100)</f>
        <v/>
      </c>
      <c r="D12" s="19" t="n">
        <v>0</v>
      </c>
      <c r="E12" s="18" t="s">
        <v>431</v>
      </c>
      <c r="F12" s="20" t="s">
        <v>431</v>
      </c>
      <c r="G12" s="18" t="s">
        <v>431</v>
      </c>
      <c r="H12" s="20" t="s">
        <v>431</v>
      </c>
      <c r="I12" s="18" t="s">
        <v>431</v>
      </c>
      <c r="J12" s="20" t="s">
        <v>431</v>
      </c>
      <c r="K12" s="18" t="s">
        <v>431</v>
      </c>
      <c r="L12" s="20" t="s">
        <v>431</v>
      </c>
      <c r="M12" s="18" t="s">
        <v>431</v>
      </c>
      <c r="N12" s="20" t="s">
        <v>431</v>
      </c>
      <c r="O12" s="18" t="s">
        <v>431</v>
      </c>
      <c r="P12" s="20" t="s">
        <v>431</v>
      </c>
      <c r="Q12" s="18" t="s">
        <v>431</v>
      </c>
      <c r="R12" s="20" t="s">
        <v>431</v>
      </c>
    </row>
    <row r="13" spans="1:18">
      <c r="A13" s="15" t="s">
        <v>437</v>
      </c>
      <c r="B13" s="17" t="n">
        <v>3559</v>
      </c>
      <c r="C13" s="18">
        <f>(3559.0/B13*100)</f>
        <v/>
      </c>
      <c r="D13" s="19" t="n">
        <v>0</v>
      </c>
      <c r="E13" s="18" t="s">
        <v>431</v>
      </c>
      <c r="F13" s="20" t="s">
        <v>431</v>
      </c>
      <c r="G13" s="18" t="s">
        <v>431</v>
      </c>
      <c r="H13" s="20" t="s">
        <v>431</v>
      </c>
      <c r="I13" s="18" t="s">
        <v>431</v>
      </c>
      <c r="J13" s="20" t="s">
        <v>431</v>
      </c>
      <c r="K13" s="18" t="s">
        <v>431</v>
      </c>
      <c r="L13" s="20" t="s">
        <v>431</v>
      </c>
      <c r="M13" s="18" t="s">
        <v>431</v>
      </c>
      <c r="N13" s="20" t="s">
        <v>431</v>
      </c>
      <c r="O13" s="18" t="s">
        <v>431</v>
      </c>
      <c r="P13" s="20" t="s">
        <v>431</v>
      </c>
      <c r="Q13" s="18" t="s">
        <v>431</v>
      </c>
      <c r="R13" s="20" t="s">
        <v>431</v>
      </c>
    </row>
    <row r="14" spans="1:18">
      <c r="A14" s="15" t="s">
        <v>438</v>
      </c>
      <c r="B14" s="17" t="n">
        <v>2799</v>
      </c>
      <c r="C14" s="18">
        <f>(2799.0/B14*100)</f>
        <v/>
      </c>
      <c r="D14" s="19" t="n">
        <v>0</v>
      </c>
      <c r="E14" s="18" t="s">
        <v>431</v>
      </c>
      <c r="F14" s="20" t="s">
        <v>431</v>
      </c>
      <c r="G14" s="18" t="s">
        <v>431</v>
      </c>
      <c r="H14" s="20" t="s">
        <v>431</v>
      </c>
      <c r="I14" s="18" t="s">
        <v>431</v>
      </c>
      <c r="J14" s="20" t="s">
        <v>431</v>
      </c>
      <c r="K14" s="18" t="s">
        <v>431</v>
      </c>
      <c r="L14" s="20" t="s">
        <v>431</v>
      </c>
      <c r="M14" s="18" t="s">
        <v>431</v>
      </c>
      <c r="N14" s="20" t="s">
        <v>431</v>
      </c>
      <c r="O14" s="18" t="s">
        <v>431</v>
      </c>
      <c r="P14" s="20" t="s">
        <v>431</v>
      </c>
      <c r="Q14" s="18" t="s">
        <v>431</v>
      </c>
      <c r="R14" s="20" t="s">
        <v>431</v>
      </c>
    </row>
    <row r="15" spans="1:18">
      <c r="A15" s="15" t="s">
        <v>439</v>
      </c>
      <c r="B15" s="17" t="n">
        <v>3019</v>
      </c>
      <c r="C15" s="18">
        <f>(3019.0/B15*100)</f>
        <v/>
      </c>
      <c r="D15" s="19" t="n">
        <v>0</v>
      </c>
      <c r="E15" s="18" t="s">
        <v>431</v>
      </c>
      <c r="F15" s="20" t="s">
        <v>431</v>
      </c>
      <c r="G15" s="18" t="s">
        <v>431</v>
      </c>
      <c r="H15" s="20" t="s">
        <v>431</v>
      </c>
      <c r="I15" s="18" t="s">
        <v>431</v>
      </c>
      <c r="J15" s="20" t="s">
        <v>431</v>
      </c>
      <c r="K15" s="18" t="s">
        <v>431</v>
      </c>
      <c r="L15" s="20" t="s">
        <v>431</v>
      </c>
      <c r="M15" s="18" t="s">
        <v>431</v>
      </c>
      <c r="N15" s="20" t="s">
        <v>431</v>
      </c>
      <c r="O15" s="18" t="s">
        <v>431</v>
      </c>
      <c r="P15" s="20" t="s">
        <v>431</v>
      </c>
      <c r="Q15" s="18" t="s">
        <v>431</v>
      </c>
      <c r="R15" s="20" t="s">
        <v>431</v>
      </c>
    </row>
    <row r="16" spans="1:18">
      <c r="A16" s="15" t="s">
        <v>440</v>
      </c>
      <c r="B16" s="17" t="n">
        <v>2997</v>
      </c>
      <c r="C16" s="18">
        <f>(2997.0/B16*100)</f>
        <v/>
      </c>
      <c r="D16" s="19" t="n">
        <v>0</v>
      </c>
      <c r="E16" s="18" t="s">
        <v>431</v>
      </c>
      <c r="F16" s="20" t="s">
        <v>431</v>
      </c>
      <c r="G16" s="18" t="s">
        <v>431</v>
      </c>
      <c r="H16" s="20" t="s">
        <v>431</v>
      </c>
      <c r="I16" s="18" t="s">
        <v>431</v>
      </c>
      <c r="J16" s="20" t="s">
        <v>431</v>
      </c>
      <c r="K16" s="18" t="s">
        <v>431</v>
      </c>
      <c r="L16" s="20" t="s">
        <v>431</v>
      </c>
      <c r="M16" s="18" t="s">
        <v>431</v>
      </c>
      <c r="N16" s="20" t="s">
        <v>431</v>
      </c>
      <c r="O16" s="18" t="s">
        <v>431</v>
      </c>
      <c r="P16" s="20" t="s">
        <v>431</v>
      </c>
      <c r="Q16" s="18" t="s">
        <v>431</v>
      </c>
      <c r="R16" s="20" t="s">
        <v>431</v>
      </c>
    </row>
    <row r="17" spans="1:18">
      <c r="A17" s="15" t="s">
        <v>441</v>
      </c>
      <c r="B17" s="17" t="n">
        <v>3307</v>
      </c>
      <c r="C17" s="18">
        <f>(3307.0/B17*100)</f>
        <v/>
      </c>
      <c r="D17" s="19" t="n">
        <v>0</v>
      </c>
      <c r="E17" s="18" t="s">
        <v>431</v>
      </c>
      <c r="F17" s="20" t="s">
        <v>431</v>
      </c>
      <c r="G17" s="18" t="s">
        <v>431</v>
      </c>
      <c r="H17" s="20" t="s">
        <v>431</v>
      </c>
      <c r="I17" s="18" t="s">
        <v>431</v>
      </c>
      <c r="J17" s="20" t="s">
        <v>431</v>
      </c>
      <c r="K17" s="18" t="s">
        <v>431</v>
      </c>
      <c r="L17" s="20" t="s">
        <v>431</v>
      </c>
      <c r="M17" s="18" t="s">
        <v>431</v>
      </c>
      <c r="N17" s="20" t="s">
        <v>431</v>
      </c>
      <c r="O17" s="18" t="s">
        <v>431</v>
      </c>
      <c r="P17" s="20" t="s">
        <v>431</v>
      </c>
      <c r="Q17" s="18" t="s">
        <v>431</v>
      </c>
      <c r="R17" s="20" t="s">
        <v>431</v>
      </c>
    </row>
    <row r="18" spans="1:18">
      <c r="A18" s="15" t="s">
        <v>442</v>
      </c>
      <c r="B18" s="17" t="n">
        <v>2826</v>
      </c>
      <c r="C18" s="18">
        <f>(2826.0/B18*100)</f>
        <v/>
      </c>
      <c r="D18" s="19" t="n">
        <v>0</v>
      </c>
      <c r="E18" s="18" t="s">
        <v>431</v>
      </c>
      <c r="F18" s="20" t="s">
        <v>431</v>
      </c>
      <c r="G18" s="18" t="s">
        <v>431</v>
      </c>
      <c r="H18" s="20" t="s">
        <v>431</v>
      </c>
      <c r="I18" s="18" t="s">
        <v>431</v>
      </c>
      <c r="J18" s="20" t="s">
        <v>431</v>
      </c>
      <c r="K18" s="18" t="s">
        <v>431</v>
      </c>
      <c r="L18" s="20" t="s">
        <v>431</v>
      </c>
      <c r="M18" s="18" t="s">
        <v>431</v>
      </c>
      <c r="N18" s="20" t="s">
        <v>431</v>
      </c>
      <c r="O18" s="18" t="s">
        <v>431</v>
      </c>
      <c r="P18" s="20" t="s">
        <v>431</v>
      </c>
      <c r="Q18" s="18" t="s">
        <v>431</v>
      </c>
      <c r="R18" s="20" t="s">
        <v>431</v>
      </c>
    </row>
    <row r="19" spans="1:18">
      <c r="A19" s="15" t="s">
        <v>443</v>
      </c>
      <c r="B19" s="17" t="n">
        <v>2808</v>
      </c>
      <c r="C19" s="18">
        <f>(2808.0/B19*100)</f>
        <v/>
      </c>
      <c r="D19" s="19" t="n">
        <v>0</v>
      </c>
      <c r="E19" s="18" t="s">
        <v>431</v>
      </c>
      <c r="F19" s="20" t="s">
        <v>431</v>
      </c>
      <c r="G19" s="18" t="s">
        <v>431</v>
      </c>
      <c r="H19" s="20" t="s">
        <v>431</v>
      </c>
      <c r="I19" s="18" t="s">
        <v>431</v>
      </c>
      <c r="J19" s="20" t="s">
        <v>431</v>
      </c>
      <c r="K19" s="18" t="s">
        <v>431</v>
      </c>
      <c r="L19" s="20" t="s">
        <v>431</v>
      </c>
      <c r="M19" s="18" t="s">
        <v>431</v>
      </c>
      <c r="N19" s="20" t="s">
        <v>431</v>
      </c>
      <c r="O19" s="18" t="s">
        <v>431</v>
      </c>
      <c r="P19" s="20" t="s">
        <v>431</v>
      </c>
      <c r="Q19" s="18" t="s">
        <v>431</v>
      </c>
      <c r="R19" s="20" t="s">
        <v>431</v>
      </c>
    </row>
    <row r="20" spans="1:18">
      <c r="A20" s="15" t="s">
        <v>444</v>
      </c>
      <c r="B20" s="17" t="n">
        <v>1630</v>
      </c>
      <c r="C20" s="18">
        <f>(1630.0/B20*100)</f>
        <v/>
      </c>
      <c r="D20" s="19" t="n">
        <v>0</v>
      </c>
      <c r="E20" s="18" t="s">
        <v>431</v>
      </c>
      <c r="F20" s="20" t="s">
        <v>431</v>
      </c>
      <c r="G20" s="18" t="s">
        <v>431</v>
      </c>
      <c r="H20" s="20" t="s">
        <v>431</v>
      </c>
      <c r="I20" s="18" t="s">
        <v>431</v>
      </c>
      <c r="J20" s="20" t="s">
        <v>431</v>
      </c>
      <c r="K20" s="18" t="s">
        <v>431</v>
      </c>
      <c r="L20" s="20" t="s">
        <v>431</v>
      </c>
      <c r="M20" s="18" t="s">
        <v>431</v>
      </c>
      <c r="N20" s="20" t="s">
        <v>431</v>
      </c>
      <c r="O20" s="18" t="s">
        <v>431</v>
      </c>
      <c r="P20" s="20" t="s">
        <v>431</v>
      </c>
      <c r="Q20" s="18" t="s">
        <v>431</v>
      </c>
      <c r="R20" s="20" t="s">
        <v>431</v>
      </c>
    </row>
    <row r="21" spans="1:18">
      <c r="A21" s="15" t="s">
        <v>445</v>
      </c>
      <c r="B21" s="17" t="n">
        <v>2908</v>
      </c>
      <c r="C21" s="18">
        <f>(2908.0/B21*100)</f>
        <v/>
      </c>
      <c r="D21" s="19" t="n">
        <v>0</v>
      </c>
      <c r="E21" s="18" t="s">
        <v>431</v>
      </c>
      <c r="F21" s="20" t="s">
        <v>431</v>
      </c>
      <c r="G21" s="18" t="s">
        <v>431</v>
      </c>
      <c r="H21" s="20" t="s">
        <v>431</v>
      </c>
      <c r="I21" s="18" t="s">
        <v>431</v>
      </c>
      <c r="J21" s="20" t="s">
        <v>431</v>
      </c>
      <c r="K21" s="18" t="s">
        <v>431</v>
      </c>
      <c r="L21" s="20" t="s">
        <v>431</v>
      </c>
      <c r="M21" s="18" t="s">
        <v>431</v>
      </c>
      <c r="N21" s="20" t="s">
        <v>431</v>
      </c>
      <c r="O21" s="18" t="s">
        <v>431</v>
      </c>
      <c r="P21" s="20" t="s">
        <v>431</v>
      </c>
      <c r="Q21" s="18" t="s">
        <v>431</v>
      </c>
      <c r="R21" s="20" t="s">
        <v>431</v>
      </c>
    </row>
    <row r="22" spans="1:18">
      <c r="A22" s="15" t="s">
        <v>446</v>
      </c>
      <c r="B22" s="17" t="n">
        <v>2931</v>
      </c>
      <c r="C22" s="18">
        <f>(2931.0/B22*100)</f>
        <v/>
      </c>
      <c r="D22" s="19" t="n">
        <v>0</v>
      </c>
      <c r="E22" s="18" t="s">
        <v>431</v>
      </c>
      <c r="F22" s="20" t="s">
        <v>431</v>
      </c>
      <c r="G22" s="18" t="s">
        <v>431</v>
      </c>
      <c r="H22" s="20" t="s">
        <v>431</v>
      </c>
      <c r="I22" s="18" t="s">
        <v>431</v>
      </c>
      <c r="J22" s="20" t="s">
        <v>431</v>
      </c>
      <c r="K22" s="18" t="s">
        <v>431</v>
      </c>
      <c r="L22" s="20" t="s">
        <v>431</v>
      </c>
      <c r="M22" s="18" t="s">
        <v>431</v>
      </c>
      <c r="N22" s="20" t="s">
        <v>431</v>
      </c>
      <c r="O22" s="18" t="s">
        <v>431</v>
      </c>
      <c r="P22" s="20" t="s">
        <v>431</v>
      </c>
      <c r="Q22" s="18" t="s">
        <v>431</v>
      </c>
      <c r="R22" s="20" t="s">
        <v>431</v>
      </c>
    </row>
    <row r="23" spans="1:18">
      <c r="A23" s="15" t="s">
        <v>447</v>
      </c>
      <c r="B23" s="17" t="n">
        <v>5791</v>
      </c>
      <c r="C23" s="18">
        <f>(5791.0/B23*100)</f>
        <v/>
      </c>
      <c r="D23" s="19" t="n">
        <v>0</v>
      </c>
      <c r="E23" s="18" t="s">
        <v>431</v>
      </c>
      <c r="F23" s="20" t="s">
        <v>431</v>
      </c>
      <c r="G23" s="18" t="s">
        <v>431</v>
      </c>
      <c r="H23" s="20" t="s">
        <v>431</v>
      </c>
      <c r="I23" s="18" t="s">
        <v>431</v>
      </c>
      <c r="J23" s="20" t="s">
        <v>431</v>
      </c>
      <c r="K23" s="18" t="s">
        <v>431</v>
      </c>
      <c r="L23" s="20" t="s">
        <v>431</v>
      </c>
      <c r="M23" s="18" t="s">
        <v>431</v>
      </c>
      <c r="N23" s="20" t="s">
        <v>431</v>
      </c>
      <c r="O23" s="18" t="s">
        <v>431</v>
      </c>
      <c r="P23" s="20" t="s">
        <v>431</v>
      </c>
      <c r="Q23" s="18" t="s">
        <v>431</v>
      </c>
      <c r="R23" s="20" t="s">
        <v>431</v>
      </c>
    </row>
    <row r="24" spans="1:18">
      <c r="A24" s="15" t="s">
        <v>448</v>
      </c>
      <c r="B24" s="17" t="n">
        <v>3338</v>
      </c>
      <c r="C24" s="18">
        <f>(3338.0/B24*100)</f>
        <v/>
      </c>
      <c r="D24" s="19" t="n">
        <v>0</v>
      </c>
      <c r="E24" s="18" t="s">
        <v>431</v>
      </c>
      <c r="F24" s="20" t="s">
        <v>431</v>
      </c>
      <c r="G24" s="18" t="s">
        <v>431</v>
      </c>
      <c r="H24" s="20" t="s">
        <v>431</v>
      </c>
      <c r="I24" s="18" t="s">
        <v>431</v>
      </c>
      <c r="J24" s="20" t="s">
        <v>431</v>
      </c>
      <c r="K24" s="18" t="s">
        <v>431</v>
      </c>
      <c r="L24" s="20" t="s">
        <v>431</v>
      </c>
      <c r="M24" s="18" t="s">
        <v>431</v>
      </c>
      <c r="N24" s="20" t="s">
        <v>431</v>
      </c>
      <c r="O24" s="18" t="s">
        <v>431</v>
      </c>
      <c r="P24" s="20" t="s">
        <v>431</v>
      </c>
      <c r="Q24" s="18" t="s">
        <v>431</v>
      </c>
      <c r="R24" s="20" t="s">
        <v>431</v>
      </c>
    </row>
    <row r="25" spans="1:18">
      <c r="A25" s="15" t="s">
        <v>449</v>
      </c>
      <c r="B25" s="17" t="n">
        <v>2912</v>
      </c>
      <c r="C25" s="18">
        <f>(2912.0/B25*100)</f>
        <v/>
      </c>
      <c r="D25" s="19" t="n">
        <v>0</v>
      </c>
      <c r="E25" s="18" t="s">
        <v>431</v>
      </c>
      <c r="F25" s="20" t="s">
        <v>431</v>
      </c>
      <c r="G25" s="18" t="s">
        <v>431</v>
      </c>
      <c r="H25" s="20" t="s">
        <v>431</v>
      </c>
      <c r="I25" s="18" t="s">
        <v>431</v>
      </c>
      <c r="J25" s="20" t="s">
        <v>431</v>
      </c>
      <c r="K25" s="18" t="s">
        <v>431</v>
      </c>
      <c r="L25" s="20" t="s">
        <v>431</v>
      </c>
      <c r="M25" s="18" t="s">
        <v>431</v>
      </c>
      <c r="N25" s="20" t="s">
        <v>431</v>
      </c>
      <c r="O25" s="18" t="s">
        <v>431</v>
      </c>
      <c r="P25" s="20" t="s">
        <v>431</v>
      </c>
      <c r="Q25" s="18" t="s">
        <v>431</v>
      </c>
      <c r="R25" s="20" t="s">
        <v>431</v>
      </c>
    </row>
    <row r="26" spans="1:18">
      <c r="A26" s="15" t="s">
        <v>450</v>
      </c>
      <c r="B26" s="17" t="n">
        <v>2450</v>
      </c>
      <c r="C26" s="18">
        <f>(2450.0/B26*100)</f>
        <v/>
      </c>
      <c r="D26" s="19" t="n">
        <v>0</v>
      </c>
      <c r="E26" s="18" t="s">
        <v>431</v>
      </c>
      <c r="F26" s="20" t="s">
        <v>431</v>
      </c>
      <c r="G26" s="18" t="s">
        <v>431</v>
      </c>
      <c r="H26" s="20" t="s">
        <v>431</v>
      </c>
      <c r="I26" s="18" t="s">
        <v>431</v>
      </c>
      <c r="J26" s="20" t="s">
        <v>431</v>
      </c>
      <c r="K26" s="18" t="s">
        <v>431</v>
      </c>
      <c r="L26" s="20" t="s">
        <v>431</v>
      </c>
      <c r="M26" s="18" t="s">
        <v>431</v>
      </c>
      <c r="N26" s="20" t="s">
        <v>431</v>
      </c>
      <c r="O26" s="18" t="s">
        <v>431</v>
      </c>
      <c r="P26" s="20" t="s">
        <v>431</v>
      </c>
      <c r="Q26" s="18" t="s">
        <v>431</v>
      </c>
      <c r="R26" s="20" t="s">
        <v>431</v>
      </c>
    </row>
    <row r="27" spans="1:18">
      <c r="A27" s="15" t="s">
        <v>451</v>
      </c>
      <c r="B27" s="17" t="n">
        <v>2616</v>
      </c>
      <c r="C27" s="18">
        <f>(2616.0/B27*100)</f>
        <v/>
      </c>
      <c r="D27" s="19" t="n">
        <v>0</v>
      </c>
      <c r="E27" s="18" t="s">
        <v>431</v>
      </c>
      <c r="F27" s="20" t="s">
        <v>431</v>
      </c>
      <c r="G27" s="18" t="s">
        <v>431</v>
      </c>
      <c r="H27" s="20" t="s">
        <v>431</v>
      </c>
      <c r="I27" s="18" t="s">
        <v>431</v>
      </c>
      <c r="J27" s="20" t="s">
        <v>431</v>
      </c>
      <c r="K27" s="18" t="s">
        <v>431</v>
      </c>
      <c r="L27" s="20" t="s">
        <v>431</v>
      </c>
      <c r="M27" s="18" t="s">
        <v>431</v>
      </c>
      <c r="N27" s="20" t="s">
        <v>431</v>
      </c>
      <c r="O27" s="18" t="s">
        <v>431</v>
      </c>
      <c r="P27" s="20" t="s">
        <v>431</v>
      </c>
      <c r="Q27" s="18" t="s">
        <v>431</v>
      </c>
      <c r="R27" s="20" t="s">
        <v>431</v>
      </c>
    </row>
    <row r="28" spans="1:18">
      <c r="A28" s="15" t="s">
        <v>452</v>
      </c>
      <c r="B28" s="17" t="n">
        <v>3765</v>
      </c>
      <c r="C28" s="18">
        <f>(3765.0/B28*100)</f>
        <v/>
      </c>
      <c r="D28" s="19" t="n">
        <v>0</v>
      </c>
      <c r="E28" s="18" t="s">
        <v>431</v>
      </c>
      <c r="F28" s="20" t="s">
        <v>431</v>
      </c>
      <c r="G28" s="18" t="s">
        <v>431</v>
      </c>
      <c r="H28" s="20" t="s">
        <v>431</v>
      </c>
      <c r="I28" s="18" t="s">
        <v>431</v>
      </c>
      <c r="J28" s="20" t="s">
        <v>431</v>
      </c>
      <c r="K28" s="18" t="s">
        <v>431</v>
      </c>
      <c r="L28" s="20" t="s">
        <v>431</v>
      </c>
      <c r="M28" s="18" t="s">
        <v>431</v>
      </c>
      <c r="N28" s="20" t="s">
        <v>431</v>
      </c>
      <c r="O28" s="18" t="s">
        <v>431</v>
      </c>
      <c r="P28" s="20" t="s">
        <v>431</v>
      </c>
      <c r="Q28" s="18" t="s">
        <v>431</v>
      </c>
      <c r="R28" s="20" t="s">
        <v>431</v>
      </c>
    </row>
    <row r="29" spans="1:18">
      <c r="A29" s="15" t="s">
        <v>453</v>
      </c>
      <c r="B29" s="17" t="n">
        <v>2685</v>
      </c>
      <c r="C29" s="18">
        <f>(2685.0/B29*100)</f>
        <v/>
      </c>
      <c r="D29" s="19" t="n">
        <v>0</v>
      </c>
      <c r="E29" s="18" t="s">
        <v>431</v>
      </c>
      <c r="F29" s="20" t="s">
        <v>431</v>
      </c>
      <c r="G29" s="18" t="s">
        <v>431</v>
      </c>
      <c r="H29" s="20" t="s">
        <v>431</v>
      </c>
      <c r="I29" s="18" t="s">
        <v>431</v>
      </c>
      <c r="J29" s="20" t="s">
        <v>431</v>
      </c>
      <c r="K29" s="18" t="s">
        <v>431</v>
      </c>
      <c r="L29" s="20" t="s">
        <v>431</v>
      </c>
      <c r="M29" s="18" t="s">
        <v>431</v>
      </c>
      <c r="N29" s="20" t="s">
        <v>431</v>
      </c>
      <c r="O29" s="18" t="s">
        <v>431</v>
      </c>
      <c r="P29" s="20" t="s">
        <v>431</v>
      </c>
      <c r="Q29" s="18" t="s">
        <v>431</v>
      </c>
      <c r="R29" s="20" t="s">
        <v>431</v>
      </c>
    </row>
    <row r="30" spans="1:18">
      <c r="A30" s="15" t="s">
        <v>454</v>
      </c>
      <c r="B30" s="17" t="n">
        <v>2263</v>
      </c>
      <c r="C30" s="18">
        <f>(2263.0/B30*100)</f>
        <v/>
      </c>
      <c r="D30" s="19" t="n">
        <v>0</v>
      </c>
      <c r="E30" s="18" t="s">
        <v>431</v>
      </c>
      <c r="F30" s="20" t="s">
        <v>431</v>
      </c>
      <c r="G30" s="18" t="s">
        <v>431</v>
      </c>
      <c r="H30" s="20" t="s">
        <v>431</v>
      </c>
      <c r="I30" s="18" t="s">
        <v>431</v>
      </c>
      <c r="J30" s="20" t="s">
        <v>431</v>
      </c>
      <c r="K30" s="18" t="s">
        <v>431</v>
      </c>
      <c r="L30" s="20" t="s">
        <v>431</v>
      </c>
      <c r="M30" s="18" t="s">
        <v>431</v>
      </c>
      <c r="N30" s="20" t="s">
        <v>431</v>
      </c>
      <c r="O30" s="18" t="s">
        <v>431</v>
      </c>
      <c r="P30" s="20" t="s">
        <v>431</v>
      </c>
      <c r="Q30" s="18" t="s">
        <v>431</v>
      </c>
      <c r="R30" s="20" t="s">
        <v>431</v>
      </c>
    </row>
    <row r="31" spans="1:18">
      <c r="A31" s="15" t="s">
        <v>455</v>
      </c>
      <c r="B31" s="17" t="n">
        <v>2750</v>
      </c>
      <c r="C31" s="18">
        <f>(2750.0/B31*100)</f>
        <v/>
      </c>
      <c r="D31" s="19" t="n">
        <v>0</v>
      </c>
      <c r="E31" s="18" t="s">
        <v>431</v>
      </c>
      <c r="F31" s="20" t="s">
        <v>431</v>
      </c>
      <c r="G31" s="18" t="s">
        <v>431</v>
      </c>
      <c r="H31" s="20" t="s">
        <v>431</v>
      </c>
      <c r="I31" s="18" t="s">
        <v>431</v>
      </c>
      <c r="J31" s="20" t="s">
        <v>431</v>
      </c>
      <c r="K31" s="18" t="s">
        <v>431</v>
      </c>
      <c r="L31" s="20" t="s">
        <v>431</v>
      </c>
      <c r="M31" s="18" t="s">
        <v>431</v>
      </c>
      <c r="N31" s="20" t="s">
        <v>431</v>
      </c>
      <c r="O31" s="18" t="s">
        <v>431</v>
      </c>
      <c r="P31" s="20" t="s">
        <v>431</v>
      </c>
      <c r="Q31" s="18" t="s">
        <v>431</v>
      </c>
      <c r="R31" s="20" t="s">
        <v>431</v>
      </c>
    </row>
    <row r="32" spans="1:18">
      <c r="A32" s="15" t="s">
        <v>456</v>
      </c>
      <c r="B32" s="17" t="n">
        <v>2269</v>
      </c>
      <c r="C32" s="18">
        <f>(2269.0/B32*100)</f>
        <v/>
      </c>
      <c r="D32" s="19" t="n">
        <v>0</v>
      </c>
      <c r="E32" s="18" t="s">
        <v>431</v>
      </c>
      <c r="F32" s="20" t="s">
        <v>431</v>
      </c>
      <c r="G32" s="18" t="s">
        <v>431</v>
      </c>
      <c r="H32" s="20" t="s">
        <v>431</v>
      </c>
      <c r="I32" s="18" t="s">
        <v>431</v>
      </c>
      <c r="J32" s="20" t="s">
        <v>431</v>
      </c>
      <c r="K32" s="18" t="s">
        <v>431</v>
      </c>
      <c r="L32" s="20" t="s">
        <v>431</v>
      </c>
      <c r="M32" s="18" t="s">
        <v>431</v>
      </c>
      <c r="N32" s="20" t="s">
        <v>431</v>
      </c>
      <c r="O32" s="18" t="s">
        <v>431</v>
      </c>
      <c r="P32" s="20" t="s">
        <v>431</v>
      </c>
      <c r="Q32" s="18" t="s">
        <v>431</v>
      </c>
      <c r="R32" s="20" t="s">
        <v>431</v>
      </c>
    </row>
    <row r="33" spans="1:18">
      <c r="A33" s="15" t="s">
        <v>457</v>
      </c>
      <c r="B33" s="17" t="n">
        <v>3674</v>
      </c>
      <c r="C33" s="18">
        <f>(3674.0/B33*100)</f>
        <v/>
      </c>
      <c r="D33" s="19" t="n">
        <v>0</v>
      </c>
      <c r="E33" s="18" t="s">
        <v>431</v>
      </c>
      <c r="F33" s="20" t="s">
        <v>431</v>
      </c>
      <c r="G33" s="18" t="s">
        <v>431</v>
      </c>
      <c r="H33" s="20" t="s">
        <v>431</v>
      </c>
      <c r="I33" s="18" t="s">
        <v>431</v>
      </c>
      <c r="J33" s="20" t="s">
        <v>431</v>
      </c>
      <c r="K33" s="18" t="s">
        <v>431</v>
      </c>
      <c r="L33" s="20" t="s">
        <v>431</v>
      </c>
      <c r="M33" s="18" t="s">
        <v>431</v>
      </c>
      <c r="N33" s="20" t="s">
        <v>431</v>
      </c>
      <c r="O33" s="18" t="s">
        <v>431</v>
      </c>
      <c r="P33" s="20" t="s">
        <v>431</v>
      </c>
      <c r="Q33" s="18" t="s">
        <v>431</v>
      </c>
      <c r="R33" s="20" t="s">
        <v>431</v>
      </c>
    </row>
    <row r="34" spans="1:18">
      <c r="A34" s="15" t="s">
        <v>458</v>
      </c>
      <c r="B34" s="17" t="n">
        <v>3315</v>
      </c>
      <c r="C34" s="18">
        <f>(3315.0/B34*100)</f>
        <v/>
      </c>
      <c r="D34" s="19" t="n">
        <v>0</v>
      </c>
      <c r="E34" s="18" t="s">
        <v>431</v>
      </c>
      <c r="F34" s="20" t="s">
        <v>431</v>
      </c>
      <c r="G34" s="18" t="s">
        <v>431</v>
      </c>
      <c r="H34" s="20" t="s">
        <v>431</v>
      </c>
      <c r="I34" s="18" t="s">
        <v>431</v>
      </c>
      <c r="J34" s="20" t="s">
        <v>431</v>
      </c>
      <c r="K34" s="18" t="s">
        <v>431</v>
      </c>
      <c r="L34" s="20" t="s">
        <v>431</v>
      </c>
      <c r="M34" s="18" t="s">
        <v>431</v>
      </c>
      <c r="N34" s="20" t="s">
        <v>431</v>
      </c>
      <c r="O34" s="18" t="s">
        <v>431</v>
      </c>
      <c r="P34" s="20" t="s">
        <v>431</v>
      </c>
      <c r="Q34" s="18" t="s">
        <v>431</v>
      </c>
      <c r="R34" s="20" t="s">
        <v>431</v>
      </c>
    </row>
    <row r="35" spans="1:18">
      <c r="A35" s="15" t="s">
        <v>459</v>
      </c>
      <c r="B35" s="17" t="n">
        <v>3505</v>
      </c>
      <c r="C35" s="18">
        <f>(3505.0/B35*100)</f>
        <v/>
      </c>
      <c r="D35" s="19" t="n">
        <v>0</v>
      </c>
      <c r="E35" s="18" t="s">
        <v>431</v>
      </c>
      <c r="F35" s="20" t="s">
        <v>431</v>
      </c>
      <c r="G35" s="18" t="s">
        <v>431</v>
      </c>
      <c r="H35" s="20" t="s">
        <v>431</v>
      </c>
      <c r="I35" s="18" t="s">
        <v>431</v>
      </c>
      <c r="J35" s="20" t="s">
        <v>431</v>
      </c>
      <c r="K35" s="18" t="s">
        <v>431</v>
      </c>
      <c r="L35" s="20" t="s">
        <v>431</v>
      </c>
      <c r="M35" s="18" t="s">
        <v>431</v>
      </c>
      <c r="N35" s="20" t="s">
        <v>431</v>
      </c>
      <c r="O35" s="18" t="s">
        <v>431</v>
      </c>
      <c r="P35" s="20" t="s">
        <v>431</v>
      </c>
      <c r="Q35" s="18" t="s">
        <v>431</v>
      </c>
      <c r="R35" s="20" t="s">
        <v>431</v>
      </c>
    </row>
    <row r="36" spans="1:18">
      <c r="A36" s="15" t="s">
        <v>460</v>
      </c>
      <c r="B36" s="17" t="n">
        <v>3332</v>
      </c>
      <c r="C36" s="18">
        <f>(3332.0/B36*100)</f>
        <v/>
      </c>
      <c r="D36" s="19" t="n">
        <v>0</v>
      </c>
      <c r="E36" s="18" t="s">
        <v>431</v>
      </c>
      <c r="F36" s="20" t="s">
        <v>431</v>
      </c>
      <c r="G36" s="18" t="s">
        <v>431</v>
      </c>
      <c r="H36" s="20" t="s">
        <v>431</v>
      </c>
      <c r="I36" s="18" t="s">
        <v>431</v>
      </c>
      <c r="J36" s="20" t="s">
        <v>431</v>
      </c>
      <c r="K36" s="18" t="s">
        <v>431</v>
      </c>
      <c r="L36" s="20" t="s">
        <v>431</v>
      </c>
      <c r="M36" s="18" t="s">
        <v>431</v>
      </c>
      <c r="N36" s="20" t="s">
        <v>431</v>
      </c>
      <c r="O36" s="18" t="s">
        <v>431</v>
      </c>
      <c r="P36" s="20" t="s">
        <v>431</v>
      </c>
      <c r="Q36" s="18" t="s">
        <v>431</v>
      </c>
      <c r="R36" s="20" t="s">
        <v>431</v>
      </c>
    </row>
    <row r="37" spans="1:18">
      <c r="A37" s="15" t="s">
        <v>461</v>
      </c>
      <c r="B37" s="17" t="n">
        <v>2727</v>
      </c>
      <c r="C37" s="18">
        <f>(2727.0/B37*100)</f>
        <v/>
      </c>
      <c r="D37" s="19" t="n">
        <v>0</v>
      </c>
      <c r="E37" s="18" t="s">
        <v>431</v>
      </c>
      <c r="F37" s="20" t="s">
        <v>431</v>
      </c>
      <c r="G37" s="18" t="s">
        <v>431</v>
      </c>
      <c r="H37" s="20" t="s">
        <v>431</v>
      </c>
      <c r="I37" s="18" t="s">
        <v>431</v>
      </c>
      <c r="J37" s="20" t="s">
        <v>431</v>
      </c>
      <c r="K37" s="18" t="s">
        <v>431</v>
      </c>
      <c r="L37" s="20" t="s">
        <v>431</v>
      </c>
      <c r="M37" s="18" t="s">
        <v>431</v>
      </c>
      <c r="N37" s="20" t="s">
        <v>431</v>
      </c>
      <c r="O37" s="18" t="s">
        <v>431</v>
      </c>
      <c r="P37" s="20" t="s">
        <v>431</v>
      </c>
      <c r="Q37" s="18" t="s">
        <v>431</v>
      </c>
      <c r="R37" s="20" t="s">
        <v>431</v>
      </c>
    </row>
    <row r="38" spans="1:18">
      <c r="A38" s="15" t="s">
        <v>462</v>
      </c>
      <c r="B38" s="17" t="n">
        <v>3053</v>
      </c>
      <c r="C38" s="18">
        <f>(3053.0/B38*100)</f>
        <v/>
      </c>
      <c r="D38" s="19" t="n">
        <v>0</v>
      </c>
      <c r="E38" s="18" t="s">
        <v>431</v>
      </c>
      <c r="F38" s="20" t="s">
        <v>431</v>
      </c>
      <c r="G38" s="18" t="s">
        <v>431</v>
      </c>
      <c r="H38" s="20" t="s">
        <v>431</v>
      </c>
      <c r="I38" s="18" t="s">
        <v>431</v>
      </c>
      <c r="J38" s="20" t="s">
        <v>431</v>
      </c>
      <c r="K38" s="18" t="s">
        <v>431</v>
      </c>
      <c r="L38" s="20" t="s">
        <v>431</v>
      </c>
      <c r="M38" s="18" t="s">
        <v>431</v>
      </c>
      <c r="N38" s="20" t="s">
        <v>431</v>
      </c>
      <c r="O38" s="18" t="s">
        <v>431</v>
      </c>
      <c r="P38" s="20" t="s">
        <v>431</v>
      </c>
      <c r="Q38" s="18" t="s">
        <v>431</v>
      </c>
      <c r="R38" s="20" t="s">
        <v>431</v>
      </c>
    </row>
    <row r="39" spans="1:18">
      <c r="A39" s="15" t="s">
        <v>463</v>
      </c>
      <c r="B39" s="17" t="n">
        <v>2957</v>
      </c>
      <c r="C39" s="18">
        <f>(2957.0/B39*100)</f>
        <v/>
      </c>
      <c r="D39" s="19" t="n">
        <v>0</v>
      </c>
      <c r="E39" s="18" t="s">
        <v>431</v>
      </c>
      <c r="F39" s="20" t="s">
        <v>431</v>
      </c>
      <c r="G39" s="18" t="s">
        <v>431</v>
      </c>
      <c r="H39" s="20" t="s">
        <v>431</v>
      </c>
      <c r="I39" s="18" t="s">
        <v>431</v>
      </c>
      <c r="J39" s="20" t="s">
        <v>431</v>
      </c>
      <c r="K39" s="18" t="s">
        <v>431</v>
      </c>
      <c r="L39" s="20" t="s">
        <v>431</v>
      </c>
      <c r="M39" s="18" t="s">
        <v>431</v>
      </c>
      <c r="N39" s="20" t="s">
        <v>431</v>
      </c>
      <c r="O39" s="18" t="s">
        <v>431</v>
      </c>
      <c r="P39" s="20" t="s">
        <v>431</v>
      </c>
      <c r="Q39" s="18" t="s">
        <v>431</v>
      </c>
      <c r="R39" s="20" t="s">
        <v>431</v>
      </c>
    </row>
    <row r="40" spans="1:18">
      <c r="A40" s="15" t="s">
        <v>464</v>
      </c>
      <c r="B40" s="17" t="n">
        <v>7235</v>
      </c>
      <c r="C40" s="18">
        <f>(7235.0/B40*100)</f>
        <v/>
      </c>
      <c r="D40" s="19" t="n">
        <v>0</v>
      </c>
      <c r="E40" s="18" t="s">
        <v>431</v>
      </c>
      <c r="F40" s="20" t="s">
        <v>431</v>
      </c>
      <c r="G40" s="18" t="s">
        <v>431</v>
      </c>
      <c r="H40" s="20" t="s">
        <v>431</v>
      </c>
      <c r="I40" s="18" t="s">
        <v>431</v>
      </c>
      <c r="J40" s="20" t="s">
        <v>431</v>
      </c>
      <c r="K40" s="18" t="s">
        <v>431</v>
      </c>
      <c r="L40" s="20" t="s">
        <v>431</v>
      </c>
      <c r="M40" s="18" t="s">
        <v>431</v>
      </c>
      <c r="N40" s="20" t="s">
        <v>431</v>
      </c>
      <c r="O40" s="18" t="s">
        <v>431</v>
      </c>
      <c r="P40" s="20" t="s">
        <v>431</v>
      </c>
      <c r="Q40" s="18" t="s">
        <v>431</v>
      </c>
      <c r="R40" s="20" t="s">
        <v>431</v>
      </c>
    </row>
    <row r="41" spans="1:18">
      <c r="A41" s="15" t="s">
        <v>465</v>
      </c>
      <c r="B41" s="17" t="n">
        <v>2858</v>
      </c>
      <c r="C41" s="18">
        <f>(2858.0/B41*100)</f>
        <v/>
      </c>
      <c r="D41" s="19" t="n">
        <v>0</v>
      </c>
      <c r="E41" s="18" t="s">
        <v>431</v>
      </c>
      <c r="F41" s="20" t="s">
        <v>431</v>
      </c>
      <c r="G41" s="18" t="s">
        <v>431</v>
      </c>
      <c r="H41" s="20" t="s">
        <v>431</v>
      </c>
      <c r="I41" s="18" t="s">
        <v>431</v>
      </c>
      <c r="J41" s="20" t="s">
        <v>431</v>
      </c>
      <c r="K41" s="18" t="s">
        <v>431</v>
      </c>
      <c r="L41" s="20" t="s">
        <v>431</v>
      </c>
      <c r="M41" s="18" t="s">
        <v>431</v>
      </c>
      <c r="N41" s="20" t="s">
        <v>431</v>
      </c>
      <c r="O41" s="18" t="s">
        <v>431</v>
      </c>
      <c r="P41" s="20" t="s">
        <v>431</v>
      </c>
      <c r="Q41" s="18" t="s">
        <v>431</v>
      </c>
      <c r="R41" s="20" t="s">
        <v>431</v>
      </c>
    </row>
    <row r="42" spans="1:18">
      <c r="A42" s="15" t="s">
        <v>466</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467</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468</v>
      </c>
      <c r="B44" s="17" t="n">
        <v>2524</v>
      </c>
      <c r="C44" s="18">
        <f>(2100.0/B44*100)</f>
        <v/>
      </c>
      <c r="D44" s="19" t="n">
        <v>424</v>
      </c>
      <c r="E44" s="18" t="n">
        <v>58.64121616</v>
      </c>
      <c r="F44" s="20" t="n">
        <v>2.91153432</v>
      </c>
      <c r="G44" s="18" t="n">
        <v>18.60747182</v>
      </c>
      <c r="H44" s="20" t="n">
        <v>2.16471932</v>
      </c>
      <c r="I44" s="18" t="s">
        <v>431</v>
      </c>
      <c r="J44" s="20" t="s">
        <v>431</v>
      </c>
      <c r="K44" s="18" t="n">
        <v>22.75131201</v>
      </c>
      <c r="L44" s="20" t="n">
        <v>2.70085528</v>
      </c>
      <c r="M44" s="18" t="n">
        <v>0</v>
      </c>
      <c r="N44" s="20" t="n">
        <v>0</v>
      </c>
      <c r="O44" s="18" t="n">
        <v>0</v>
      </c>
      <c r="P44" s="20" t="n">
        <v>0</v>
      </c>
      <c r="Q44" s="18" t="n">
        <v>0</v>
      </c>
      <c r="R44" s="20" t="n">
        <v>0</v>
      </c>
    </row>
    <row r="45" spans="1:18">
      <c r="A45" s="15" t="s">
        <v>469</v>
      </c>
      <c r="B45" s="17" t="n">
        <v>2849</v>
      </c>
      <c r="C45" s="18">
        <f>(2372.0/B45*100)</f>
        <v/>
      </c>
      <c r="D45" s="19" t="n">
        <v>477</v>
      </c>
      <c r="E45" s="18" t="n">
        <v>55.84374593</v>
      </c>
      <c r="F45" s="20" t="n">
        <v>2.65587051</v>
      </c>
      <c r="G45" s="18" t="n">
        <v>16.46636474</v>
      </c>
      <c r="H45" s="20" t="n">
        <v>1.45497841</v>
      </c>
      <c r="I45" s="18" t="s">
        <v>431</v>
      </c>
      <c r="J45" s="20" t="s">
        <v>431</v>
      </c>
      <c r="K45" s="18" t="n">
        <v>23.97287057</v>
      </c>
      <c r="L45" s="20" t="n">
        <v>2.2994752</v>
      </c>
      <c r="M45" s="18" t="n">
        <v>3.71701876</v>
      </c>
      <c r="N45" s="20" t="n">
        <v>0.93315305</v>
      </c>
      <c r="O45" s="18" t="n">
        <v>0</v>
      </c>
      <c r="P45" s="20" t="n">
        <v>0</v>
      </c>
      <c r="Q45" s="18" t="n">
        <v>0</v>
      </c>
      <c r="R45" s="20" t="n">
        <v>0</v>
      </c>
    </row>
    <row r="46" spans="1:18">
      <c r="A46" s="15" t="s">
        <v>470</v>
      </c>
      <c r="B46" s="17" t="n">
        <v>11068</v>
      </c>
      <c r="C46" s="18">
        <f>(11068.0/B46*100)</f>
        <v/>
      </c>
      <c r="D46" s="19" t="n">
        <v>0</v>
      </c>
      <c r="E46" s="18" t="s">
        <v>431</v>
      </c>
      <c r="F46" s="20" t="s">
        <v>431</v>
      </c>
      <c r="G46" s="18" t="s">
        <v>431</v>
      </c>
      <c r="H46" s="20" t="s">
        <v>431</v>
      </c>
      <c r="I46" s="18" t="s">
        <v>431</v>
      </c>
      <c r="J46" s="20" t="s">
        <v>431</v>
      </c>
      <c r="K46" s="18" t="s">
        <v>431</v>
      </c>
      <c r="L46" s="20" t="s">
        <v>431</v>
      </c>
      <c r="M46" s="18" t="s">
        <v>431</v>
      </c>
      <c r="N46" s="20" t="s">
        <v>431</v>
      </c>
      <c r="O46" s="18" t="s">
        <v>431</v>
      </c>
      <c r="P46" s="20" t="s">
        <v>431</v>
      </c>
      <c r="Q46" s="18" t="s">
        <v>431</v>
      </c>
      <c r="R46" s="20" t="s">
        <v>431</v>
      </c>
    </row>
    <row r="47" spans="1:18">
      <c r="A47" s="15" t="s">
        <v>471</v>
      </c>
      <c r="B47" s="17" t="n">
        <v>3105</v>
      </c>
      <c r="C47" s="18">
        <f>(3105.0/B47*100)</f>
        <v/>
      </c>
      <c r="D47" s="19" t="n">
        <v>0</v>
      </c>
      <c r="E47" s="18" t="s">
        <v>431</v>
      </c>
      <c r="F47" s="20" t="s">
        <v>431</v>
      </c>
      <c r="G47" s="18" t="s">
        <v>431</v>
      </c>
      <c r="H47" s="20" t="s">
        <v>431</v>
      </c>
      <c r="I47" s="18" t="s">
        <v>431</v>
      </c>
      <c r="J47" s="20" t="s">
        <v>431</v>
      </c>
      <c r="K47" s="18" t="s">
        <v>431</v>
      </c>
      <c r="L47" s="20" t="s">
        <v>431</v>
      </c>
      <c r="M47" s="18" t="s">
        <v>431</v>
      </c>
      <c r="N47" s="20" t="s">
        <v>431</v>
      </c>
      <c r="O47" s="18" t="s">
        <v>431</v>
      </c>
      <c r="P47" s="20" t="s">
        <v>431</v>
      </c>
      <c r="Q47" s="18" t="s">
        <v>431</v>
      </c>
      <c r="R47" s="20" t="s">
        <v>431</v>
      </c>
    </row>
    <row r="48" spans="1:18">
      <c r="A48" s="15" t="s">
        <v>472</v>
      </c>
      <c r="B48" s="17" t="n">
        <v>5159</v>
      </c>
      <c r="C48" s="18">
        <f>(5159.0/B48*100)</f>
        <v/>
      </c>
      <c r="D48" s="19" t="n">
        <v>0</v>
      </c>
      <c r="E48" s="18" t="s">
        <v>431</v>
      </c>
      <c r="F48" s="20" t="s">
        <v>431</v>
      </c>
      <c r="G48" s="18" t="s">
        <v>431</v>
      </c>
      <c r="H48" s="20" t="s">
        <v>431</v>
      </c>
      <c r="I48" s="18" t="s">
        <v>431</v>
      </c>
      <c r="J48" s="20" t="s">
        <v>431</v>
      </c>
      <c r="K48" s="18" t="s">
        <v>431</v>
      </c>
      <c r="L48" s="20" t="s">
        <v>431</v>
      </c>
      <c r="M48" s="18" t="s">
        <v>431</v>
      </c>
      <c r="N48" s="20" t="s">
        <v>431</v>
      </c>
      <c r="O48" s="18" t="s">
        <v>431</v>
      </c>
      <c r="P48" s="20" t="s">
        <v>431</v>
      </c>
      <c r="Q48" s="18" t="s">
        <v>431</v>
      </c>
      <c r="R48" s="20" t="s">
        <v>431</v>
      </c>
    </row>
    <row r="49" spans="1:18">
      <c r="A49" s="15" t="s">
        <v>473</v>
      </c>
      <c r="B49" s="17" t="n">
        <v>3018</v>
      </c>
      <c r="C49" s="18">
        <f>(2509.0/B49*100)</f>
        <v/>
      </c>
      <c r="D49" s="19" t="n">
        <v>509</v>
      </c>
      <c r="E49" s="18" t="n">
        <v>51.0181294</v>
      </c>
      <c r="F49" s="20" t="n">
        <v>2.81917063</v>
      </c>
      <c r="G49" s="18" t="n">
        <v>37.1440284</v>
      </c>
      <c r="H49" s="20" t="n">
        <v>2.70869745</v>
      </c>
      <c r="I49" s="18" t="s">
        <v>431</v>
      </c>
      <c r="J49" s="20" t="s">
        <v>431</v>
      </c>
      <c r="K49" s="18" t="n">
        <v>11.83784219</v>
      </c>
      <c r="L49" s="20" t="n">
        <v>1.96472453</v>
      </c>
      <c r="M49" s="18" t="n">
        <v>0</v>
      </c>
      <c r="N49" s="20" t="n">
        <v>0</v>
      </c>
      <c r="O49" s="18" t="n">
        <v>0</v>
      </c>
      <c r="P49" s="20" t="n">
        <v>0</v>
      </c>
      <c r="Q49" s="18" t="n">
        <v>0</v>
      </c>
      <c r="R49" s="20" t="n">
        <v>0</v>
      </c>
    </row>
    <row r="50" spans="1:18">
      <c r="A50" s="15" t="s">
        <v>474</v>
      </c>
      <c r="B50" s="17" t="n">
        <v>5637</v>
      </c>
      <c r="C50" s="18">
        <f>(5637.0/B50*100)</f>
        <v/>
      </c>
      <c r="D50" s="19" t="n">
        <v>0</v>
      </c>
      <c r="E50" s="18" t="s">
        <v>431</v>
      </c>
      <c r="F50" s="20" t="s">
        <v>431</v>
      </c>
      <c r="G50" s="18" t="s">
        <v>431</v>
      </c>
      <c r="H50" s="20" t="s">
        <v>431</v>
      </c>
      <c r="I50" s="18" t="s">
        <v>431</v>
      </c>
      <c r="J50" s="20" t="s">
        <v>431</v>
      </c>
      <c r="K50" s="18" t="s">
        <v>431</v>
      </c>
      <c r="L50" s="20" t="s">
        <v>431</v>
      </c>
      <c r="M50" s="18" t="s">
        <v>431</v>
      </c>
      <c r="N50" s="20" t="s">
        <v>431</v>
      </c>
      <c r="O50" s="18" t="s">
        <v>431</v>
      </c>
      <c r="P50" s="20" t="s">
        <v>431</v>
      </c>
      <c r="Q50" s="18" t="s">
        <v>431</v>
      </c>
      <c r="R50" s="20" t="s">
        <v>431</v>
      </c>
    </row>
    <row r="51" spans="1:18">
      <c r="A51" s="15" t="s">
        <v>475</v>
      </c>
      <c r="B51" s="17" t="n">
        <v>3372</v>
      </c>
      <c r="C51" s="18">
        <f>(3372.0/B51*100)</f>
        <v/>
      </c>
      <c r="D51" s="19" t="n">
        <v>0</v>
      </c>
      <c r="E51" s="18" t="s">
        <v>431</v>
      </c>
      <c r="F51" s="20" t="s">
        <v>431</v>
      </c>
      <c r="G51" s="18" t="s">
        <v>431</v>
      </c>
      <c r="H51" s="20" t="s">
        <v>431</v>
      </c>
      <c r="I51" s="18" t="s">
        <v>431</v>
      </c>
      <c r="J51" s="20" t="s">
        <v>431</v>
      </c>
      <c r="K51" s="18" t="s">
        <v>431</v>
      </c>
      <c r="L51" s="20" t="s">
        <v>431</v>
      </c>
      <c r="M51" s="18" t="s">
        <v>431</v>
      </c>
      <c r="N51" s="20" t="s">
        <v>431</v>
      </c>
      <c r="O51" s="18" t="s">
        <v>431</v>
      </c>
      <c r="P51" s="20" t="s">
        <v>431</v>
      </c>
      <c r="Q51" s="18" t="s">
        <v>431</v>
      </c>
      <c r="R51" s="20" t="s">
        <v>431</v>
      </c>
    </row>
    <row r="52" spans="1:18">
      <c r="A52" s="15" t="s">
        <v>476</v>
      </c>
      <c r="B52" s="17" t="n">
        <v>2796</v>
      </c>
      <c r="C52" s="18">
        <f>(2796.0/B52*100)</f>
        <v/>
      </c>
      <c r="D52" s="19" t="n">
        <v>0</v>
      </c>
      <c r="E52" s="18" t="s">
        <v>431</v>
      </c>
      <c r="F52" s="20" t="s">
        <v>431</v>
      </c>
      <c r="G52" s="18" t="s">
        <v>431</v>
      </c>
      <c r="H52" s="20" t="s">
        <v>431</v>
      </c>
      <c r="I52" s="18" t="s">
        <v>431</v>
      </c>
      <c r="J52" s="20" t="s">
        <v>431</v>
      </c>
      <c r="K52" s="18" t="s">
        <v>431</v>
      </c>
      <c r="L52" s="20" t="s">
        <v>431</v>
      </c>
      <c r="M52" s="18" t="s">
        <v>431</v>
      </c>
      <c r="N52" s="20" t="s">
        <v>431</v>
      </c>
      <c r="O52" s="18" t="s">
        <v>431</v>
      </c>
      <c r="P52" s="20" t="s">
        <v>431</v>
      </c>
      <c r="Q52" s="18" t="s">
        <v>431</v>
      </c>
      <c r="R52" s="20" t="s">
        <v>431</v>
      </c>
    </row>
    <row r="53" spans="1:18">
      <c r="A53" s="15" t="s">
        <v>477</v>
      </c>
      <c r="B53" s="17" t="n">
        <v>2811</v>
      </c>
      <c r="C53" s="18">
        <f>(2811.0/B53*100)</f>
        <v/>
      </c>
      <c r="D53" s="19" t="n">
        <v>0</v>
      </c>
      <c r="E53" s="18" t="s">
        <v>431</v>
      </c>
      <c r="F53" s="20" t="s">
        <v>431</v>
      </c>
      <c r="G53" s="18" t="s">
        <v>431</v>
      </c>
      <c r="H53" s="20" t="s">
        <v>431</v>
      </c>
      <c r="I53" s="18" t="s">
        <v>431</v>
      </c>
      <c r="J53" s="20" t="s">
        <v>431</v>
      </c>
      <c r="K53" s="18" t="s">
        <v>431</v>
      </c>
      <c r="L53" s="20" t="s">
        <v>431</v>
      </c>
      <c r="M53" s="18" t="s">
        <v>431</v>
      </c>
      <c r="N53" s="20" t="s">
        <v>431</v>
      </c>
      <c r="O53" s="18" t="s">
        <v>431</v>
      </c>
      <c r="P53" s="20" t="s">
        <v>431</v>
      </c>
      <c r="Q53" s="18" t="s">
        <v>431</v>
      </c>
      <c r="R53" s="20" t="s">
        <v>431</v>
      </c>
    </row>
    <row r="54" spans="1:18">
      <c r="A54" s="15" t="s">
        <v>478</v>
      </c>
      <c r="B54" s="17" t="n">
        <v>2266</v>
      </c>
      <c r="C54" s="18">
        <f>(2266.0/B54*100)</f>
        <v/>
      </c>
      <c r="D54" s="19" t="n">
        <v>0</v>
      </c>
      <c r="E54" s="18" t="s">
        <v>431</v>
      </c>
      <c r="F54" s="20" t="s">
        <v>431</v>
      </c>
      <c r="G54" s="18" t="s">
        <v>431</v>
      </c>
      <c r="H54" s="20" t="s">
        <v>431</v>
      </c>
      <c r="I54" s="18" t="s">
        <v>431</v>
      </c>
      <c r="J54" s="20" t="s">
        <v>431</v>
      </c>
      <c r="K54" s="18" t="s">
        <v>431</v>
      </c>
      <c r="L54" s="20" t="s">
        <v>431</v>
      </c>
      <c r="M54" s="18" t="s">
        <v>431</v>
      </c>
      <c r="N54" s="20" t="s">
        <v>431</v>
      </c>
      <c r="O54" s="18" t="s">
        <v>431</v>
      </c>
      <c r="P54" s="20" t="s">
        <v>431</v>
      </c>
      <c r="Q54" s="18" t="s">
        <v>431</v>
      </c>
      <c r="R54" s="20" t="s">
        <v>431</v>
      </c>
    </row>
    <row r="55" spans="1:18">
      <c r="A55" s="15" t="s">
        <v>479</v>
      </c>
      <c r="B55" s="17" t="n">
        <v>2759</v>
      </c>
      <c r="C55" s="18">
        <f>(2759.0/B55*100)</f>
        <v/>
      </c>
      <c r="D55" s="19" t="n">
        <v>0</v>
      </c>
      <c r="E55" s="18" t="s">
        <v>431</v>
      </c>
      <c r="F55" s="20" t="s">
        <v>431</v>
      </c>
      <c r="G55" s="18" t="s">
        <v>431</v>
      </c>
      <c r="H55" s="20" t="s">
        <v>431</v>
      </c>
      <c r="I55" s="18" t="s">
        <v>431</v>
      </c>
      <c r="J55" s="20" t="s">
        <v>431</v>
      </c>
      <c r="K55" s="18" t="s">
        <v>431</v>
      </c>
      <c r="L55" s="20" t="s">
        <v>431</v>
      </c>
      <c r="M55" s="18" t="s">
        <v>431</v>
      </c>
      <c r="N55" s="20" t="s">
        <v>431</v>
      </c>
      <c r="O55" s="18" t="s">
        <v>431</v>
      </c>
      <c r="P55" s="20" t="s">
        <v>431</v>
      </c>
      <c r="Q55" s="18" t="s">
        <v>431</v>
      </c>
      <c r="R55" s="20" t="s">
        <v>431</v>
      </c>
    </row>
    <row r="56" spans="1:18">
      <c r="A56" s="15" t="s">
        <v>480</v>
      </c>
      <c r="B56" s="17" t="n">
        <v>2684</v>
      </c>
      <c r="C56" s="18">
        <f>(2684.0/B56*100)</f>
        <v/>
      </c>
      <c r="D56" s="19" t="n">
        <v>0</v>
      </c>
      <c r="E56" s="18" t="s">
        <v>431</v>
      </c>
      <c r="F56" s="20" t="s">
        <v>431</v>
      </c>
      <c r="G56" s="18" t="s">
        <v>431</v>
      </c>
      <c r="H56" s="20" t="s">
        <v>431</v>
      </c>
      <c r="I56" s="18" t="s">
        <v>431</v>
      </c>
      <c r="J56" s="20" t="s">
        <v>431</v>
      </c>
      <c r="K56" s="18" t="s">
        <v>431</v>
      </c>
      <c r="L56" s="20" t="s">
        <v>431</v>
      </c>
      <c r="M56" s="18" t="s">
        <v>431</v>
      </c>
      <c r="N56" s="20" t="s">
        <v>431</v>
      </c>
      <c r="O56" s="18" t="s">
        <v>431</v>
      </c>
      <c r="P56" s="20" t="s">
        <v>431</v>
      </c>
      <c r="Q56" s="18" t="s">
        <v>431</v>
      </c>
      <c r="R56" s="20" t="s">
        <v>431</v>
      </c>
    </row>
    <row r="57" spans="1:18">
      <c r="A57" s="15" t="s">
        <v>481</v>
      </c>
      <c r="B57" s="17" t="n">
        <v>3170</v>
      </c>
      <c r="C57" s="18">
        <f>(3170.0/B57*100)</f>
        <v/>
      </c>
      <c r="D57" s="19" t="n">
        <v>0</v>
      </c>
      <c r="E57" s="18" t="s">
        <v>431</v>
      </c>
      <c r="F57" s="20" t="s">
        <v>431</v>
      </c>
      <c r="G57" s="18" t="s">
        <v>431</v>
      </c>
      <c r="H57" s="20" t="s">
        <v>431</v>
      </c>
      <c r="I57" s="18" t="s">
        <v>431</v>
      </c>
      <c r="J57" s="20" t="s">
        <v>431</v>
      </c>
      <c r="K57" s="18" t="s">
        <v>431</v>
      </c>
      <c r="L57" s="20" t="s">
        <v>431</v>
      </c>
      <c r="M57" s="18" t="s">
        <v>431</v>
      </c>
      <c r="N57" s="20" t="s">
        <v>431</v>
      </c>
      <c r="O57" s="18" t="s">
        <v>431</v>
      </c>
      <c r="P57" s="20" t="s">
        <v>431</v>
      </c>
      <c r="Q57" s="18" t="s">
        <v>431</v>
      </c>
      <c r="R57" s="20" t="s">
        <v>431</v>
      </c>
    </row>
    <row r="58" spans="1:18">
      <c r="A58" s="15" t="s">
        <v>482</v>
      </c>
      <c r="B58" s="17" t="n">
        <v>3530</v>
      </c>
      <c r="C58" s="18">
        <f>(2946.0/B58*100)</f>
        <v/>
      </c>
      <c r="D58" s="19" t="n">
        <v>584</v>
      </c>
      <c r="E58" s="18" t="n">
        <v>45.27647253</v>
      </c>
      <c r="F58" s="20" t="n">
        <v>2.50812958</v>
      </c>
      <c r="G58" s="18" t="n">
        <v>34.13542135</v>
      </c>
      <c r="H58" s="20" t="n">
        <v>2.6571187</v>
      </c>
      <c r="I58" s="18" t="s">
        <v>431</v>
      </c>
      <c r="J58" s="20" t="s">
        <v>431</v>
      </c>
      <c r="K58" s="18" t="n">
        <v>20.58810612</v>
      </c>
      <c r="L58" s="20" t="n">
        <v>2.10196729</v>
      </c>
      <c r="M58" s="18" t="n">
        <v>0</v>
      </c>
      <c r="N58" s="20" t="n">
        <v>0</v>
      </c>
      <c r="O58" s="18" t="n">
        <v>0</v>
      </c>
      <c r="P58" s="20" t="n">
        <v>0</v>
      </c>
      <c r="Q58" s="18" t="n">
        <v>0</v>
      </c>
      <c r="R58" s="20" t="n">
        <v>0</v>
      </c>
    </row>
    <row r="59" spans="1:18">
      <c r="A59" s="15" t="s">
        <v>483</v>
      </c>
      <c r="B59" s="17" t="n">
        <v>2548</v>
      </c>
      <c r="C59" s="18">
        <f>(2102.0/B59*100)</f>
        <v/>
      </c>
      <c r="D59" s="19" t="n">
        <v>446</v>
      </c>
      <c r="E59" s="18" t="n">
        <v>79.68767827000001</v>
      </c>
      <c r="F59" s="20" t="n">
        <v>2.13522178</v>
      </c>
      <c r="G59" s="18" t="n">
        <v>6.71112922</v>
      </c>
      <c r="H59" s="20" t="n">
        <v>1.29803923</v>
      </c>
      <c r="I59" s="18" t="s">
        <v>431</v>
      </c>
      <c r="J59" s="20" t="s">
        <v>431</v>
      </c>
      <c r="K59" s="18" t="n">
        <v>13.6011925</v>
      </c>
      <c r="L59" s="20" t="n">
        <v>1.82469811</v>
      </c>
      <c r="M59" s="18" t="n">
        <v>0</v>
      </c>
      <c r="N59" s="20" t="n">
        <v>0</v>
      </c>
      <c r="O59" s="18" t="n">
        <v>0</v>
      </c>
      <c r="P59" s="20" t="n">
        <v>0</v>
      </c>
      <c r="Q59" s="18" t="n">
        <v>0</v>
      </c>
      <c r="R59" s="20" t="n">
        <v>0</v>
      </c>
    </row>
    <row r="60" spans="1:18">
      <c r="A60" s="15" t="s">
        <v>484</v>
      </c>
      <c r="B60" s="17" t="n">
        <v>2095</v>
      </c>
      <c r="C60" s="18">
        <f>(1726.0/B60*100)</f>
        <v/>
      </c>
      <c r="D60" s="19" t="n">
        <v>369</v>
      </c>
      <c r="E60" s="18" t="n">
        <v>35.71094505</v>
      </c>
      <c r="F60" s="20" t="n">
        <v>2.5964268</v>
      </c>
      <c r="G60" s="18" t="n">
        <v>30.12584524</v>
      </c>
      <c r="H60" s="20" t="n">
        <v>2.67420217</v>
      </c>
      <c r="I60" s="18" t="s">
        <v>431</v>
      </c>
      <c r="J60" s="20" t="s">
        <v>431</v>
      </c>
      <c r="K60" s="18" t="n">
        <v>34.16320971</v>
      </c>
      <c r="L60" s="20" t="n">
        <v>2.78110022</v>
      </c>
      <c r="M60" s="18" t="n">
        <v>0</v>
      </c>
      <c r="N60" s="20" t="n">
        <v>0</v>
      </c>
      <c r="O60" s="18" t="n">
        <v>0</v>
      </c>
      <c r="P60" s="20" t="n">
        <v>0</v>
      </c>
      <c r="Q60" s="18" t="n">
        <v>0</v>
      </c>
      <c r="R60" s="20" t="n">
        <v>0</v>
      </c>
    </row>
    <row r="61" spans="1:18">
      <c r="A61" s="15" t="s">
        <v>485</v>
      </c>
      <c r="B61" s="17" t="n">
        <v>3324</v>
      </c>
      <c r="C61" s="18">
        <f>(3324.0/B61*100)</f>
        <v/>
      </c>
      <c r="D61" s="19" t="n">
        <v>0</v>
      </c>
      <c r="E61" s="18" t="s">
        <v>431</v>
      </c>
      <c r="F61" s="20" t="s">
        <v>431</v>
      </c>
      <c r="G61" s="18" t="s">
        <v>431</v>
      </c>
      <c r="H61" s="20" t="s">
        <v>431</v>
      </c>
      <c r="I61" s="18" t="s">
        <v>431</v>
      </c>
      <c r="J61" s="20" t="s">
        <v>431</v>
      </c>
      <c r="K61" s="18" t="s">
        <v>431</v>
      </c>
      <c r="L61" s="20" t="s">
        <v>431</v>
      </c>
      <c r="M61" s="18" t="s">
        <v>431</v>
      </c>
      <c r="N61" s="20" t="s">
        <v>431</v>
      </c>
      <c r="O61" s="18" t="s">
        <v>431</v>
      </c>
      <c r="P61" s="20" t="s">
        <v>431</v>
      </c>
      <c r="Q61" s="18" t="s">
        <v>431</v>
      </c>
      <c r="R61" s="20" t="s">
        <v>431</v>
      </c>
    </row>
    <row r="62" spans="1:18">
      <c r="A62" s="15" t="s">
        <v>486</v>
      </c>
      <c r="B62" s="17" t="n">
        <v>2246</v>
      </c>
      <c r="C62" s="18">
        <f>(2246.0/B62*100)</f>
        <v/>
      </c>
      <c r="D62" s="19" t="n">
        <v>0</v>
      </c>
      <c r="E62" s="18" t="s">
        <v>431</v>
      </c>
      <c r="F62" s="20" t="s">
        <v>431</v>
      </c>
      <c r="G62" s="18" t="s">
        <v>431</v>
      </c>
      <c r="H62" s="20" t="s">
        <v>431</v>
      </c>
      <c r="I62" s="18" t="s">
        <v>431</v>
      </c>
      <c r="J62" s="20" t="s">
        <v>431</v>
      </c>
      <c r="K62" s="18" t="s">
        <v>431</v>
      </c>
      <c r="L62" s="20" t="s">
        <v>431</v>
      </c>
      <c r="M62" s="18" t="s">
        <v>431</v>
      </c>
      <c r="N62" s="20" t="s">
        <v>431</v>
      </c>
      <c r="O62" s="18" t="s">
        <v>431</v>
      </c>
      <c r="P62" s="20" t="s">
        <v>431</v>
      </c>
      <c r="Q62" s="18" t="s">
        <v>431</v>
      </c>
      <c r="R62" s="20" t="s">
        <v>431</v>
      </c>
    </row>
    <row r="63" spans="1:18">
      <c r="A63" s="15" t="s">
        <v>487</v>
      </c>
      <c r="B63" s="17" t="n">
        <v>2813</v>
      </c>
      <c r="C63" s="18">
        <f>(2355.0/B63*100)</f>
        <v/>
      </c>
      <c r="D63" s="19" t="n">
        <v>458</v>
      </c>
      <c r="E63" s="18" t="n">
        <v>45.02820439</v>
      </c>
      <c r="F63" s="20" t="n">
        <v>2.21631279</v>
      </c>
      <c r="G63" s="18" t="n">
        <v>17.09571112</v>
      </c>
      <c r="H63" s="20" t="n">
        <v>2.14286345</v>
      </c>
      <c r="I63" s="18" t="s">
        <v>431</v>
      </c>
      <c r="J63" s="20" t="s">
        <v>431</v>
      </c>
      <c r="K63" s="18" t="n">
        <v>37.87608449</v>
      </c>
      <c r="L63" s="20" t="n">
        <v>2.40707747</v>
      </c>
      <c r="M63" s="18" t="n">
        <v>0</v>
      </c>
      <c r="N63" s="20" t="n">
        <v>0</v>
      </c>
      <c r="O63" s="18" t="n">
        <v>0</v>
      </c>
      <c r="P63" s="20" t="n">
        <v>0</v>
      </c>
      <c r="Q63" s="18" t="n">
        <v>0</v>
      </c>
      <c r="R63" s="20" t="n">
        <v>0</v>
      </c>
    </row>
    <row r="64" spans="1:18">
      <c r="A64" s="15" t="s">
        <v>488</v>
      </c>
      <c r="B64" s="17" t="n">
        <v>1844</v>
      </c>
      <c r="C64" s="18">
        <f>(1844.0/B64*100)</f>
        <v/>
      </c>
      <c r="D64" s="19" t="n">
        <v>0</v>
      </c>
      <c r="E64" s="18" t="s">
        <v>431</v>
      </c>
      <c r="F64" s="20" t="s">
        <v>431</v>
      </c>
      <c r="G64" s="18" t="s">
        <v>431</v>
      </c>
      <c r="H64" s="20" t="s">
        <v>431</v>
      </c>
      <c r="I64" s="18" t="s">
        <v>431</v>
      </c>
      <c r="J64" s="20" t="s">
        <v>431</v>
      </c>
      <c r="K64" s="18" t="s">
        <v>431</v>
      </c>
      <c r="L64" s="20" t="s">
        <v>431</v>
      </c>
      <c r="M64" s="18" t="s">
        <v>431</v>
      </c>
      <c r="N64" s="20" t="s">
        <v>431</v>
      </c>
      <c r="O64" s="18" t="s">
        <v>431</v>
      </c>
      <c r="P64" s="20" t="s">
        <v>431</v>
      </c>
      <c r="Q64" s="18" t="s">
        <v>431</v>
      </c>
      <c r="R64" s="20" t="s">
        <v>431</v>
      </c>
    </row>
    <row r="65" spans="1:18">
      <c r="A65" s="15" t="s">
        <v>489</v>
      </c>
      <c r="B65" s="17" t="n">
        <v>2691</v>
      </c>
      <c r="C65" s="18">
        <f>(2216.0/B65*100)</f>
        <v/>
      </c>
      <c r="D65" s="19" t="n">
        <v>475</v>
      </c>
      <c r="E65" s="18" t="n">
        <v>42.96358044</v>
      </c>
      <c r="F65" s="20" t="n">
        <v>2.33276156</v>
      </c>
      <c r="G65" s="18" t="n">
        <v>38.32185368</v>
      </c>
      <c r="H65" s="20" t="n">
        <v>2.61029937</v>
      </c>
      <c r="I65" s="18" t="s">
        <v>431</v>
      </c>
      <c r="J65" s="20" t="s">
        <v>431</v>
      </c>
      <c r="K65" s="18" t="n">
        <v>18.71456588</v>
      </c>
      <c r="L65" s="20" t="n">
        <v>1.70146967</v>
      </c>
      <c r="M65" s="18" t="n">
        <v>0</v>
      </c>
      <c r="N65" s="20" t="n">
        <v>0</v>
      </c>
      <c r="O65" s="18" t="n">
        <v>0</v>
      </c>
      <c r="P65" s="20" t="n">
        <v>0</v>
      </c>
      <c r="Q65" s="18" t="n">
        <v>0</v>
      </c>
      <c r="R65" s="20" t="n">
        <v>0</v>
      </c>
    </row>
    <row r="66" spans="1:18">
      <c r="A66" s="15" t="s">
        <v>490</v>
      </c>
      <c r="B66" s="17" t="n">
        <v>2894</v>
      </c>
      <c r="C66" s="18">
        <f>(2894.0/B66*100)</f>
        <v/>
      </c>
      <c r="D66" s="19" t="n">
        <v>0</v>
      </c>
      <c r="E66" s="18" t="s">
        <v>431</v>
      </c>
      <c r="F66" s="20" t="s">
        <v>431</v>
      </c>
      <c r="G66" s="18" t="s">
        <v>431</v>
      </c>
      <c r="H66" s="20" t="s">
        <v>431</v>
      </c>
      <c r="I66" s="18" t="s">
        <v>431</v>
      </c>
      <c r="J66" s="20" t="s">
        <v>431</v>
      </c>
      <c r="K66" s="18" t="s">
        <v>431</v>
      </c>
      <c r="L66" s="20" t="s">
        <v>431</v>
      </c>
      <c r="M66" s="18" t="s">
        <v>431</v>
      </c>
      <c r="N66" s="20" t="s">
        <v>431</v>
      </c>
      <c r="O66" s="18" t="s">
        <v>431</v>
      </c>
      <c r="P66" s="20" t="s">
        <v>431</v>
      </c>
      <c r="Q66" s="18" t="s">
        <v>431</v>
      </c>
      <c r="R66" s="20" t="s">
        <v>431</v>
      </c>
    </row>
    <row r="67" spans="1:18">
      <c r="A67" s="15" t="s">
        <v>491</v>
      </c>
      <c r="B67" s="17" t="n">
        <v>3511</v>
      </c>
      <c r="C67" s="18">
        <f>(3511.0/B67*100)</f>
        <v/>
      </c>
      <c r="D67" s="19" t="n">
        <v>0</v>
      </c>
      <c r="E67" s="18" t="s">
        <v>431</v>
      </c>
      <c r="F67" s="20" t="s">
        <v>431</v>
      </c>
      <c r="G67" s="18" t="s">
        <v>431</v>
      </c>
      <c r="H67" s="20" t="s">
        <v>431</v>
      </c>
      <c r="I67" s="18" t="s">
        <v>431</v>
      </c>
      <c r="J67" s="20" t="s">
        <v>431</v>
      </c>
      <c r="K67" s="18" t="s">
        <v>431</v>
      </c>
      <c r="L67" s="20" t="s">
        <v>431</v>
      </c>
      <c r="M67" s="18" t="s">
        <v>431</v>
      </c>
      <c r="N67" s="20" t="s">
        <v>431</v>
      </c>
      <c r="O67" s="18" t="s">
        <v>431</v>
      </c>
      <c r="P67" s="20" t="s">
        <v>431</v>
      </c>
      <c r="Q67" s="18" t="s">
        <v>431</v>
      </c>
      <c r="R67" s="20" t="s">
        <v>431</v>
      </c>
    </row>
    <row r="68" spans="1:18">
      <c r="A68" s="15" t="s">
        <v>492</v>
      </c>
      <c r="B68" s="17" t="n">
        <v>6049</v>
      </c>
      <c r="C68" s="18">
        <f>(6049.0/B68*100)</f>
        <v/>
      </c>
      <c r="D68" s="19" t="n">
        <v>0</v>
      </c>
      <c r="E68" s="18" t="s">
        <v>431</v>
      </c>
      <c r="F68" s="20" t="s">
        <v>431</v>
      </c>
      <c r="G68" s="18" t="s">
        <v>431</v>
      </c>
      <c r="H68" s="20" t="s">
        <v>431</v>
      </c>
      <c r="I68" s="18" t="s">
        <v>431</v>
      </c>
      <c r="J68" s="20" t="s">
        <v>431</v>
      </c>
      <c r="K68" s="18" t="s">
        <v>431</v>
      </c>
      <c r="L68" s="20" t="s">
        <v>431</v>
      </c>
      <c r="M68" s="18" t="s">
        <v>431</v>
      </c>
      <c r="N68" s="20" t="s">
        <v>431</v>
      </c>
      <c r="O68" s="18" t="s">
        <v>431</v>
      </c>
      <c r="P68" s="20" t="s">
        <v>431</v>
      </c>
      <c r="Q68" s="18" t="s">
        <v>431</v>
      </c>
      <c r="R68" s="20" t="s">
        <v>431</v>
      </c>
    </row>
    <row r="69" spans="1:18">
      <c r="A69" s="15" t="s">
        <v>493</v>
      </c>
      <c r="B69" s="17" t="n">
        <v>2410</v>
      </c>
      <c r="C69" s="18">
        <f>(2013.0/B69*100)</f>
        <v/>
      </c>
      <c r="D69" s="19" t="n">
        <v>397</v>
      </c>
      <c r="E69" s="18" t="n">
        <v>45.07720337</v>
      </c>
      <c r="F69" s="20" t="n">
        <v>2.93607999</v>
      </c>
      <c r="G69" s="18" t="n">
        <v>54.68459294</v>
      </c>
      <c r="H69" s="20" t="n">
        <v>2.92574515</v>
      </c>
      <c r="I69" s="18" t="s">
        <v>431</v>
      </c>
      <c r="J69" s="20" t="s">
        <v>431</v>
      </c>
      <c r="K69" s="18" t="n">
        <v>0.2382037</v>
      </c>
      <c r="L69" s="20" t="n">
        <v>0.23884517</v>
      </c>
      <c r="M69" s="18" t="n">
        <v>0</v>
      </c>
      <c r="N69" s="20" t="n">
        <v>0</v>
      </c>
      <c r="O69" s="18" t="n">
        <v>0</v>
      </c>
      <c r="P69" s="20" t="n">
        <v>0</v>
      </c>
      <c r="Q69" s="18" t="n">
        <v>0</v>
      </c>
      <c r="R69" s="20" t="n">
        <v>0</v>
      </c>
    </row>
    <row r="70" spans="1:18">
      <c r="A70" s="15" t="s">
        <v>494</v>
      </c>
      <c r="B70" s="17" t="n">
        <v>2929</v>
      </c>
      <c r="C70" s="18">
        <f>(2929.0/B70*100)</f>
        <v/>
      </c>
      <c r="D70" s="19" t="n">
        <v>0</v>
      </c>
      <c r="E70" s="18" t="s">
        <v>431</v>
      </c>
      <c r="F70" s="20" t="s">
        <v>431</v>
      </c>
      <c r="G70" s="18" t="s">
        <v>431</v>
      </c>
      <c r="H70" s="20" t="s">
        <v>431</v>
      </c>
      <c r="I70" s="18" t="s">
        <v>431</v>
      </c>
      <c r="J70" s="20" t="s">
        <v>431</v>
      </c>
      <c r="K70" s="18" t="s">
        <v>431</v>
      </c>
      <c r="L70" s="20" t="s">
        <v>431</v>
      </c>
      <c r="M70" s="18" t="s">
        <v>431</v>
      </c>
      <c r="N70" s="20" t="s">
        <v>431</v>
      </c>
      <c r="O70" s="18" t="s">
        <v>431</v>
      </c>
      <c r="P70" s="20" t="s">
        <v>431</v>
      </c>
      <c r="Q70" s="18" t="s">
        <v>431</v>
      </c>
      <c r="R70" s="20" t="s">
        <v>431</v>
      </c>
    </row>
    <row r="71" spans="1:18">
      <c r="A71" s="15" t="s">
        <v>495</v>
      </c>
      <c r="B71" s="17" t="n">
        <v>3142</v>
      </c>
      <c r="C71" s="18">
        <f>(3142.0/B71*100)</f>
        <v/>
      </c>
      <c r="D71" s="19" t="n">
        <v>0</v>
      </c>
      <c r="E71" s="18" t="s">
        <v>431</v>
      </c>
      <c r="F71" s="20" t="s">
        <v>431</v>
      </c>
      <c r="G71" s="18" t="s">
        <v>431</v>
      </c>
      <c r="H71" s="20" t="s">
        <v>431</v>
      </c>
      <c r="I71" s="18" t="s">
        <v>431</v>
      </c>
      <c r="J71" s="20" t="s">
        <v>431</v>
      </c>
      <c r="K71" s="18" t="s">
        <v>431</v>
      </c>
      <c r="L71" s="20" t="s">
        <v>431</v>
      </c>
      <c r="M71" s="18" t="s">
        <v>431</v>
      </c>
      <c r="N71" s="20" t="s">
        <v>431</v>
      </c>
      <c r="O71" s="18" t="s">
        <v>431</v>
      </c>
      <c r="P71" s="20" t="s">
        <v>431</v>
      </c>
      <c r="Q71" s="18" t="s">
        <v>431</v>
      </c>
      <c r="R71" s="20" t="s">
        <v>431</v>
      </c>
    </row>
    <row r="72" spans="1:18">
      <c r="A72" s="15" t="s">
        <v>496</v>
      </c>
      <c r="B72" s="17" t="n">
        <v>3889</v>
      </c>
      <c r="C72" s="18">
        <f>(3889.0/B72*100)</f>
        <v/>
      </c>
      <c r="D72" s="19" t="n">
        <v>0</v>
      </c>
      <c r="E72" s="18" t="s">
        <v>431</v>
      </c>
      <c r="F72" s="20" t="s">
        <v>431</v>
      </c>
      <c r="G72" s="18" t="s">
        <v>431</v>
      </c>
      <c r="H72" s="20" t="s">
        <v>431</v>
      </c>
      <c r="I72" s="18" t="s">
        <v>431</v>
      </c>
      <c r="J72" s="20" t="s">
        <v>431</v>
      </c>
      <c r="K72" s="18" t="s">
        <v>431</v>
      </c>
      <c r="L72" s="20" t="s">
        <v>431</v>
      </c>
      <c r="M72" s="18" t="s">
        <v>431</v>
      </c>
      <c r="N72" s="20" t="s">
        <v>431</v>
      </c>
      <c r="O72" s="18" t="s">
        <v>431</v>
      </c>
      <c r="P72" s="20" t="s">
        <v>431</v>
      </c>
      <c r="Q72" s="18" t="s">
        <v>431</v>
      </c>
      <c r="R72" s="20" t="s">
        <v>431</v>
      </c>
    </row>
    <row r="73" spans="1:18">
      <c r="A73" s="15" t="s">
        <v>497</v>
      </c>
      <c r="B73" s="17" t="n">
        <v>3597</v>
      </c>
      <c r="C73" s="18">
        <f>(3597.0/B73*100)</f>
        <v/>
      </c>
      <c r="D73" s="19" t="n">
        <v>0</v>
      </c>
      <c r="E73" s="18" t="s">
        <v>431</v>
      </c>
      <c r="F73" s="20" t="s">
        <v>431</v>
      </c>
      <c r="G73" s="18" t="s">
        <v>431</v>
      </c>
      <c r="H73" s="20" t="s">
        <v>431</v>
      </c>
      <c r="I73" s="18" t="s">
        <v>431</v>
      </c>
      <c r="J73" s="20" t="s">
        <v>431</v>
      </c>
      <c r="K73" s="18" t="s">
        <v>431</v>
      </c>
      <c r="L73" s="20" t="s">
        <v>431</v>
      </c>
      <c r="M73" s="18" t="s">
        <v>431</v>
      </c>
      <c r="N73" s="20" t="s">
        <v>431</v>
      </c>
      <c r="O73" s="18" t="s">
        <v>431</v>
      </c>
      <c r="P73" s="20" t="s">
        <v>431</v>
      </c>
      <c r="Q73" s="18" t="s">
        <v>431</v>
      </c>
      <c r="R73" s="20" t="s">
        <v>431</v>
      </c>
    </row>
    <row r="74" spans="1:18">
      <c r="A74" s="15" t="s">
        <v>498</v>
      </c>
      <c r="B74" s="17" t="n">
        <v>2239</v>
      </c>
      <c r="C74" s="18">
        <f>(1851.0/B74*100)</f>
        <v/>
      </c>
      <c r="D74" s="19" t="n">
        <v>388</v>
      </c>
      <c r="E74" s="18" t="n">
        <v>25.54767173</v>
      </c>
      <c r="F74" s="20" t="n">
        <v>2.4979039</v>
      </c>
      <c r="G74" s="18" t="n">
        <v>53.15428828</v>
      </c>
      <c r="H74" s="20" t="n">
        <v>2.807566</v>
      </c>
      <c r="I74" s="18" t="s">
        <v>431</v>
      </c>
      <c r="J74" s="20" t="s">
        <v>431</v>
      </c>
      <c r="K74" s="18" t="n">
        <v>21.29803999</v>
      </c>
      <c r="L74" s="20" t="n">
        <v>2.14325337</v>
      </c>
      <c r="M74" s="18" t="n">
        <v>0</v>
      </c>
      <c r="N74" s="20" t="n">
        <v>0</v>
      </c>
      <c r="O74" s="18" t="n">
        <v>0</v>
      </c>
      <c r="P74" s="20" t="n">
        <v>0</v>
      </c>
      <c r="Q74" s="18" t="n">
        <v>0</v>
      </c>
      <c r="R74" s="20" t="n">
        <v>0</v>
      </c>
    </row>
    <row r="75" spans="1:18">
      <c r="A75" s="15" t="s">
        <v>499</v>
      </c>
      <c r="B75" s="17" t="n">
        <v>2406</v>
      </c>
      <c r="C75" s="18">
        <f>(2406.0/B75*100)</f>
        <v/>
      </c>
      <c r="D75" s="19" t="n">
        <v>0</v>
      </c>
      <c r="E75" s="18" t="s">
        <v>431</v>
      </c>
      <c r="F75" s="20" t="s">
        <v>431</v>
      </c>
      <c r="G75" s="18" t="s">
        <v>431</v>
      </c>
      <c r="H75" s="20" t="s">
        <v>431</v>
      </c>
      <c r="I75" s="18" t="s">
        <v>431</v>
      </c>
      <c r="J75" s="20" t="s">
        <v>431</v>
      </c>
      <c r="K75" s="18" t="s">
        <v>431</v>
      </c>
      <c r="L75" s="20" t="s">
        <v>431</v>
      </c>
      <c r="M75" s="18" t="s">
        <v>431</v>
      </c>
      <c r="N75" s="20" t="s">
        <v>431</v>
      </c>
      <c r="O75" s="18" t="s">
        <v>431</v>
      </c>
      <c r="P75" s="20" t="s">
        <v>431</v>
      </c>
      <c r="Q75" s="18" t="s">
        <v>431</v>
      </c>
      <c r="R75" s="20" t="s">
        <v>431</v>
      </c>
    </row>
    <row r="76" spans="1:18">
      <c r="A76" s="15" t="s">
        <v>500</v>
      </c>
      <c r="B76" s="17" t="n">
        <v>7052</v>
      </c>
      <c r="C76" s="18">
        <f>(7052.0/B76*100)</f>
        <v/>
      </c>
      <c r="D76" s="19" t="n">
        <v>0</v>
      </c>
      <c r="E76" s="18" t="s">
        <v>431</v>
      </c>
      <c r="F76" s="20" t="s">
        <v>431</v>
      </c>
      <c r="G76" s="18" t="s">
        <v>431</v>
      </c>
      <c r="H76" s="20" t="s">
        <v>431</v>
      </c>
      <c r="I76" s="18" t="s">
        <v>431</v>
      </c>
      <c r="J76" s="20" t="s">
        <v>431</v>
      </c>
      <c r="K76" s="18" t="s">
        <v>431</v>
      </c>
      <c r="L76" s="20" t="s">
        <v>431</v>
      </c>
      <c r="M76" s="18" t="s">
        <v>431</v>
      </c>
      <c r="N76" s="20" t="s">
        <v>431</v>
      </c>
      <c r="O76" s="18" t="s">
        <v>431</v>
      </c>
      <c r="P76" s="20" t="s">
        <v>431</v>
      </c>
      <c r="Q76" s="18" t="s">
        <v>431</v>
      </c>
      <c r="R76" s="20" t="s">
        <v>431</v>
      </c>
    </row>
    <row r="77" spans="1:18">
      <c r="A77" s="15" t="s">
        <v>501</v>
      </c>
      <c r="B77" s="17" t="n">
        <v>2908</v>
      </c>
      <c r="C77" s="18">
        <f>(2908.0/B77*100)</f>
        <v/>
      </c>
      <c r="D77" s="19" t="n">
        <v>0</v>
      </c>
      <c r="E77" s="18" t="s">
        <v>431</v>
      </c>
      <c r="F77" s="20" t="s">
        <v>431</v>
      </c>
      <c r="G77" s="18" t="s">
        <v>431</v>
      </c>
      <c r="H77" s="20" t="s">
        <v>431</v>
      </c>
      <c r="I77" s="18" t="s">
        <v>431</v>
      </c>
      <c r="J77" s="20" t="s">
        <v>431</v>
      </c>
      <c r="K77" s="18" t="s">
        <v>431</v>
      </c>
      <c r="L77" s="20" t="s">
        <v>431</v>
      </c>
      <c r="M77" s="18" t="s">
        <v>431</v>
      </c>
      <c r="N77" s="20" t="s">
        <v>431</v>
      </c>
      <c r="O77" s="18" t="s">
        <v>431</v>
      </c>
      <c r="P77" s="20" t="s">
        <v>431</v>
      </c>
      <c r="Q77" s="18" t="s">
        <v>431</v>
      </c>
      <c r="R77" s="20" t="s">
        <v>431</v>
      </c>
    </row>
    <row r="78" spans="1:18">
      <c r="A78" s="15" t="s">
        <v>502</v>
      </c>
      <c r="B78" s="17" t="n">
        <v>2786</v>
      </c>
      <c r="C78" s="18">
        <f>(2335.0/B78*100)</f>
        <v/>
      </c>
      <c r="D78" s="19" t="n">
        <v>451</v>
      </c>
      <c r="E78" s="18" t="n">
        <v>38.884195</v>
      </c>
      <c r="F78" s="20" t="n">
        <v>2.32339245</v>
      </c>
      <c r="G78" s="18" t="n">
        <v>59.56914209</v>
      </c>
      <c r="H78" s="20" t="n">
        <v>2.2531958</v>
      </c>
      <c r="I78" s="18" t="s">
        <v>431</v>
      </c>
      <c r="J78" s="20" t="s">
        <v>431</v>
      </c>
      <c r="K78" s="18" t="n">
        <v>1.54666291</v>
      </c>
      <c r="L78" s="20" t="n">
        <v>0.57909624</v>
      </c>
      <c r="M78" s="18" t="n">
        <v>0</v>
      </c>
      <c r="N78" s="20" t="n">
        <v>0</v>
      </c>
      <c r="O78" s="18" t="n">
        <v>0</v>
      </c>
      <c r="P78" s="20" t="n">
        <v>0</v>
      </c>
      <c r="Q78" s="18" t="n">
        <v>0</v>
      </c>
      <c r="R78" s="20" t="n">
        <v>0</v>
      </c>
    </row>
    <row customHeight="1" ht="25" r="79" spans="1:18">
      <c r="A79" s="15" t="s">
        <v>503</v>
      </c>
      <c r="B79" s="17" t="n">
        <v>787</v>
      </c>
      <c r="C79" s="18">
        <f>(648.0/B79*100)</f>
        <v/>
      </c>
      <c r="D79" s="19" t="n">
        <v>139</v>
      </c>
      <c r="E79" s="18" t="n">
        <v>34.08850989</v>
      </c>
      <c r="F79" s="20" t="n">
        <v>4.2600433</v>
      </c>
      <c r="G79" s="18" t="n">
        <v>55.08517148</v>
      </c>
      <c r="H79" s="20" t="n">
        <v>4.26309646</v>
      </c>
      <c r="I79" s="18" t="s">
        <v>431</v>
      </c>
      <c r="J79" s="20" t="s">
        <v>431</v>
      </c>
      <c r="K79" s="18" t="n">
        <v>10.82631863</v>
      </c>
      <c r="L79" s="20" t="n">
        <v>3.05834857</v>
      </c>
      <c r="M79" s="18" t="n">
        <v>0</v>
      </c>
      <c r="N79" s="20" t="n">
        <v>0</v>
      </c>
      <c r="O79" s="18" t="n">
        <v>0</v>
      </c>
      <c r="P79" s="20" t="n">
        <v>0</v>
      </c>
      <c r="Q79" s="18" t="n">
        <v>0</v>
      </c>
      <c r="R79" s="20" t="n">
        <v>0</v>
      </c>
    </row>
    <row r="80" spans="1:18">
      <c r="A80" s="15" t="s">
        <v>504</v>
      </c>
      <c r="B80" s="17" t="n">
        <v>3798</v>
      </c>
      <c r="C80" s="18">
        <f>(3798.0/B80*100)</f>
        <v/>
      </c>
      <c r="D80" s="19" t="n">
        <v>0</v>
      </c>
      <c r="E80" s="18" t="s">
        <v>431</v>
      </c>
      <c r="F80" s="20" t="s">
        <v>431</v>
      </c>
      <c r="G80" s="18" t="s">
        <v>431</v>
      </c>
      <c r="H80" s="20" t="s">
        <v>431</v>
      </c>
      <c r="I80" s="18" t="s">
        <v>431</v>
      </c>
      <c r="J80" s="20" t="s">
        <v>431</v>
      </c>
      <c r="K80" s="18" t="s">
        <v>431</v>
      </c>
      <c r="L80" s="20" t="s">
        <v>431</v>
      </c>
      <c r="M80" s="18" t="s">
        <v>431</v>
      </c>
      <c r="N80" s="20" t="s">
        <v>431</v>
      </c>
      <c r="O80" s="18" t="s">
        <v>431</v>
      </c>
      <c r="P80" s="20" t="s">
        <v>431</v>
      </c>
      <c r="Q80" s="18" t="s">
        <v>431</v>
      </c>
      <c r="R80" s="20" t="s">
        <v>431</v>
      </c>
    </row>
    <row r="81" spans="1:18">
      <c r="A81" s="21" t="s">
        <v>505</v>
      </c>
      <c r="B81" s="17" t="n">
        <v>4163</v>
      </c>
      <c r="C81" s="18">
        <f>(4163.0/B81*100)</f>
        <v/>
      </c>
      <c r="D81" s="19" t="n">
        <v>0</v>
      </c>
      <c r="E81" s="18" t="s">
        <v>431</v>
      </c>
      <c r="F81" s="20" t="s">
        <v>431</v>
      </c>
      <c r="G81" s="18" t="s">
        <v>431</v>
      </c>
      <c r="H81" s="20" t="s">
        <v>431</v>
      </c>
      <c r="I81" s="18" t="s">
        <v>431</v>
      </c>
      <c r="J81" s="20" t="s">
        <v>431</v>
      </c>
      <c r="K81" s="18" t="s">
        <v>431</v>
      </c>
      <c r="L81" s="20" t="s">
        <v>431</v>
      </c>
      <c r="M81" s="18" t="s">
        <v>431</v>
      </c>
      <c r="N81" s="20" t="s">
        <v>431</v>
      </c>
      <c r="O81" s="18" t="s">
        <v>431</v>
      </c>
      <c r="P81" s="20" t="s">
        <v>431</v>
      </c>
      <c r="Q81" s="18" t="s">
        <v>431</v>
      </c>
      <c r="R81" s="20" t="s">
        <v>431</v>
      </c>
    </row>
    <row r="82" spans="1:18">
      <c r="A82" s="22" t="n"/>
      <c r="B82" s="22" t="s">
        <v>506</v>
      </c>
      <c r="C82" s="22" t="s">
        <v>506</v>
      </c>
      <c r="D82" s="22" t="s">
        <v>506</v>
      </c>
      <c r="E82" s="22" t="s">
        <v>506</v>
      </c>
      <c r="F82" s="22" t="s">
        <v>506</v>
      </c>
      <c r="G82" s="22" t="s">
        <v>506</v>
      </c>
      <c r="H82" s="22" t="s">
        <v>506</v>
      </c>
      <c r="I82" s="22" t="s">
        <v>506</v>
      </c>
      <c r="J82" s="22" t="s">
        <v>506</v>
      </c>
      <c r="K82" s="22" t="s">
        <v>506</v>
      </c>
      <c r="L82" s="22" t="s">
        <v>506</v>
      </c>
      <c r="M82" s="22" t="s">
        <v>506</v>
      </c>
      <c r="N82" s="22" t="s">
        <v>506</v>
      </c>
      <c r="O82" s="22" t="s">
        <v>506</v>
      </c>
      <c r="P82" s="22" t="s">
        <v>506</v>
      </c>
      <c r="Q82" s="22" t="s">
        <v>506</v>
      </c>
      <c r="R82" s="22" t="s">
        <v>506</v>
      </c>
    </row>
    <row r="83" spans="1:18">
      <c r="A83" s="3" t="s">
        <v>507</v>
      </c>
    </row>
    <row r="84" spans="1:18">
      <c r="A84" s="23" t="s">
        <v>508</v>
      </c>
    </row>
    <row r="85" spans="1:18">
      <c r="A85" s="23" t="s">
        <v>509</v>
      </c>
    </row>
    <row customHeight="1" ht="30" r="86" spans="1:18">
      <c r="A86" s="23" t="s">
        <v>510</v>
      </c>
    </row>
    <row customHeight="1" ht="30" r="87" spans="1:18">
      <c r="A87" s="23" t="s">
        <v>506</v>
      </c>
    </row>
    <row customHeight="1" ht="30" r="88" spans="1:18">
      <c r="A88" s="23" t="s">
        <v>511</v>
      </c>
    </row>
    <row customHeight="1" ht="30" r="89" spans="1:18">
      <c r="A89" s="23" t="s">
        <v>512</v>
      </c>
    </row>
    <row customHeight="1" ht="30" r="90" spans="1:18">
      <c r="A90" s="23" t="s">
        <v>513</v>
      </c>
    </row>
    <row customHeight="1" ht="30" r="91" spans="1:18">
      <c r="A91" s="23" t="s">
        <v>514</v>
      </c>
    </row>
    <row customHeight="1" ht="30" r="92" spans="1:18">
      <c r="A92" s="23" t="s">
        <v>515</v>
      </c>
    </row>
    <row customHeight="1" ht="30" r="93" spans="1:18">
      <c r="A93" s="23" t="s">
        <v>516</v>
      </c>
    </row>
    <row customHeight="1" ht="30" r="94" spans="1:18">
      <c r="A94" s="23" t="s">
        <v>517</v>
      </c>
    </row>
    <row customHeight="1" ht="30" r="95" spans="1:18">
      <c r="A95" s="23" t="s">
        <v>518</v>
      </c>
    </row>
    <row customHeight="1" ht="30" r="96" spans="1:18">
      <c r="A96" s="23" t="s">
        <v>519</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207</vt:i4>
      </vt:variant>
    </vt:vector>
  </ns0:HeadingPairs>
  <ns0:TitlesOfParts>
    <vt:vector xmlns:vt="http://schemas.openxmlformats.org/officeDocument/2006/docPropsVTypes" baseType="lpstr" size="207">
      <vt:lpstr>Table of Contents</vt:lpstr>
      <vt:lpstr>DR219Q01EC</vt:lpstr>
      <vt:lpstr>DR219Q01C</vt:lpstr>
      <vt:lpstr>DR219Q02C</vt:lpstr>
      <vt:lpstr>CR067Q01S</vt:lpstr>
      <vt:lpstr>DR067Q04C</vt:lpstr>
      <vt:lpstr>DR067Q05C</vt:lpstr>
      <vt:lpstr>DR102Q04C</vt:lpstr>
      <vt:lpstr>DR102Q05C</vt:lpstr>
      <vt:lpstr>CR102Q07S</vt:lpstr>
      <vt:lpstr>CR220Q01S</vt:lpstr>
      <vt:lpstr>CR220Q02S</vt:lpstr>
      <vt:lpstr>CR220Q04S</vt:lpstr>
      <vt:lpstr>CR220Q05S</vt:lpstr>
      <vt:lpstr>CR220Q06S</vt:lpstr>
      <vt:lpstr>CR227Q01S</vt:lpstr>
      <vt:lpstr>CR227Q02S</vt:lpstr>
      <vt:lpstr>DR227Q03C</vt:lpstr>
      <vt:lpstr>DR227Q06C</vt:lpstr>
      <vt:lpstr>CR111Q01S</vt:lpstr>
      <vt:lpstr>DR111Q02BC</vt:lpstr>
      <vt:lpstr>DR111Q06C</vt:lpstr>
      <vt:lpstr>CR055Q01S</vt:lpstr>
      <vt:lpstr>DR055Q02C</vt:lpstr>
      <vt:lpstr>DR055Q03C</vt:lpstr>
      <vt:lpstr>DR055Q05C</vt:lpstr>
      <vt:lpstr>CR104Q01S</vt:lpstr>
      <vt:lpstr>CR104Q02S</vt:lpstr>
      <vt:lpstr>CR104Q05S</vt:lpstr>
      <vt:lpstr>DR420Q02C</vt:lpstr>
      <vt:lpstr>DR420Q10C</vt:lpstr>
      <vt:lpstr>DR420Q06C</vt:lpstr>
      <vt:lpstr>DR420Q09C</vt:lpstr>
      <vt:lpstr>CR453Q01S</vt:lpstr>
      <vt:lpstr>DR453Q04C</vt:lpstr>
      <vt:lpstr>CR453Q05S</vt:lpstr>
      <vt:lpstr>DR453Q06C</vt:lpstr>
      <vt:lpstr>CR412Q01S</vt:lpstr>
      <vt:lpstr>CR412Q05S</vt:lpstr>
      <vt:lpstr>DR412Q08C</vt:lpstr>
      <vt:lpstr>CR412Q06S</vt:lpstr>
      <vt:lpstr>CR437Q01S</vt:lpstr>
      <vt:lpstr>DR437Q07C</vt:lpstr>
      <vt:lpstr>CR437Q06S</vt:lpstr>
      <vt:lpstr>CR456Q01S</vt:lpstr>
      <vt:lpstr>DR456Q02C</vt:lpstr>
      <vt:lpstr>DR456Q06C</vt:lpstr>
      <vt:lpstr>DR466Q02C</vt:lpstr>
      <vt:lpstr>CR466Q03S</vt:lpstr>
      <vt:lpstr>CR466Q06S</vt:lpstr>
      <vt:lpstr>CR446Q03S</vt:lpstr>
      <vt:lpstr>DR446Q06C</vt:lpstr>
      <vt:lpstr>DR432Q01C</vt:lpstr>
      <vt:lpstr>DR432Q05C</vt:lpstr>
      <vt:lpstr>CR432Q06S</vt:lpstr>
      <vt:lpstr>DR460Q01C</vt:lpstr>
      <vt:lpstr>CR460Q05S</vt:lpstr>
      <vt:lpstr>CR460Q06S</vt:lpstr>
      <vt:lpstr>CR424Q02S</vt:lpstr>
      <vt:lpstr>CR424Q03S</vt:lpstr>
      <vt:lpstr>CR424Q07S</vt:lpstr>
      <vt:lpstr>CR404Q03S</vt:lpstr>
      <vt:lpstr>CR404Q06S</vt:lpstr>
      <vt:lpstr>CR404Q07S</vt:lpstr>
      <vt:lpstr>DR404Q10AC</vt:lpstr>
      <vt:lpstr>DR404Q10BC</vt:lpstr>
      <vt:lpstr>DR406Q01C</vt:lpstr>
      <vt:lpstr>DR406Q05C</vt:lpstr>
      <vt:lpstr>DR406Q02C</vt:lpstr>
      <vt:lpstr>DR455Q02C</vt:lpstr>
      <vt:lpstr>DR455Q03C</vt:lpstr>
      <vt:lpstr>CR455Q04S</vt:lpstr>
      <vt:lpstr>CR455Q05S</vt:lpstr>
      <vt:lpstr>CR083Q01S</vt:lpstr>
      <vt:lpstr>CR083Q02S</vt:lpstr>
      <vt:lpstr>CR083Q03S</vt:lpstr>
      <vt:lpstr>CR083Q04S</vt:lpstr>
      <vt:lpstr>DR442Q02C</vt:lpstr>
      <vt:lpstr>DR442Q03C</vt:lpstr>
      <vt:lpstr>DR442Q05C</vt:lpstr>
      <vt:lpstr>DR442Q06C</vt:lpstr>
      <vt:lpstr>CR442Q07S</vt:lpstr>
      <vt:lpstr>CR245Q01S</vt:lpstr>
      <vt:lpstr>CR245Q02S</vt:lpstr>
      <vt:lpstr>CR101Q01S</vt:lpstr>
      <vt:lpstr>CR101Q02S</vt:lpstr>
      <vt:lpstr>CR101Q03S</vt:lpstr>
      <vt:lpstr>CR101Q04S</vt:lpstr>
      <vt:lpstr>CR101Q05S</vt:lpstr>
      <vt:lpstr>CR445Q03S</vt:lpstr>
      <vt:lpstr>DR445Q01C</vt:lpstr>
      <vt:lpstr>CR445Q04S</vt:lpstr>
      <vt:lpstr>CR445Q06S</vt:lpstr>
      <vt:lpstr>DR462Q02C</vt:lpstr>
      <vt:lpstr>DR462Q05C</vt:lpstr>
      <vt:lpstr>CR462Q04S</vt:lpstr>
      <vt:lpstr>CR435Q02S</vt:lpstr>
      <vt:lpstr>CR435Q01S</vt:lpstr>
      <vt:lpstr>DR435Q05C</vt:lpstr>
      <vt:lpstr>CR435Q08S</vt:lpstr>
      <vt:lpstr>DR465Q01C</vt:lpstr>
      <vt:lpstr>DR465Q02C</vt:lpstr>
      <vt:lpstr>DR465Q06C</vt:lpstr>
      <vt:lpstr>DR465Q05C</vt:lpstr>
      <vt:lpstr>R219Q01E</vt:lpstr>
      <vt:lpstr>PR219Q01S</vt:lpstr>
      <vt:lpstr>R219Q02</vt:lpstr>
      <vt:lpstr>PR067Q01S</vt:lpstr>
      <vt:lpstr>R067Q04</vt:lpstr>
      <vt:lpstr>R067Q05</vt:lpstr>
      <vt:lpstr>R102Q04A</vt:lpstr>
      <vt:lpstr>R102Q05</vt:lpstr>
      <vt:lpstr>PR102Q07S</vt:lpstr>
      <vt:lpstr>R220Q01</vt:lpstr>
      <vt:lpstr>PR220Q02BS</vt:lpstr>
      <vt:lpstr>PR220Q04S</vt:lpstr>
      <vt:lpstr>PR220Q05S</vt:lpstr>
      <vt:lpstr>PR220Q06S</vt:lpstr>
      <vt:lpstr>PR227Q01S</vt:lpstr>
      <vt:lpstr>PR227Q02S</vt:lpstr>
      <vt:lpstr>R227Q03</vt:lpstr>
      <vt:lpstr>R227Q06</vt:lpstr>
      <vt:lpstr>PR111Q01S</vt:lpstr>
      <vt:lpstr>R111Q02B</vt:lpstr>
      <vt:lpstr>R111Q06B</vt:lpstr>
      <vt:lpstr>PR055Q01S</vt:lpstr>
      <vt:lpstr>R055Q02</vt:lpstr>
      <vt:lpstr>R055Q03</vt:lpstr>
      <vt:lpstr>R055Q05</vt:lpstr>
      <vt:lpstr>R104Q01</vt:lpstr>
      <vt:lpstr>R104Q02</vt:lpstr>
      <vt:lpstr>R104Q05</vt:lpstr>
      <vt:lpstr>PR420Q02</vt:lpstr>
      <vt:lpstr>PR420Q10</vt:lpstr>
      <vt:lpstr>PR420Q06</vt:lpstr>
      <vt:lpstr>PR420Q09</vt:lpstr>
      <vt:lpstr>PR453Q01S</vt:lpstr>
      <vt:lpstr>PR453Q04</vt:lpstr>
      <vt:lpstr>PR453Q05S</vt:lpstr>
      <vt:lpstr>PR453Q06</vt:lpstr>
      <vt:lpstr>PR412Q01S</vt:lpstr>
      <vt:lpstr>PR412Q05S</vt:lpstr>
      <vt:lpstr>PR412Q08</vt:lpstr>
      <vt:lpstr>PR412Q06S</vt:lpstr>
      <vt:lpstr>PR437Q01S</vt:lpstr>
      <vt:lpstr>PR437Q07</vt:lpstr>
      <vt:lpstr>PR437Q06S</vt:lpstr>
      <vt:lpstr>PR456Q01S</vt:lpstr>
      <vt:lpstr>PR456Q02</vt:lpstr>
      <vt:lpstr>PR456Q06</vt:lpstr>
      <vt:lpstr>PR466Q02</vt:lpstr>
      <vt:lpstr>PR466Q03S</vt:lpstr>
      <vt:lpstr>PR466Q06</vt:lpstr>
      <vt:lpstr>PR446Q03</vt:lpstr>
      <vt:lpstr>PR446Q06</vt:lpstr>
      <vt:lpstr>PR432Q01</vt:lpstr>
      <vt:lpstr>PR432Q05</vt:lpstr>
      <vt:lpstr>PR432Q06S</vt:lpstr>
      <vt:lpstr>R460Q01</vt:lpstr>
      <vt:lpstr>PR460Q05S</vt:lpstr>
      <vt:lpstr>PR460Q06S</vt:lpstr>
      <vt:lpstr>PR424Q02S</vt:lpstr>
      <vt:lpstr>PR424Q03S</vt:lpstr>
      <vt:lpstr>PR424Q07S</vt:lpstr>
      <vt:lpstr>PR404Q03S</vt:lpstr>
      <vt:lpstr>PR404Q06S</vt:lpstr>
      <vt:lpstr>PR404Q07S</vt:lpstr>
      <vt:lpstr>PR404Q10A</vt:lpstr>
      <vt:lpstr>PR404Q10B</vt:lpstr>
      <vt:lpstr>PR406Q01</vt:lpstr>
      <vt:lpstr>PR406Q05</vt:lpstr>
      <vt:lpstr>PR406Q02</vt:lpstr>
      <vt:lpstr>PR455Q02</vt:lpstr>
      <vt:lpstr>PR455Q03</vt:lpstr>
      <vt:lpstr>PR455Q04S</vt:lpstr>
      <vt:lpstr>PR455Q05S</vt:lpstr>
      <vt:lpstr>PR083Q01S</vt:lpstr>
      <vt:lpstr>R083Q02</vt:lpstr>
      <vt:lpstr>R083Q03</vt:lpstr>
      <vt:lpstr>PR083Q04S</vt:lpstr>
      <vt:lpstr>R442Q02</vt:lpstr>
      <vt:lpstr>R442Q03</vt:lpstr>
      <vt:lpstr>R442Q05</vt:lpstr>
      <vt:lpstr>R442Q06</vt:lpstr>
      <vt:lpstr>PR442Q07S</vt:lpstr>
      <vt:lpstr>R245Q01</vt:lpstr>
      <vt:lpstr>R245Q02</vt:lpstr>
      <vt:lpstr>PR101Q01S</vt:lpstr>
      <vt:lpstr>PR101Q02S</vt:lpstr>
      <vt:lpstr>PR101Q03S</vt:lpstr>
      <vt:lpstr>PR101Q04S</vt:lpstr>
      <vt:lpstr>PR101Q05S</vt:lpstr>
      <vt:lpstr>PR445Q03S</vt:lpstr>
      <vt:lpstr>R445Q01</vt:lpstr>
      <vt:lpstr>PR445Q04S</vt:lpstr>
      <vt:lpstr>PR445Q06S</vt:lpstr>
      <vt:lpstr>R462Q02</vt:lpstr>
      <vt:lpstr>R462Q05</vt:lpstr>
      <vt:lpstr>PR462Q04S</vt:lpstr>
      <vt:lpstr>R435Q02</vt:lpstr>
      <vt:lpstr>PR435Q01S</vt:lpstr>
      <vt:lpstr>R435Q05</vt:lpstr>
      <vt:lpstr>PR435Q08S</vt:lpstr>
      <vt:lpstr>R465Q01</vt:lpstr>
      <vt:lpstr>R465Q02</vt:lpstr>
      <vt:lpstr>R465Q06</vt:lpstr>
      <vt:lpstr>R465Q05</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2016-12-02T09:22:26Z</dcterms:created>
  <dcterms:modified xmlns:dcterms="http://purl.org/dc/terms/" xmlns:xsi="http://www.w3.org/2001/XMLSchema-instance" xsi:type="dcterms:W3CDTF">2016-12-02T09:22:26Z</dcterms:modified>
  <cp:lastModifiedBy/>
  <cp:category/>
  <cp:contentStatus/>
  <cp:version/>
  <cp:revision/>
  <cp:keywords/>
</cp:coreProperties>
</file>